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5_Bordeaux\2024 LA ROCHE CHALAIS - LD T1-T2-T3\20 277 019 Roche-Chalais T3\"/>
    </mc:Choice>
  </mc:AlternateContent>
  <xr:revisionPtr revIDLastSave="0" documentId="13_ncr:1_{353B6E16-F1E9-44C3-BBCA-D30D903E763C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4" i="1" l="1"/>
  <c r="B115" i="1"/>
  <c r="D115" i="1"/>
  <c r="B116" i="1"/>
  <c r="D116" i="1"/>
  <c r="B117" i="1"/>
  <c r="D117" i="1"/>
  <c r="B118" i="1"/>
  <c r="D118" i="1"/>
  <c r="B119" i="1"/>
  <c r="D119" i="1"/>
  <c r="B120" i="1"/>
  <c r="D120" i="1"/>
  <c r="B121" i="1"/>
  <c r="D121" i="1"/>
  <c r="B122" i="1"/>
  <c r="D122" i="1"/>
  <c r="B123" i="1"/>
  <c r="D123" i="1"/>
  <c r="B124" i="1"/>
  <c r="D124" i="1"/>
  <c r="B125" i="1"/>
  <c r="D125" i="1"/>
  <c r="B126" i="1"/>
  <c r="D126" i="1"/>
  <c r="B127" i="1"/>
  <c r="D127" i="1"/>
  <c r="B128" i="1"/>
  <c r="D128" i="1"/>
  <c r="B129" i="1"/>
  <c r="D129" i="1"/>
  <c r="B140" i="1"/>
  <c r="B141" i="1"/>
  <c r="D141" i="1"/>
  <c r="B142" i="1"/>
  <c r="D142" i="1"/>
  <c r="B143" i="1"/>
  <c r="D143" i="1"/>
  <c r="B144" i="1"/>
  <c r="D144" i="1"/>
  <c r="B145" i="1"/>
  <c r="D145" i="1"/>
  <c r="B146" i="1"/>
  <c r="D146" i="1"/>
  <c r="B147" i="1"/>
  <c r="D147" i="1"/>
  <c r="B148" i="1"/>
  <c r="D148" i="1"/>
  <c r="B149" i="1"/>
  <c r="D149" i="1"/>
  <c r="B150" i="1"/>
  <c r="D150" i="1"/>
  <c r="B151" i="1"/>
  <c r="D151" i="1"/>
  <c r="B152" i="1"/>
  <c r="D152" i="1"/>
  <c r="B153" i="1"/>
  <c r="D153" i="1"/>
  <c r="B36" i="1"/>
  <c r="B37" i="1"/>
  <c r="D37" i="1"/>
  <c r="B38" i="1"/>
  <c r="D38" i="1"/>
  <c r="B39" i="1"/>
  <c r="D39" i="1"/>
  <c r="B40" i="1"/>
  <c r="D40" i="1"/>
  <c r="B41" i="1"/>
  <c r="D41" i="1"/>
  <c r="B95" i="1"/>
  <c r="B94" i="1"/>
  <c r="B93" i="1"/>
  <c r="B92" i="1"/>
  <c r="B91" i="1"/>
  <c r="B90" i="1"/>
  <c r="B89" i="1"/>
  <c r="B88" i="1"/>
  <c r="D76" i="1"/>
  <c r="B76" i="1"/>
  <c r="D75" i="1"/>
  <c r="B75" i="1"/>
  <c r="D74" i="1"/>
  <c r="B74" i="1"/>
  <c r="D73" i="1"/>
  <c r="B73" i="1"/>
  <c r="D72" i="1"/>
  <c r="B72" i="1"/>
  <c r="D71" i="1"/>
  <c r="B71" i="1"/>
  <c r="D70" i="1"/>
  <c r="B70" i="1"/>
  <c r="D69" i="1"/>
  <c r="B69" i="1"/>
  <c r="D68" i="1"/>
  <c r="B68" i="1"/>
  <c r="D67" i="1"/>
  <c r="B67" i="1"/>
  <c r="D66" i="1"/>
  <c r="B66" i="1"/>
  <c r="D65" i="1"/>
  <c r="B65" i="1"/>
  <c r="D64" i="1"/>
  <c r="B64" i="1"/>
  <c r="D63" i="1"/>
  <c r="B63" i="1"/>
  <c r="B62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FQ4" i="2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B130" i="2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H146" i="2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G154" i="2" l="1"/>
  <c r="HJ154" i="2" s="1"/>
  <c r="HH154" i="2"/>
  <c r="EB154" i="2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HG155" i="2"/>
  <c r="AC154" i="2"/>
  <c r="ED154" i="2"/>
  <c r="HH155" i="2"/>
  <c r="EW155" i="2"/>
  <c r="EA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AX152" i="2"/>
  <c r="EX156" i="2" l="1"/>
  <c r="DH156" i="2"/>
  <c r="ED155" i="2"/>
  <c r="FS156" i="2"/>
  <c r="HH156" i="2"/>
  <c r="E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C157" i="2"/>
  <c r="EA157" i="2"/>
  <c r="CN156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V158" i="2" l="1"/>
  <c r="HH158" i="2"/>
  <c r="ED157" i="2"/>
  <c r="EC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EC159" i="2"/>
  <c r="HI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D159" i="2"/>
  <c r="EC160" i="2"/>
  <c r="EY159" i="2"/>
  <c r="HI160" i="2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HH161" i="2"/>
  <c r="ED160" i="2"/>
  <c r="EA161" i="2"/>
  <c r="AB161" i="2"/>
  <c r="EB161" i="2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DI161" i="2"/>
  <c r="ED161" i="2"/>
  <c r="EC162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HH163" i="2"/>
  <c r="HG163" i="2"/>
  <c r="ED162" i="2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HH164" i="2" l="1"/>
  <c r="HG164" i="2"/>
  <c r="FS164" i="2"/>
  <c r="DI163" i="2"/>
  <c r="DH164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D165" i="2"/>
  <c r="EC166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FR167" i="2"/>
  <c r="EC167" i="2"/>
  <c r="EB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DG168" i="2"/>
  <c r="EB168" i="2"/>
  <c r="EC168" i="2"/>
  <c r="EW168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HH169" i="2"/>
  <c r="EA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I172" i="2"/>
  <c r="EB172" i="2"/>
  <c r="ED171" i="2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HI175" i="2"/>
  <c r="EA175" i="2"/>
  <c r="EB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H177" i="2"/>
  <c r="FS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W178" i="2"/>
  <c r="ED177" i="2"/>
  <c r="EA178" i="2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ED178" i="2"/>
  <c r="DF179" i="2"/>
  <c r="EA179" i="2"/>
  <c r="EV179" i="2"/>
  <c r="HI179" i="2"/>
  <c r="HH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X180" i="2" l="1"/>
  <c r="HG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FS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A183" i="2" l="1"/>
  <c r="FS183" i="2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EB185" i="2"/>
  <c r="EA185" i="2"/>
  <c r="EV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R186" i="2"/>
  <c r="HG186" i="2"/>
  <c r="EA186" i="2"/>
  <c r="HH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B189" i="2" l="1"/>
  <c r="HH189" i="2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D189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HG192" i="2"/>
  <c r="EV192" i="2"/>
  <c r="EC192" i="2"/>
  <c r="EB192" i="2"/>
  <c r="EA192" i="2"/>
  <c r="ED192" i="2" s="1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HI193" i="2" l="1"/>
  <c r="DI192" i="2"/>
  <c r="EB193" i="2"/>
  <c r="EA193" i="2"/>
  <c r="EX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A194" i="2"/>
  <c r="CN193" i="2"/>
  <c r="FQ194" i="2"/>
  <c r="HG194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FQ195" i="2" l="1"/>
  <c r="HG195" i="2"/>
  <c r="EX195" i="2"/>
  <c r="DH195" i="2"/>
  <c r="EB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H197" i="2" l="1"/>
  <c r="HG197" i="2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B199" i="2"/>
  <c r="EA199" i="2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HG201" i="2" l="1"/>
  <c r="HH201" i="2"/>
  <c r="ED200" i="2"/>
  <c r="DI200" i="2"/>
  <c r="EA201" i="2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I202" i="2" l="1"/>
  <c r="FS202" i="2"/>
  <c r="EX202" i="2"/>
  <c r="HG202" i="2"/>
  <c r="FR202" i="2"/>
  <c r="HH202" i="2"/>
  <c r="ED201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50" i="2" a="1"/>
  <c r="FY50" i="2" s="1"/>
  <c r="FY54" i="2" a="1"/>
  <c r="FY54" i="2" s="1"/>
  <c r="FY22" i="2" a="1"/>
  <c r="FY22" i="2" s="1"/>
  <c r="FY32" i="2" a="1"/>
  <c r="FY32" i="2" s="1"/>
  <c r="FY146" i="2" a="1"/>
  <c r="FY146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HJ202" i="2"/>
  <c r="EY202" i="2"/>
  <c r="AX200" i="2"/>
  <c r="CS129" i="2" l="1" a="1"/>
  <c r="CS129" i="2" s="1"/>
  <c r="FS203" i="2"/>
  <c r="BC151" i="2" a="1"/>
  <c r="BC151" i="2" s="1"/>
  <c r="BC55" i="2" a="1"/>
  <c r="BC55" i="2" s="1"/>
  <c r="BC114" i="2" a="1"/>
  <c r="BC114" i="2" s="1"/>
  <c r="BC83" i="2" a="1"/>
  <c r="BC83" i="2" s="1"/>
  <c r="BC65" i="2" a="1"/>
  <c r="BC65" i="2" s="1"/>
  <c r="BC126" i="2" a="1"/>
  <c r="BC126" i="2" s="1"/>
  <c r="BC181" i="2" a="1"/>
  <c r="BC181" i="2" s="1"/>
  <c r="BC130" i="2" a="1"/>
  <c r="BC130" i="2" s="1"/>
  <c r="BC164" i="2" a="1"/>
  <c r="BC164" i="2" s="1"/>
  <c r="BC192" i="2" a="1"/>
  <c r="BC192" i="2" s="1"/>
  <c r="BC117" i="2" a="1"/>
  <c r="BC117" i="2" s="1"/>
  <c r="BC7" i="2" a="1"/>
  <c r="BC7" i="2" s="1"/>
  <c r="BC143" i="2" a="1"/>
  <c r="BC143" i="2" s="1"/>
  <c r="BC68" i="2" a="1"/>
  <c r="BC68" i="2" s="1"/>
  <c r="BC82" i="2" a="1"/>
  <c r="BC82" i="2" s="1"/>
  <c r="BC31" i="2" a="1"/>
  <c r="BC31" i="2" s="1"/>
  <c r="BC58" i="2" a="1"/>
  <c r="BC58" i="2" s="1"/>
  <c r="BC185" i="2" a="1"/>
  <c r="BC185" i="2" s="1"/>
  <c r="BC84" i="2" a="1"/>
  <c r="BC84" i="2" s="1"/>
  <c r="BC34" i="2" a="1"/>
  <c r="BC34" i="2" s="1"/>
  <c r="BC47" i="2" a="1"/>
  <c r="BC47" i="2" s="1"/>
  <c r="BC32" i="2" a="1"/>
  <c r="BC32" i="2" s="1"/>
  <c r="AH151" i="2" a="1"/>
  <c r="AH151" i="2" s="1"/>
  <c r="CS137" i="2" a="1"/>
  <c r="CS137" i="2" s="1"/>
  <c r="CS185" i="2" a="1"/>
  <c r="CS185" i="2" s="1"/>
  <c r="CS24" i="2" a="1"/>
  <c r="CS24" i="2" s="1"/>
  <c r="CS52" i="2" a="1"/>
  <c r="CS52" i="2" s="1"/>
  <c r="CS114" i="2" a="1"/>
  <c r="CS114" i="2" s="1"/>
  <c r="CS38" i="2" a="1"/>
  <c r="CS38" i="2" s="1"/>
  <c r="CS72" i="2" a="1"/>
  <c r="CS72" i="2" s="1"/>
  <c r="CS105" i="2" a="1"/>
  <c r="CS105" i="2" s="1"/>
  <c r="CS66" i="2" a="1"/>
  <c r="CS66" i="2" s="1"/>
  <c r="CS56" i="2" a="1"/>
  <c r="CS56" i="2" s="1"/>
  <c r="CS116" i="2" a="1"/>
  <c r="CS116" i="2" s="1"/>
  <c r="CS161" i="2" a="1"/>
  <c r="CS161" i="2" s="1"/>
  <c r="CS134" i="2" a="1"/>
  <c r="CS134" i="2" s="1"/>
  <c r="CS120" i="2" a="1"/>
  <c r="CS120" i="2" s="1"/>
  <c r="CS77" i="2" a="1"/>
  <c r="CS77" i="2" s="1"/>
  <c r="EI35" i="2" a="1"/>
  <c r="EI35" i="2" s="1"/>
  <c r="EI153" i="2" a="1"/>
  <c r="EI153" i="2" s="1"/>
  <c r="EI34" i="2" a="1"/>
  <c r="EI34" i="2" s="1"/>
  <c r="AH163" i="2" a="1"/>
  <c r="AH163" i="2" s="1"/>
  <c r="AH62" i="2" a="1"/>
  <c r="AH62" i="2" s="1"/>
  <c r="EI139" i="2" a="1"/>
  <c r="EI139" i="2" s="1"/>
  <c r="EI165" i="2" a="1"/>
  <c r="EI165" i="2" s="1"/>
  <c r="EI142" i="2" a="1"/>
  <c r="EI142" i="2" s="1"/>
  <c r="EI166" i="2" a="1"/>
  <c r="EI166" i="2" s="1"/>
  <c r="EI71" i="2" a="1"/>
  <c r="EI71" i="2" s="1"/>
  <c r="EI178" i="2" a="1"/>
  <c r="EI178" i="2" s="1"/>
  <c r="EI198" i="2" a="1"/>
  <c r="EI198" i="2" s="1"/>
  <c r="EI170" i="2" a="1"/>
  <c r="EI170" i="2" s="1"/>
  <c r="EI57" i="2" a="1"/>
  <c r="EI57" i="2" s="1"/>
  <c r="EI145" i="2" a="1"/>
  <c r="EI145" i="2" s="1"/>
  <c r="FY90" i="2" a="1"/>
  <c r="FY90" i="2" s="1"/>
  <c r="EI67" i="2" a="1"/>
  <c r="EI67" i="2" s="1"/>
  <c r="EI16" i="2" a="1"/>
  <c r="EI16" i="2" s="1"/>
  <c r="EI36" i="2" a="1"/>
  <c r="EI36" i="2" s="1"/>
  <c r="EI162" i="2" a="1"/>
  <c r="EI162" i="2" s="1"/>
  <c r="FY57" i="2" a="1"/>
  <c r="FY57" i="2" s="1"/>
  <c r="EI113" i="2" a="1"/>
  <c r="EI113" i="2" s="1"/>
  <c r="EI87" i="2" a="1"/>
  <c r="EI87" i="2" s="1"/>
  <c r="EI150" i="2" a="1"/>
  <c r="EI150" i="2" s="1"/>
  <c r="EI128" i="2" a="1"/>
  <c r="EI128" i="2" s="1"/>
  <c r="EI109" i="2" a="1"/>
  <c r="EI109" i="2" s="1"/>
  <c r="EI195" i="2" a="1"/>
  <c r="EI195" i="2" s="1"/>
  <c r="EI29" i="2" a="1"/>
  <c r="EI29" i="2" s="1"/>
  <c r="EI37" i="2" a="1"/>
  <c r="EI37" i="2" s="1"/>
  <c r="EI20" i="2" a="1"/>
  <c r="EI20" i="2" s="1"/>
  <c r="EI38" i="2" a="1"/>
  <c r="EI38" i="2" s="1"/>
  <c r="EI106" i="2" a="1"/>
  <c r="EI106" i="2" s="1"/>
  <c r="FY165" i="2" a="1"/>
  <c r="FY165" i="2" s="1"/>
  <c r="FY109" i="2" a="1"/>
  <c r="FY109" i="2" s="1"/>
  <c r="AH92" i="2" a="1"/>
  <c r="AH92" i="2" s="1"/>
  <c r="AH199" i="2" a="1"/>
  <c r="AH199" i="2" s="1"/>
  <c r="AH166" i="2" a="1"/>
  <c r="AH166" i="2" s="1"/>
  <c r="AH19" i="2" a="1"/>
  <c r="AH19" i="2" s="1"/>
  <c r="AH90" i="2" a="1"/>
  <c r="AH90" i="2" s="1"/>
  <c r="HG203" i="2"/>
  <c r="FR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DI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CD39" i="2" l="1"/>
  <c r="CD66" i="2"/>
  <c r="CD98" i="2"/>
  <c r="CD186" i="2"/>
  <c r="CD110" i="2"/>
  <c r="CD101" i="2"/>
  <c r="CD118" i="2"/>
  <c r="CD102" i="2"/>
  <c r="CD179" i="2"/>
  <c r="CD34" i="2"/>
  <c r="CD84" i="2"/>
  <c r="CD100" i="2"/>
  <c r="CD137" i="2"/>
  <c r="CD149" i="2"/>
  <c r="CD176" i="2"/>
  <c r="CD14" i="2"/>
  <c r="CD188" i="2"/>
  <c r="CD64" i="2"/>
  <c r="CD125" i="2"/>
  <c r="CD52" i="2"/>
  <c r="CD120" i="2"/>
  <c r="CD82" i="2"/>
  <c r="CD162" i="2"/>
  <c r="CD81" i="2"/>
  <c r="CD85" i="2"/>
  <c r="CD88" i="2"/>
  <c r="CD192" i="2"/>
  <c r="CD30" i="2"/>
  <c r="CD60" i="2"/>
  <c r="CD11" i="2"/>
  <c r="CD191" i="2"/>
  <c r="CD69" i="2"/>
  <c r="CD40" i="2"/>
  <c r="CD106" i="2"/>
  <c r="CD203" i="2"/>
  <c r="CD23" i="2"/>
  <c r="CD111" i="2"/>
  <c r="CD180" i="2"/>
  <c r="CD181" i="2"/>
  <c r="CD175" i="2"/>
  <c r="CD169" i="2"/>
  <c r="CD145" i="2"/>
  <c r="CD198" i="2"/>
  <c r="CD78" i="2"/>
  <c r="CD147" i="2"/>
  <c r="CD95" i="2"/>
  <c r="CD148" i="2"/>
  <c r="CD166" i="2"/>
  <c r="CD33" i="2"/>
  <c r="CD29" i="2"/>
  <c r="CD38" i="2"/>
  <c r="CD139" i="2"/>
  <c r="CD55" i="2"/>
  <c r="CD135" i="2"/>
  <c r="CD51" i="2"/>
  <c r="CD161" i="2"/>
  <c r="CD105" i="2"/>
  <c r="CD22" i="2"/>
  <c r="CD131" i="2"/>
  <c r="CD144" i="2"/>
  <c r="CD138" i="2"/>
  <c r="CD185" i="2"/>
  <c r="CD37" i="2"/>
  <c r="CD156" i="2"/>
  <c r="CD68" i="2"/>
  <c r="CD80" i="2"/>
  <c r="CD93" i="2"/>
  <c r="CD6" i="2"/>
  <c r="CD48" i="2"/>
  <c r="CD99" i="2"/>
  <c r="CD65" i="2"/>
  <c r="CD70" i="2"/>
  <c r="CD45" i="2"/>
  <c r="CD190" i="2"/>
  <c r="CD128" i="2"/>
  <c r="CD141" i="2"/>
  <c r="CD47" i="2"/>
  <c r="CD150" i="2"/>
  <c r="CD10" i="2"/>
  <c r="CD122" i="2"/>
  <c r="CD164" i="2"/>
  <c r="CD91" i="2"/>
  <c r="CD25" i="2"/>
  <c r="CD42" i="2"/>
  <c r="CD178" i="2"/>
  <c r="CD49" i="2"/>
  <c r="CD7" i="2"/>
  <c r="CD124" i="2"/>
  <c r="CD9" i="2"/>
  <c r="CD79" i="2"/>
  <c r="CD132" i="2"/>
  <c r="CD5" i="2"/>
  <c r="CD177" i="2"/>
  <c r="CD46" i="2"/>
  <c r="CD58" i="2"/>
  <c r="CD133" i="2"/>
  <c r="CD189" i="2"/>
  <c r="CD27" i="2"/>
  <c r="CD54" i="2"/>
  <c r="CD71" i="2"/>
  <c r="CD104" i="2"/>
  <c r="CD8" i="2"/>
  <c r="CD136" i="2"/>
  <c r="CD36" i="2"/>
  <c r="CD171" i="2"/>
  <c r="CD87" i="2"/>
  <c r="CD59" i="2"/>
  <c r="CD53" i="2"/>
  <c r="CD31" i="2"/>
  <c r="CD167" i="2"/>
  <c r="CD142" i="2"/>
  <c r="CD143" i="2"/>
  <c r="CD20" i="2"/>
  <c r="CD4" i="2"/>
  <c r="CD194" i="2"/>
  <c r="CD201" i="2"/>
  <c r="CD153" i="2"/>
  <c r="CD115" i="2"/>
  <c r="CD50" i="2"/>
  <c r="CD119" i="2"/>
  <c r="CD183" i="2"/>
  <c r="CD16" i="2"/>
  <c r="CD96" i="2"/>
  <c r="CD134" i="2"/>
  <c r="CD76" i="2"/>
  <c r="CD197" i="2"/>
  <c r="CD83" i="2"/>
  <c r="CD195" i="2"/>
  <c r="CD146" i="2"/>
  <c r="CD17" i="2"/>
  <c r="CD43" i="2"/>
  <c r="CD63" i="2"/>
  <c r="CD154" i="2"/>
  <c r="CD32" i="2"/>
  <c r="CD116" i="2"/>
  <c r="CD159" i="2"/>
  <c r="CD172" i="2"/>
  <c r="CD19" i="2"/>
  <c r="CD56" i="2"/>
  <c r="CD117" i="2"/>
  <c r="CD114" i="2"/>
  <c r="CD112" i="2"/>
  <c r="CD62" i="2"/>
  <c r="CD129" i="2"/>
  <c r="CD75" i="2"/>
  <c r="CD152" i="2"/>
  <c r="CD202" i="2"/>
  <c r="CD126" i="2"/>
  <c r="CD155" i="2"/>
  <c r="CD193" i="2"/>
  <c r="CD90" i="2"/>
  <c r="CD94" i="2"/>
  <c r="CD108" i="2"/>
  <c r="CD158" i="2"/>
  <c r="CD89" i="2"/>
  <c r="CD28" i="2"/>
  <c r="CD123" i="2"/>
  <c r="CD3" i="2"/>
  <c r="C9" i="4" s="1"/>
  <c r="E9" i="4" s="1"/>
  <c r="F9" i="4" s="1"/>
  <c r="G9" i="4" s="1"/>
  <c r="L9" i="4" s="1"/>
  <c r="CD18" i="2"/>
  <c r="CD127" i="2"/>
  <c r="CD26" i="2"/>
  <c r="CD157" i="2"/>
  <c r="CD200" i="2"/>
  <c r="CD77" i="2"/>
  <c r="CD103" i="2"/>
  <c r="CD61" i="2"/>
  <c r="CD92" i="2"/>
  <c r="CD170" i="2"/>
  <c r="CD174" i="2"/>
  <c r="CD140" i="2"/>
  <c r="CD173" i="2"/>
  <c r="CD57" i="2"/>
  <c r="CD160" i="2"/>
  <c r="CD107" i="2"/>
  <c r="CD187" i="2"/>
  <c r="CD151" i="2"/>
  <c r="CD67" i="2"/>
  <c r="CD196" i="2"/>
  <c r="CD199" i="2"/>
  <c r="CD121" i="2"/>
  <c r="CD182" i="2"/>
  <c r="CD13" i="2"/>
  <c r="CD97" i="2"/>
  <c r="CD24" i="2"/>
  <c r="CD15" i="2"/>
  <c r="CD12" i="2"/>
  <c r="CD184" i="2"/>
  <c r="CD41" i="2"/>
  <c r="CD168" i="2"/>
  <c r="CD130" i="2"/>
  <c r="CD72" i="2"/>
  <c r="CD86" i="2"/>
  <c r="CD165" i="2"/>
  <c r="CD109" i="2"/>
  <c r="CD44" i="2"/>
  <c r="CD35" i="2"/>
  <c r="CD113" i="2"/>
  <c r="CD73" i="2"/>
  <c r="CD163" i="2"/>
  <c r="CD21" i="2"/>
  <c r="CD74" i="2"/>
  <c r="AN132" i="2"/>
  <c r="AN85" i="2"/>
  <c r="AN101" i="2"/>
  <c r="AN186" i="2"/>
  <c r="AN7" i="2"/>
  <c r="AN83" i="2"/>
  <c r="AN46" i="2"/>
  <c r="AN102" i="2"/>
  <c r="AN66" i="2"/>
  <c r="AN87" i="2"/>
  <c r="AN175" i="2"/>
  <c r="AN33" i="2"/>
  <c r="AN172" i="2"/>
  <c r="AN194" i="2"/>
  <c r="AN18" i="2"/>
  <c r="AN16" i="2"/>
  <c r="AN38" i="2"/>
  <c r="AN117" i="2"/>
  <c r="AN51" i="2"/>
  <c r="AN121" i="2"/>
  <c r="AN97" i="2"/>
  <c r="AN9" i="2"/>
  <c r="AN63" i="2"/>
  <c r="AN78" i="2"/>
  <c r="AN141" i="2"/>
  <c r="AN181" i="2"/>
  <c r="AN177" i="2"/>
  <c r="AN180" i="2"/>
  <c r="AN20" i="2"/>
  <c r="AN122" i="2"/>
  <c r="AN195" i="2"/>
  <c r="AN162" i="2"/>
  <c r="AN178" i="2"/>
  <c r="AN150" i="2"/>
  <c r="AN129" i="2"/>
  <c r="AN48" i="2"/>
  <c r="AN198" i="2"/>
  <c r="AN108" i="2"/>
  <c r="AN94" i="2"/>
  <c r="AN192" i="2"/>
  <c r="AN69" i="2"/>
  <c r="AN158" i="2"/>
  <c r="AN62" i="2"/>
  <c r="AN68" i="2"/>
  <c r="AN12" i="2"/>
  <c r="AN8" i="2"/>
  <c r="AN110" i="2"/>
  <c r="AN197" i="2"/>
  <c r="AN13" i="2"/>
  <c r="AN103" i="2"/>
  <c r="AN32" i="2"/>
  <c r="AN203" i="2"/>
  <c r="AN156" i="2"/>
  <c r="AN168" i="2"/>
  <c r="AN128" i="2"/>
  <c r="AN199" i="2"/>
  <c r="AN82" i="2"/>
  <c r="AN134" i="2"/>
  <c r="AN148" i="2"/>
  <c r="AN146" i="2"/>
  <c r="AN44" i="2"/>
  <c r="AN124" i="2"/>
  <c r="AN163" i="2"/>
  <c r="AN135" i="2"/>
  <c r="AN131" i="2"/>
  <c r="AN88" i="2"/>
  <c r="AN80" i="2"/>
  <c r="AN188" i="2"/>
  <c r="AN187" i="2"/>
  <c r="AN155" i="2"/>
  <c r="AN25" i="2"/>
  <c r="AN35" i="2"/>
  <c r="AN42" i="2"/>
  <c r="AN174" i="2"/>
  <c r="AN171" i="2"/>
  <c r="AN41" i="2"/>
  <c r="AN105" i="2"/>
  <c r="AN34" i="2"/>
  <c r="AN58" i="2"/>
  <c r="AN5" i="2"/>
  <c r="AN98" i="2"/>
  <c r="AN173" i="2"/>
  <c r="AN143" i="2"/>
  <c r="AN136" i="2"/>
  <c r="AN70" i="2"/>
  <c r="AN140" i="2"/>
  <c r="AN29" i="2"/>
  <c r="AN50" i="2"/>
  <c r="AN75" i="2"/>
  <c r="AN126" i="2"/>
  <c r="AN73" i="2"/>
  <c r="AN189" i="2"/>
  <c r="AN54" i="2"/>
  <c r="AN154" i="2"/>
  <c r="AN60" i="2"/>
  <c r="AN184" i="2"/>
  <c r="AN31" i="2"/>
  <c r="AN167" i="2"/>
  <c r="AN144" i="2"/>
  <c r="AN160" i="2"/>
  <c r="AN138" i="2"/>
  <c r="AN74" i="2"/>
  <c r="AN118" i="2"/>
  <c r="AN27" i="2"/>
  <c r="AN190" i="2"/>
  <c r="AN89" i="2"/>
  <c r="AN3" i="2"/>
  <c r="C7" i="4" s="1"/>
  <c r="E7" i="4" s="1"/>
  <c r="F7" i="4" s="1"/>
  <c r="G7" i="4" s="1"/>
  <c r="L7" i="4" s="1"/>
  <c r="AN115" i="2"/>
  <c r="AN79" i="2"/>
  <c r="AN77" i="2"/>
  <c r="AN119" i="2"/>
  <c r="AN67" i="2"/>
  <c r="AN149" i="2"/>
  <c r="AN169" i="2"/>
  <c r="AN76" i="2"/>
  <c r="AN201" i="2"/>
  <c r="AN84" i="2"/>
  <c r="AN185" i="2"/>
  <c r="AN15" i="2"/>
  <c r="AN179" i="2"/>
  <c r="AN166" i="2"/>
  <c r="AN53" i="2"/>
  <c r="AN112" i="2"/>
  <c r="AN182" i="2"/>
  <c r="AN93" i="2"/>
  <c r="AN10" i="2"/>
  <c r="AN153" i="2"/>
  <c r="AN123" i="2"/>
  <c r="AN49" i="2"/>
  <c r="AN151" i="2"/>
  <c r="AN24" i="2"/>
  <c r="AN104" i="2"/>
  <c r="AN157" i="2"/>
  <c r="AN109" i="2"/>
  <c r="AN133" i="2"/>
  <c r="AN72" i="2"/>
  <c r="AN106" i="2"/>
  <c r="AN202" i="2"/>
  <c r="AN113" i="2"/>
  <c r="AN170" i="2"/>
  <c r="AN145" i="2"/>
  <c r="AN61" i="2"/>
  <c r="AN127" i="2"/>
  <c r="AN95" i="2"/>
  <c r="AN176" i="2"/>
  <c r="AN47" i="2"/>
  <c r="AN17" i="2"/>
  <c r="AN92" i="2"/>
  <c r="AN116" i="2"/>
  <c r="AN137" i="2"/>
  <c r="AN19" i="2"/>
  <c r="AN56" i="2"/>
  <c r="AN55" i="2"/>
  <c r="AN107" i="2"/>
  <c r="AN152" i="2"/>
  <c r="AN11" i="2"/>
  <c r="AN21" i="2"/>
  <c r="AN90" i="2"/>
  <c r="AN183" i="2"/>
  <c r="AN64" i="2"/>
  <c r="AN99" i="2"/>
  <c r="AN120" i="2"/>
  <c r="AN193" i="2"/>
  <c r="AN81" i="2"/>
  <c r="AN52" i="2"/>
  <c r="AN6" i="2"/>
  <c r="AN39" i="2"/>
  <c r="AN164" i="2"/>
  <c r="AN57" i="2"/>
  <c r="AN65" i="2"/>
  <c r="AN43" i="2"/>
  <c r="AN159" i="2"/>
  <c r="AN45" i="2"/>
  <c r="AN30" i="2"/>
  <c r="AN36" i="2"/>
  <c r="AN26" i="2"/>
  <c r="AN59" i="2"/>
  <c r="AN191" i="2"/>
  <c r="AN139" i="2"/>
  <c r="AN28" i="2"/>
  <c r="AN200" i="2"/>
  <c r="AN100" i="2"/>
  <c r="AN71" i="2"/>
  <c r="AN22" i="2"/>
  <c r="AN130" i="2"/>
  <c r="AN165" i="2"/>
  <c r="AN142" i="2"/>
  <c r="AN23" i="2"/>
  <c r="AN4" i="2"/>
  <c r="AN96" i="2"/>
  <c r="AN37" i="2"/>
  <c r="AN40" i="2"/>
  <c r="AN14" i="2"/>
  <c r="AN147" i="2"/>
  <c r="AN91" i="2"/>
  <c r="AN161" i="2"/>
  <c r="AN111" i="2"/>
  <c r="AN86" i="2"/>
  <c r="AN125" i="2"/>
  <c r="AN196" i="2"/>
  <c r="AN114" i="2"/>
  <c r="CY24" i="2"/>
  <c r="CY132" i="2"/>
  <c r="CY55" i="2"/>
  <c r="CY47" i="2"/>
  <c r="CY143" i="2"/>
  <c r="CY164" i="2"/>
  <c r="CY70" i="2"/>
  <c r="CY165" i="2"/>
  <c r="CY188" i="2"/>
  <c r="CY48" i="2"/>
  <c r="CY139" i="2"/>
  <c r="CY95" i="2"/>
  <c r="CY63" i="2"/>
  <c r="CY153" i="2"/>
  <c r="CY78" i="2"/>
  <c r="CY195" i="2"/>
  <c r="CY136" i="2"/>
  <c r="CY146" i="2"/>
  <c r="CY169" i="2"/>
  <c r="CY117" i="2"/>
  <c r="CY161" i="2"/>
  <c r="CY67" i="2"/>
  <c r="CY20" i="2"/>
  <c r="CY43" i="2"/>
  <c r="CY100" i="2"/>
  <c r="CY144" i="2"/>
  <c r="CY51" i="2"/>
  <c r="CY53" i="2"/>
  <c r="CY154" i="2"/>
  <c r="CY86" i="2"/>
  <c r="CY134" i="2"/>
  <c r="CY157" i="2"/>
  <c r="CY155" i="2"/>
  <c r="CY15" i="2"/>
  <c r="CY27" i="2"/>
  <c r="CY160" i="2"/>
  <c r="CY124" i="2"/>
  <c r="CY130" i="2"/>
  <c r="CY98" i="2"/>
  <c r="CY184" i="2"/>
  <c r="CY163" i="2"/>
  <c r="CY127" i="2"/>
  <c r="CY77" i="2"/>
  <c r="CY123" i="2"/>
  <c r="CY80" i="2"/>
  <c r="CY59" i="2"/>
  <c r="CY5" i="2"/>
  <c r="CY62" i="2"/>
  <c r="CY110" i="2"/>
  <c r="CY29" i="2"/>
  <c r="CY109" i="2"/>
  <c r="CY10" i="2"/>
  <c r="CY12" i="2"/>
  <c r="CY4" i="2"/>
  <c r="CY189" i="2"/>
  <c r="CY99" i="2"/>
  <c r="CY13" i="2"/>
  <c r="CY22" i="2"/>
  <c r="CY148" i="2"/>
  <c r="CY83" i="2"/>
  <c r="CY90" i="2"/>
  <c r="CY21" i="2"/>
  <c r="CY73" i="2"/>
  <c r="CY115" i="2"/>
  <c r="CY177" i="2"/>
  <c r="CY71" i="2"/>
  <c r="CY26" i="2"/>
  <c r="CY94" i="2"/>
  <c r="CY111" i="2"/>
  <c r="CY31" i="2"/>
  <c r="CY61" i="2"/>
  <c r="CY126" i="2"/>
  <c r="CY45" i="2"/>
  <c r="CY152" i="2"/>
  <c r="CY162" i="2"/>
  <c r="CY91" i="2"/>
  <c r="CY88" i="2"/>
  <c r="CY200" i="2"/>
  <c r="CY145" i="2"/>
  <c r="CY41" i="2"/>
  <c r="CY116" i="2"/>
  <c r="CY36" i="2"/>
  <c r="CY202" i="2"/>
  <c r="CY167" i="2"/>
  <c r="CY191" i="2"/>
  <c r="CY179" i="2"/>
  <c r="CY176" i="2"/>
  <c r="CY197" i="2"/>
  <c r="CY44" i="2"/>
  <c r="CY96" i="2"/>
  <c r="CY58" i="2"/>
  <c r="CY54" i="2"/>
  <c r="CY74" i="2"/>
  <c r="CY187" i="2"/>
  <c r="CY149" i="2"/>
  <c r="CY84" i="2"/>
  <c r="CY42" i="2"/>
  <c r="CY137" i="2"/>
  <c r="CY158" i="2"/>
  <c r="CY82" i="2"/>
  <c r="CY56" i="2"/>
  <c r="CY119" i="2"/>
  <c r="CY103" i="2"/>
  <c r="CY147" i="2"/>
  <c r="CY174" i="2"/>
  <c r="CY6" i="2"/>
  <c r="CY175" i="2"/>
  <c r="CY138" i="2"/>
  <c r="CY69" i="2"/>
  <c r="CY32" i="2"/>
  <c r="CY87" i="2"/>
  <c r="CY81" i="2"/>
  <c r="CY193" i="2"/>
  <c r="CY35" i="2"/>
  <c r="CY30" i="2"/>
  <c r="CY159" i="2"/>
  <c r="CY172" i="2"/>
  <c r="CY131" i="2"/>
  <c r="CY135" i="2"/>
  <c r="CY168" i="2"/>
  <c r="CY52" i="2"/>
  <c r="CY106" i="2"/>
  <c r="CY113" i="2"/>
  <c r="CY79" i="2"/>
  <c r="CY8" i="2"/>
  <c r="CY140" i="2"/>
  <c r="CY133" i="2"/>
  <c r="CY18" i="2"/>
  <c r="CY104" i="2"/>
  <c r="CY64" i="2"/>
  <c r="CY142" i="2"/>
  <c r="CY92" i="2"/>
  <c r="CY182" i="2"/>
  <c r="CY128" i="2"/>
  <c r="CY150" i="2"/>
  <c r="CY97" i="2"/>
  <c r="CY38" i="2"/>
  <c r="CY166" i="2"/>
  <c r="CY65" i="2"/>
  <c r="CY93" i="2"/>
  <c r="CY192" i="2"/>
  <c r="CY3" i="2"/>
  <c r="C10" i="4" s="1"/>
  <c r="E10" i="4" s="1"/>
  <c r="F10" i="4" s="1"/>
  <c r="G10" i="4" s="1"/>
  <c r="L10" i="4" s="1"/>
  <c r="CY108" i="2"/>
  <c r="CY46" i="2"/>
  <c r="CY28" i="2"/>
  <c r="CY125" i="2"/>
  <c r="CY198" i="2"/>
  <c r="CY120" i="2"/>
  <c r="CY170" i="2"/>
  <c r="CY180" i="2"/>
  <c r="CY57" i="2"/>
  <c r="CY89" i="2"/>
  <c r="CY66" i="2"/>
  <c r="CY203" i="2"/>
  <c r="CY201" i="2"/>
  <c r="CY173" i="2"/>
  <c r="CY199" i="2"/>
  <c r="CY17" i="2"/>
  <c r="CY11" i="2"/>
  <c r="CY76" i="2"/>
  <c r="CY181" i="2"/>
  <c r="CY68" i="2"/>
  <c r="CY194" i="2"/>
  <c r="CY101" i="2"/>
  <c r="CY39" i="2"/>
  <c r="CY112" i="2"/>
  <c r="CY186" i="2"/>
  <c r="CY50" i="2"/>
  <c r="CY19" i="2"/>
  <c r="CY122" i="2"/>
  <c r="CY75" i="2"/>
  <c r="CY129" i="2"/>
  <c r="CY7" i="2"/>
  <c r="CY102" i="2"/>
  <c r="CY16" i="2"/>
  <c r="CY49" i="2"/>
  <c r="CY40" i="2"/>
  <c r="CY171" i="2"/>
  <c r="CY141" i="2"/>
  <c r="CY105" i="2"/>
  <c r="CY25" i="2"/>
  <c r="CY151" i="2"/>
  <c r="CY185" i="2"/>
  <c r="CY60" i="2"/>
  <c r="CY190" i="2"/>
  <c r="CY37" i="2"/>
  <c r="CY9" i="2"/>
  <c r="CY107" i="2"/>
  <c r="CY33" i="2"/>
  <c r="CY114" i="2"/>
  <c r="CY14" i="2"/>
  <c r="CY156" i="2"/>
  <c r="CY121" i="2"/>
  <c r="CY183" i="2"/>
  <c r="CY85" i="2"/>
  <c r="CY23" i="2"/>
  <c r="CY178" i="2"/>
  <c r="CY72" i="2"/>
  <c r="CY118" i="2"/>
  <c r="CY196" i="2"/>
  <c r="CY34" i="2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47" i="2" l="1"/>
  <c r="BI108" i="2"/>
  <c r="BI73" i="2"/>
  <c r="BI158" i="2"/>
  <c r="BI174" i="2"/>
  <c r="BI58" i="2"/>
  <c r="BI182" i="2"/>
  <c r="BI110" i="2"/>
  <c r="BI75" i="2"/>
  <c r="BI15" i="2"/>
  <c r="BI32" i="2"/>
  <c r="BI177" i="2"/>
  <c r="BI9" i="2"/>
  <c r="BI71" i="2"/>
  <c r="BI45" i="2"/>
  <c r="BI132" i="2"/>
  <c r="BI67" i="2"/>
  <c r="BI92" i="2"/>
  <c r="BI111" i="2"/>
  <c r="BI199" i="2"/>
  <c r="BI94" i="2"/>
  <c r="BI89" i="2"/>
  <c r="BI117" i="2"/>
  <c r="BI19" i="2"/>
  <c r="BI57" i="2"/>
  <c r="BI23" i="2"/>
  <c r="BI29" i="2"/>
  <c r="BI74" i="2"/>
  <c r="BI191" i="2"/>
  <c r="BI168" i="2"/>
  <c r="BI93" i="2"/>
  <c r="BI121" i="2"/>
  <c r="BI106" i="2"/>
  <c r="BI79" i="2"/>
  <c r="BI196" i="2"/>
  <c r="BI85" i="2"/>
  <c r="BI164" i="2"/>
  <c r="BI149" i="2"/>
  <c r="BI13" i="2"/>
  <c r="BI116" i="2"/>
  <c r="BI76" i="2"/>
  <c r="BI127" i="2"/>
  <c r="BI178" i="2"/>
  <c r="BI6" i="2"/>
  <c r="BI66" i="2"/>
  <c r="BI114" i="2"/>
  <c r="BI5" i="2"/>
  <c r="BI173" i="2"/>
  <c r="BI170" i="2"/>
  <c r="BI189" i="2"/>
  <c r="BI133" i="2"/>
  <c r="BI165" i="2"/>
  <c r="BI44" i="2"/>
  <c r="BI86" i="2"/>
  <c r="BI143" i="2"/>
  <c r="BI33" i="2"/>
  <c r="BI115" i="2"/>
  <c r="BI10" i="2"/>
  <c r="BI11" i="2"/>
  <c r="BI194" i="2"/>
  <c r="BI112" i="2"/>
  <c r="BI53" i="2"/>
  <c r="BI42" i="2"/>
  <c r="BI109" i="2"/>
  <c r="BI39" i="2"/>
  <c r="BI113" i="2"/>
  <c r="BI156" i="2"/>
  <c r="BI34" i="2"/>
  <c r="BI134" i="2"/>
  <c r="BI24" i="2"/>
  <c r="BI97" i="2"/>
  <c r="BI35" i="2"/>
  <c r="BI82" i="2"/>
  <c r="BI197" i="2"/>
  <c r="BI40" i="2"/>
  <c r="BI3" i="2"/>
  <c r="C8" i="4" s="1"/>
  <c r="E8" i="4" s="1"/>
  <c r="F8" i="4" s="1"/>
  <c r="G8" i="4" s="1"/>
  <c r="L8" i="4" s="1"/>
  <c r="BI120" i="2"/>
  <c r="BI185" i="2"/>
  <c r="BI43" i="2"/>
  <c r="BI56" i="2"/>
  <c r="BI54" i="2"/>
  <c r="BI99" i="2"/>
  <c r="BI128" i="2"/>
  <c r="BI181" i="2"/>
  <c r="BI46" i="2"/>
  <c r="BI131" i="2"/>
  <c r="BI21" i="2"/>
  <c r="BI138" i="2"/>
  <c r="BI101" i="2"/>
  <c r="BI7" i="2"/>
  <c r="BI51" i="2"/>
  <c r="BI146" i="2"/>
  <c r="BI186" i="2"/>
  <c r="BI195" i="2"/>
  <c r="BI60" i="2"/>
  <c r="BI49" i="2"/>
  <c r="BI65" i="2"/>
  <c r="BI26" i="2"/>
  <c r="BI142" i="2"/>
  <c r="BI122" i="2"/>
  <c r="BI151" i="2"/>
  <c r="BI20" i="2"/>
  <c r="BI200" i="2"/>
  <c r="BI126" i="2"/>
  <c r="BI36" i="2"/>
  <c r="BI70" i="2"/>
  <c r="BI180" i="2"/>
  <c r="BI124" i="2"/>
  <c r="BI184" i="2"/>
  <c r="BI98" i="2"/>
  <c r="BI84" i="2"/>
  <c r="BI118" i="2"/>
  <c r="BI28" i="2"/>
  <c r="BI37" i="2"/>
  <c r="BI161" i="2"/>
  <c r="BI172" i="2"/>
  <c r="BI157" i="2"/>
  <c r="BI4" i="2"/>
  <c r="BI192" i="2"/>
  <c r="BI163" i="2"/>
  <c r="BI50" i="2"/>
  <c r="BI90" i="2"/>
  <c r="BI155" i="2"/>
  <c r="BI130" i="2"/>
  <c r="BI16" i="2"/>
  <c r="BI179" i="2"/>
  <c r="BI96" i="2"/>
  <c r="BI27" i="2"/>
  <c r="BI103" i="2"/>
  <c r="BI171" i="2"/>
  <c r="BI139" i="2"/>
  <c r="BI137" i="2"/>
  <c r="BI41" i="2"/>
  <c r="BI123" i="2"/>
  <c r="BI63" i="2"/>
  <c r="BI38" i="2"/>
  <c r="BI202" i="2"/>
  <c r="BI125" i="2"/>
  <c r="BI30" i="2"/>
  <c r="BI17" i="2"/>
  <c r="BI159" i="2"/>
  <c r="BI8" i="2"/>
  <c r="BI160" i="2"/>
  <c r="BI62" i="2"/>
  <c r="BI148" i="2"/>
  <c r="BI150" i="2"/>
  <c r="BI78" i="2"/>
  <c r="BI25" i="2"/>
  <c r="BI187" i="2"/>
  <c r="BI166" i="2"/>
  <c r="BI190" i="2"/>
  <c r="BI119" i="2"/>
  <c r="BI162" i="2"/>
  <c r="BI141" i="2"/>
  <c r="BI55" i="2"/>
  <c r="BI140" i="2"/>
  <c r="BI176" i="2"/>
  <c r="BI80" i="2"/>
  <c r="BI193" i="2"/>
  <c r="BI52" i="2"/>
  <c r="BI104" i="2"/>
  <c r="BI31" i="2"/>
  <c r="BI201" i="2"/>
  <c r="BI169" i="2"/>
  <c r="BI154" i="2"/>
  <c r="BI198" i="2"/>
  <c r="BI105" i="2"/>
  <c r="BI135" i="2"/>
  <c r="BI69" i="2"/>
  <c r="BI14" i="2"/>
  <c r="BI147" i="2"/>
  <c r="BI88" i="2"/>
  <c r="BI100" i="2"/>
  <c r="BI153" i="2"/>
  <c r="BI152" i="2"/>
  <c r="BI12" i="2"/>
  <c r="BI48" i="2"/>
  <c r="BI64" i="2"/>
  <c r="BI175" i="2"/>
  <c r="BI107" i="2"/>
  <c r="BI61" i="2"/>
  <c r="BI136" i="2"/>
  <c r="BI22" i="2"/>
  <c r="BI167" i="2"/>
  <c r="BI183" i="2"/>
  <c r="BI102" i="2"/>
  <c r="BI95" i="2"/>
  <c r="BI129" i="2"/>
  <c r="BI83" i="2"/>
  <c r="BI203" i="2"/>
  <c r="BI72" i="2"/>
  <c r="BI59" i="2"/>
  <c r="BI77" i="2"/>
  <c r="BI68" i="2"/>
  <c r="BI188" i="2"/>
  <c r="BI144" i="2"/>
  <c r="BI87" i="2"/>
  <c r="BI81" i="2"/>
  <c r="BI145" i="2"/>
  <c r="BI91" i="2"/>
  <c r="BI18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<sst xmlns="http://schemas.openxmlformats.org/spreadsheetml/2006/main" count="1175" uniqueCount="326">
  <si>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</si>
  <si>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</si>
  <si>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</si>
  <si>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</si>
  <si>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</si>
  <si>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</si>
  <si>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</si>
  <si>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</si>
  <si>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</si>
  <si>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</si>
  <si>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</si>
  <si>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</si>
  <si>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</si>
  <si>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</si>
  <si>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</si>
  <si>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</si>
  <si>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</si>
  <si>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</si>
  <si>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</si>
  <si>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</si>
  <si>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</si>
  <si>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</si>
  <si>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</si>
  <si>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</si>
  <si>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</si>
  <si>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</si>
  <si>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</si>
  <si>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</si>
  <si>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</si>
  <si>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</si>
  <si>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</si>
  <si>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</si>
  <si>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</si>
  <si>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</si>
  <si>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</si>
  <si>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</si>
  <si>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</si>
  <si>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</si>
  <si>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</si>
  <si>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</si>
  <si>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</si>
  <si>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</si>
  <si>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</si>
  <si>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</si>
  <si>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</si>
  <si>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</si>
  <si>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</si>
  <si>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</si>
  <si>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</si>
  <si>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</si>
  <si>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</si>
  <si>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</si>
  <si>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</si>
  <si>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</si>
  <si>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</si>
  <si>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</si>
  <si>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</si>
  <si>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</si>
  <si>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</si>
  <si>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</si>
  <si>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</si>
  <si>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</si>
  <si>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</si>
  <si>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</si>
  <si>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</si>
  <si>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</si>
  <si>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</si>
  <si>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</si>
  <si>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</si>
  <si>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</si>
  <si>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</si>
  <si>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</si>
  <si>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</si>
  <si>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</si>
  <si>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</si>
  <si>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</si>
  <si>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</si>
  <si>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</si>
  <si>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</si>
  <si>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</si>
  <si>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</si>
  <si>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</si>
  <si>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</si>
  <si>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</si>
  <si>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</si>
  <si>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</si>
  <si>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</si>
  <si>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</si>
  <si>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</si>
  <si>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</si>
  <si>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</si>
  <si>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</si>
  <si>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</si>
  <si>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</si>
  <si>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</si>
  <si>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</si>
  <si>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</si>
  <si>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</si>
  <si>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</si>
  <si>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</si>
  <si>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</si>
  <si>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</si>
  <si>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</si>
  <si>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</si>
  <si>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</si>
  <si>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</si>
  <si>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</si>
  <si>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</si>
  <si>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</si>
  <si>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</si>
  <si>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</si>
  <si>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</si>
  <si>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</si>
  <si>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</si>
  <si>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</si>
  <si>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</si>
  <si>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</si>
  <si>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</si>
  <si>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</si>
  <si>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</si>
  <si>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</si>
  <si>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</si>
  <si>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</si>
  <si>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</si>
  <si>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</si>
  <si>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</si>
  <si>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</si>
  <si>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</si>
  <si>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</si>
  <si>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</si>
  <si>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</si>
  <si>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</si>
  <si>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</si>
  <si>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</si>
  <si>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</si>
  <si>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</si>
  <si>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</si>
  <si>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</si>
  <si>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</si>
  <si>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</si>
  <si>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</si>
  <si>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</si>
  <si>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</si>
  <si>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</si>
  <si>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</si>
  <si>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</si>
  <si>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</si>
  <si>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</si>
  <si>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</si>
  <si>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</si>
  <si>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</si>
  <si>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</si>
  <si>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</si>
  <si>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</si>
  <si>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</si>
  <si>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</si>
  <si>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</si>
  <si>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</si>
  <si>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</si>
  <si>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</si>
  <si>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</si>
  <si>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</si>
  <si>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</si>
  <si>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</si>
  <si>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</si>
  <si>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</si>
  <si>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</si>
  <si>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</si>
  <si>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</si>
  <si>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</si>
  <si>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</si>
  <si>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</si>
  <si>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</si>
  <si>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</si>
  <si>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</si>
  <si>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</si>
  <si>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</si>
  <si>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</si>
  <si>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</si>
  <si>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</si>
  <si>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</si>
  <si>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</si>
  <si>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</si>
  <si>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</si>
  <si>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</si>
  <si>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</si>
  <si>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</si>
  <si>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</si>
  <si>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</si>
  <si>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</si>
  <si>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</si>
  <si>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</si>
  <si>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</si>
  <si>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</si>
  <si>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</si>
  <si>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</si>
  <si>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</si>
  <si>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</si>
  <si>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</si>
  <si>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</si>
  <si>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</si>
  <si>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</si>
  <si>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</si>
  <si>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</si>
  <si>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</si>
  <si>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</si>
  <si>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</si>
  <si>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</si>
  <si>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</si>
  <si>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</si>
  <si>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</si>
  <si>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</si>
  <si>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</si>
  <si>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</si>
  <si>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</si>
  <si>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</si>
  <si>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</si>
  <si>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</si>
  <si>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</si>
  <si>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</si>
  <si>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</si>
  <si>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</si>
  <si>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</si>
  <si>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</si>
  <si>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</si>
  <si>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</si>
  <si>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</si>
  <si>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</si>
  <si>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</si>
  <si>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</si>
  <si>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</si>
  <si>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</si>
  <si>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</si>
  <si>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</si>
  <si>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</si>
  <si>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</si>
  <si>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</si>
  <si>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</si>
  <si>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</si>
  <si>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</si>
  <si>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</si>
  <si>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</si>
  <si>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</si>
  <si>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</si>
  <si>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</si>
  <si>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</si>
  <si>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</si>
  <si>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</si>
  <si>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</si>
  <si>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</si>
  <si>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</si>
  <si>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</si>
  <si>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</si>
  <si>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</si>
  <si>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</si>
  <si>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</si>
  <si>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</si>
  <si>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</si>
  <si>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</si>
  <si>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</si>
  <si>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</si>
  <si>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</si>
  <si>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</si>
  <si>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</si>
  <si>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</si>
  <si>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</si>
  <si>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</si>
  <si>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</si>
  <si>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</si>
  <si>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</si>
  <si>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</si>
  <si>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</si>
  <si>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</si>
  <si>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</si>
  <si>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</si>
  <si>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</si>
  <si>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</si>
  <si>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</si>
  <si>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</si>
  <si>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</si>
  <si>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</si>
  <si>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</si>
  <si>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</si>
  <si>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</si>
  <si>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</si>
  <si>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</si>
  <si>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</si>
  <si>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</si>
  <si>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</si>
  <si>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</si>
  <si>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</si>
  <si>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</si>
  <si>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</si>
  <si>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</si>
  <si>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</si>
  <si>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</si>
  <si>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</si>
  <si>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</si>
  <si>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</si>
  <si>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</si>
  <si>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</si>
  <si>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</si>
  <si>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</si>
  <si>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</si>
  <si>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</si>
  <si>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</si>
  <si>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</si>
  <si>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</si>
  <si>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</si>
  <si>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</si>
  <si>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</si>
  <si>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</si>
  <si>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</si>
  <si>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</si>
  <si>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</si>
  <si>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</si>
  <si>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</si>
  <si>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</si>
  <si>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</si>
  <si>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</si>
  <si>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</si>
  <si>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</si>
  <si>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</si>
  <si>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</si>
  <si>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pommier sauvage</t>
  </si>
  <si>
    <t>poirier sauvage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</si>
</sst>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2.1940002830390566</c:v>
                </c:pt>
                <c:pt idx="2">
                  <c:v>3.1045686165948538</c:v>
                </c:pt>
                <c:pt idx="3">
                  <c:v>4.3947013277262581</c:v>
                </c:pt>
                <c:pt idx="4">
                  <c:v>6.2232657031808714</c:v>
                </c:pt>
                <c:pt idx="5">
                  <c:v>8.8158762058820344</c:v>
                </c:pt>
                <c:pt idx="6">
                  <c:v>12.493036245630696</c:v>
                </c:pt>
                <c:pt idx="7">
                  <c:v>17.710183078386564</c:v>
                </c:pt>
                <c:pt idx="8">
                  <c:v>25.114685188929467</c:v>
                </c:pt>
                <c:pt idx="9">
                  <c:v>35.626989116334002</c:v>
                </c:pt>
                <c:pt idx="10">
                  <c:v>50.556175876839468</c:v>
                </c:pt>
                <c:pt idx="11">
                  <c:v>71.76455709729801</c:v>
                </c:pt>
                <c:pt idx="12">
                  <c:v>101.90217630642276</c:v>
                </c:pt>
                <c:pt idx="13">
                  <c:v>126.6774958532839</c:v>
                </c:pt>
                <c:pt idx="14">
                  <c:v>151.33494848914387</c:v>
                </c:pt>
                <c:pt idx="15">
                  <c:v>128.49351401488124</c:v>
                </c:pt>
                <c:pt idx="16">
                  <c:v>152.53988816763055</c:v>
                </c:pt>
                <c:pt idx="17">
                  <c:v>176.49586999908544</c:v>
                </c:pt>
                <c:pt idx="18">
                  <c:v>200.37547244281248</c:v>
                </c:pt>
                <c:pt idx="19">
                  <c:v>224.18908393280142</c:v>
                </c:pt>
                <c:pt idx="20">
                  <c:v>175.85827410459771</c:v>
                </c:pt>
                <c:pt idx="21">
                  <c:v>198.54114021779469</c:v>
                </c:pt>
                <c:pt idx="22">
                  <c:v>221.16386637311743</c:v>
                </c:pt>
                <c:pt idx="23">
                  <c:v>243.73347018256243</c:v>
                </c:pt>
                <c:pt idx="24">
                  <c:v>266.25556181785299</c:v>
                </c:pt>
                <c:pt idx="25">
                  <c:v>288.73472412555719</c:v>
                </c:pt>
                <c:pt idx="26">
                  <c:v>241.99735741936033</c:v>
                </c:pt>
                <c:pt idx="27">
                  <c:v>263.22482328379914</c:v>
                </c:pt>
                <c:pt idx="28">
                  <c:v>284.4136721035909</c:v>
                </c:pt>
                <c:pt idx="29">
                  <c:v>305.56718441239605</c:v>
                </c:pt>
                <c:pt idx="30">
                  <c:v>326.68814940743124</c:v>
                </c:pt>
                <c:pt idx="31">
                  <c:v>347.77896621716781</c:v>
                </c:pt>
                <c:pt idx="32">
                  <c:v>368.84171929427953</c:v>
                </c:pt>
                <c:pt idx="33">
                  <c:v>306.26573154666147</c:v>
                </c:pt>
                <c:pt idx="34">
                  <c:v>325.34802988622567</c:v>
                </c:pt>
                <c:pt idx="35">
                  <c:v>344.40560805799942</c:v>
                </c:pt>
                <c:pt idx="36">
                  <c:v>363.44002584805622</c:v>
                </c:pt>
                <c:pt idx="37">
                  <c:v>382.45266636774107</c:v>
                </c:pt>
                <c:pt idx="38">
                  <c:v>401.44476403526892</c:v>
                </c:pt>
                <c:pt idx="39">
                  <c:v>420.41742698462764</c:v>
                </c:pt>
                <c:pt idx="40">
                  <c:v>439.37165521801188</c:v>
                </c:pt>
                <c:pt idx="41">
                  <c:v>458.3083554626607</c:v>
                </c:pt>
                <c:pt idx="42">
                  <c:v>477.2283534445549</c:v>
                </c:pt>
                <c:pt idx="43">
                  <c:v>496.13240411472333</c:v>
                </c:pt>
                <c:pt idx="44">
                  <c:v>515.02120023621649</c:v>
                </c:pt>
                <c:pt idx="45">
                  <c:v>533.89537964621024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3.0087226414567669</c:v>
                </c:pt>
                <c:pt idx="2">
                  <c:v>3.5108476078662108</c:v>
                </c:pt>
                <c:pt idx="3">
                  <c:v>4.0970748640048145</c:v>
                </c:pt>
                <c:pt idx="4">
                  <c:v>4.7815388030266117</c:v>
                </c:pt>
                <c:pt idx="5">
                  <c:v>5.5807568124477021</c:v>
                </c:pt>
                <c:pt idx="6">
                  <c:v>6.5140322200651282</c:v>
                </c:pt>
                <c:pt idx="7">
                  <c:v>7.6039255601982383</c:v>
                </c:pt>
                <c:pt idx="8">
                  <c:v>8.8768057730178018</c:v>
                </c:pt>
                <c:pt idx="9">
                  <c:v>10.363494928110297</c:v>
                </c:pt>
                <c:pt idx="10">
                  <c:v>12.10002237954779</c:v>
                </c:pt>
                <c:pt idx="11">
                  <c:v>14.128506971363736</c:v>
                </c:pt>
                <c:pt idx="12">
                  <c:v>16.498189087134325</c:v>
                </c:pt>
                <c:pt idx="13">
                  <c:v>19.26663805459118</c:v>
                </c:pt>
                <c:pt idx="14">
                  <c:v>22.501164768686721</c:v>
                </c:pt>
                <c:pt idx="15">
                  <c:v>26.280474493057593</c:v>
                </c:pt>
                <c:pt idx="16">
                  <c:v>30.696600767791892</c:v>
                </c:pt>
                <c:pt idx="17">
                  <c:v>35.857168340064412</c:v>
                </c:pt>
                <c:pt idx="18">
                  <c:v>41.888041218423993</c:v>
                </c:pt>
                <c:pt idx="19">
                  <c:v>48.936421536169718</c:v>
                </c:pt>
                <c:pt idx="20">
                  <c:v>57.174476134362976</c:v>
                </c:pt>
                <c:pt idx="21">
                  <c:v>66.803580921820739</c:v>
                </c:pt>
                <c:pt idx="22">
                  <c:v>78.059288467429198</c:v>
                </c:pt>
                <c:pt idx="23">
                  <c:v>91.217142315400451</c:v>
                </c:pt>
                <c:pt idx="24">
                  <c:v>106.5994826390658</c:v>
                </c:pt>
                <c:pt idx="25">
                  <c:v>124.58341259357769</c:v>
                </c:pt>
                <c:pt idx="26">
                  <c:v>145.61012371366715</c:v>
                </c:pt>
                <c:pt idx="27">
                  <c:v>170.19581265731912</c:v>
                </c:pt>
                <c:pt idx="28">
                  <c:v>198.94446137293639</c:v>
                </c:pt>
                <c:pt idx="29">
                  <c:v>232.56279936595885</c:v>
                </c:pt>
                <c:pt idx="30">
                  <c:v>271.87782133255809</c:v>
                </c:pt>
                <c:pt idx="31">
                  <c:v>289.40050775542738</c:v>
                </c:pt>
                <c:pt idx="32">
                  <c:v>306.89948661909699</c:v>
                </c:pt>
                <c:pt idx="33">
                  <c:v>324.37629966034967</c:v>
                </c:pt>
                <c:pt idx="34">
                  <c:v>341.83230892368016</c:v>
                </c:pt>
                <c:pt idx="35">
                  <c:v>359.26872600336202</c:v>
                </c:pt>
                <c:pt idx="36">
                  <c:v>247.89733645105045</c:v>
                </c:pt>
                <c:pt idx="37">
                  <c:v>268.19388020667236</c:v>
                </c:pt>
                <c:pt idx="38">
                  <c:v>288.45583932928986</c:v>
                </c:pt>
                <c:pt idx="39">
                  <c:v>308.68598402892115</c:v>
                </c:pt>
                <c:pt idx="40">
                  <c:v>328.88669175033129</c:v>
                </c:pt>
                <c:pt idx="41">
                  <c:v>349.06002407123111</c:v>
                </c:pt>
                <c:pt idx="42">
                  <c:v>285.79224141654947</c:v>
                </c:pt>
                <c:pt idx="43">
                  <c:v>306.09401640717579</c:v>
                </c:pt>
                <c:pt idx="44">
                  <c:v>326.36586944014971</c:v>
                </c:pt>
                <c:pt idx="45">
                  <c:v>346.60991967996711</c:v>
                </c:pt>
                <c:pt idx="46">
                  <c:v>366.82801859171565</c:v>
                </c:pt>
                <c:pt idx="47">
                  <c:v>387.02179695470642</c:v>
                </c:pt>
                <c:pt idx="48">
                  <c:v>407.19270154733061</c:v>
                </c:pt>
                <c:pt idx="49">
                  <c:v>322.52624611434106</c:v>
                </c:pt>
                <c:pt idx="50">
                  <c:v>341.75417681771773</c:v>
                </c:pt>
                <c:pt idx="51">
                  <c:v>360.95833005636797</c:v>
                </c:pt>
                <c:pt idx="52">
                  <c:v>380.14014828828573</c:v>
                </c:pt>
                <c:pt idx="53">
                  <c:v>399.30091656620198</c:v>
                </c:pt>
                <c:pt idx="54">
                  <c:v>418.44178659894851</c:v>
                </c:pt>
                <c:pt idx="55">
                  <c:v>437.5637961800831</c:v>
                </c:pt>
                <c:pt idx="56">
                  <c:v>358.19232987465165</c:v>
                </c:pt>
                <c:pt idx="57">
                  <c:v>376.29808691039671</c:v>
                </c:pt>
                <c:pt idx="58">
                  <c:v>394.38487870169996</c:v>
                </c:pt>
                <c:pt idx="59">
                  <c:v>412.45369704960848</c:v>
                </c:pt>
                <c:pt idx="60">
                  <c:v>430.5054397993909</c:v>
                </c:pt>
                <c:pt idx="61">
                  <c:v>448.5409233888675</c:v>
                </c:pt>
                <c:pt idx="62">
                  <c:v>466.56089327347831</c:v>
                </c:pt>
                <c:pt idx="63">
                  <c:v>484.56603265711283</c:v>
                </c:pt>
                <c:pt idx="64">
                  <c:v>412.17893074941077</c:v>
                </c:pt>
                <c:pt idx="65">
                  <c:v>429.64045267146838</c:v>
                </c:pt>
                <c:pt idx="66">
                  <c:v>447.08672748141743</c:v>
                </c:pt>
                <c:pt idx="67">
                  <c:v>464.51843363445579</c:v>
                </c:pt>
                <c:pt idx="68">
                  <c:v>481.93619453558449</c:v>
                </c:pt>
                <c:pt idx="69">
                  <c:v>499.34058487547105</c:v>
                </c:pt>
                <c:pt idx="70">
                  <c:v>516.73213603723241</c:v>
                </c:pt>
                <c:pt idx="71">
                  <c:v>534.11134073767619</c:v>
                </c:pt>
                <c:pt idx="72">
                  <c:v>465.17954885268017</c:v>
                </c:pt>
                <c:pt idx="73">
                  <c:v>482.04316980390769</c:v>
                </c:pt>
                <c:pt idx="74">
                  <c:v>498.89426037594058</c:v>
                </c:pt>
                <c:pt idx="75">
                  <c:v>515.73330318528781</c:v>
                </c:pt>
                <c:pt idx="76">
                  <c:v>532.56074677914216</c:v>
                </c:pt>
                <c:pt idx="77">
                  <c:v>549.37700906307009</c:v>
                </c:pt>
                <c:pt idx="78">
                  <c:v>566.18248028736184</c:v>
                </c:pt>
                <c:pt idx="79">
                  <c:v>582.97752566054419</c:v>
                </c:pt>
                <c:pt idx="80">
                  <c:v>599.76248764621027</c:v>
                </c:pt>
                <c:pt idx="81">
                  <c:v>518.09206546381745</c:v>
                </c:pt>
                <c:pt idx="82">
                  <c:v>534.17244594763531</c:v>
                </c:pt>
                <c:pt idx="83">
                  <c:v>550.24264963990129</c:v>
                </c:pt>
                <c:pt idx="84">
                  <c:v>566.30301546114595</c:v>
                </c:pt>
                <c:pt idx="85">
                  <c:v>582.35386155149251</c:v>
                </c:pt>
                <c:pt idx="86">
                  <c:v>598.39548709420285</c:v>
                </c:pt>
                <c:pt idx="87">
                  <c:v>614.42817393361702</c:v>
                </c:pt>
                <c:pt idx="88">
                  <c:v>630.45218801553835</c:v>
                </c:pt>
                <c:pt idx="89">
                  <c:v>646.46778067365142</c:v>
                </c:pt>
                <c:pt idx="90">
                  <c:v>556.15206169982241</c:v>
                </c:pt>
                <c:pt idx="91">
                  <c:v>571.53037088991698</c:v>
                </c:pt>
                <c:pt idx="92">
                  <c:v>586.90003943089653</c:v>
                </c:pt>
                <c:pt idx="93">
                  <c:v>602.26132535349961</c:v>
                </c:pt>
                <c:pt idx="94">
                  <c:v>617.61447246005116</c:v>
                </c:pt>
                <c:pt idx="95">
                  <c:v>632.959711450545</c:v>
                </c:pt>
                <c:pt idx="96">
                  <c:v>648.29726093391207</c:v>
                </c:pt>
                <c:pt idx="97">
                  <c:v>663.62732833867324</c:v>
                </c:pt>
                <c:pt idx="98">
                  <c:v>678.95011073512603</c:v>
                </c:pt>
                <c:pt idx="99">
                  <c:v>694.2657955795047</c:v>
                </c:pt>
                <c:pt idx="100">
                  <c:v>606.63308794985437</c:v>
                </c:pt>
                <c:pt idx="101">
                  <c:v>621.58925272201895</c:v>
                </c:pt>
                <c:pt idx="102">
                  <c:v>636.53796577494143</c:v>
                </c:pt>
                <c:pt idx="103">
                  <c:v>651.4794266557285</c:v>
                </c:pt>
                <c:pt idx="104">
                  <c:v>666.41382501786131</c:v>
                </c:pt>
                <c:pt idx="105">
                  <c:v>681.34134132702582</c:v>
                </c:pt>
                <c:pt idx="106">
                  <c:v>696.26214750191286</c:v>
                </c:pt>
                <c:pt idx="107">
                  <c:v>711.17640749727218</c:v>
                </c:pt>
                <c:pt idx="108">
                  <c:v>726.08427783554998</c:v>
                </c:pt>
                <c:pt idx="109">
                  <c:v>740.98590809262998</c:v>
                </c:pt>
                <c:pt idx="110">
                  <c:v>646.18020296138786</c:v>
                </c:pt>
                <c:pt idx="111">
                  <c:v>660.80226469034722</c:v>
                </c:pt>
                <c:pt idx="112">
                  <c:v>675.41766750836848</c:v>
                </c:pt>
                <c:pt idx="113">
                  <c:v>690.0265757157855</c:v>
                </c:pt>
                <c:pt idx="114">
                  <c:v>704.62914609342045</c:v>
                </c:pt>
                <c:pt idx="115">
                  <c:v>719.22552839864682</c:v>
                </c:pt>
                <c:pt idx="116">
                  <c:v>733.81586581911563</c:v>
                </c:pt>
                <c:pt idx="117">
                  <c:v>748.40029538855197</c:v>
                </c:pt>
                <c:pt idx="118">
                  <c:v>762.97894836847956</c:v>
                </c:pt>
                <c:pt idx="119">
                  <c:v>777.5519505992778</c:v>
                </c:pt>
                <c:pt idx="120">
                  <c:v>464.90453348622685</c:v>
                </c:pt>
                <c:pt idx="121">
                  <c:v>473.14200892852932</c:v>
                </c:pt>
                <c:pt idx="122">
                  <c:v>481.37643199343637</c:v>
                </c:pt>
                <c:pt idx="123">
                  <c:v>489.60786227699856</c:v>
                </c:pt>
                <c:pt idx="124">
                  <c:v>328.15381176579973</c:v>
                </c:pt>
                <c:pt idx="125">
                  <c:v>333.21377234826485</c:v>
                </c:pt>
                <c:pt idx="126">
                  <c:v>338.27203930015747</c:v>
                </c:pt>
                <c:pt idx="127">
                  <c:v>343.32864155402268</c:v>
                </c:pt>
                <c:pt idx="128">
                  <c:v>238.1059492103326</c:v>
                </c:pt>
                <c:pt idx="129">
                  <c:v>241.39406120554722</c:v>
                </c:pt>
                <c:pt idx="130">
                  <c:v>244.68115388085121</c:v>
                </c:pt>
                <c:pt idx="131">
                  <c:v>247.96724289368044</c:v>
                </c:pt>
                <c:pt idx="132">
                  <c:v>1.0901632165820347E-11</c:v>
                </c:pt>
                <c:pt idx="133">
                  <c:v>1.0901632165820347E-11</c:v>
                </c:pt>
                <c:pt idx="134">
                  <c:v>1.0901632165820347E-11</c:v>
                </c:pt>
                <c:pt idx="135">
                  <c:v>1.0901632165820347E-11</c:v>
                </c:pt>
                <c:pt idx="136">
                  <c:v>1.0901632165820347E-11</c:v>
                </c:pt>
                <c:pt idx="137">
                  <c:v>1.0901632165820347E-11</c:v>
                </c:pt>
                <c:pt idx="138">
                  <c:v>1.0901632165820347E-11</c:v>
                </c:pt>
                <c:pt idx="139">
                  <c:v>1.0901632165820347E-11</c:v>
                </c:pt>
                <c:pt idx="140">
                  <c:v>1.0901632165820347E-11</c:v>
                </c:pt>
                <c:pt idx="141">
                  <c:v>1.0901632165820347E-11</c:v>
                </c:pt>
                <c:pt idx="142">
                  <c:v>1.0901632165820347E-11</c:v>
                </c:pt>
                <c:pt idx="143">
                  <c:v>1.0901632165820347E-11</c:v>
                </c:pt>
                <c:pt idx="144">
                  <c:v>1.0901632165820347E-11</c:v>
                </c:pt>
                <c:pt idx="145">
                  <c:v>1.0901632165820347E-11</c:v>
                </c:pt>
                <c:pt idx="146">
                  <c:v>1.0901632165820347E-11</c:v>
                </c:pt>
                <c:pt idx="147">
                  <c:v>1.0901632165820347E-11</c:v>
                </c:pt>
                <c:pt idx="148">
                  <c:v>1.0901632165820347E-11</c:v>
                </c:pt>
                <c:pt idx="149">
                  <c:v>1.0901632165820347E-11</c:v>
                </c:pt>
                <c:pt idx="150">
                  <c:v>1.0901632165820347E-11</c:v>
                </c:pt>
                <c:pt idx="151">
                  <c:v>1.0901632165820347E-11</c:v>
                </c:pt>
                <c:pt idx="152">
                  <c:v>1.0901632165820347E-11</c:v>
                </c:pt>
                <c:pt idx="153">
                  <c:v>1.0901632165820347E-11</c:v>
                </c:pt>
                <c:pt idx="154">
                  <c:v>1.0901632165820347E-11</c:v>
                </c:pt>
                <c:pt idx="155">
                  <c:v>1.0901632165820347E-11</c:v>
                </c:pt>
                <c:pt idx="156">
                  <c:v>1.0901632165820347E-11</c:v>
                </c:pt>
                <c:pt idx="157">
                  <c:v>1.0901632165820347E-11</c:v>
                </c:pt>
                <c:pt idx="158">
                  <c:v>1.0901632165820347E-11</c:v>
                </c:pt>
                <c:pt idx="159">
                  <c:v>1.0901632165820347E-11</c:v>
                </c:pt>
                <c:pt idx="160">
                  <c:v>1.0901632165820347E-11</c:v>
                </c:pt>
                <c:pt idx="161">
                  <c:v>1.0901632165820347E-11</c:v>
                </c:pt>
                <c:pt idx="162">
                  <c:v>1.0901632165820347E-11</c:v>
                </c:pt>
                <c:pt idx="163">
                  <c:v>1.0901632165820347E-11</c:v>
                </c:pt>
                <c:pt idx="164">
                  <c:v>1.0901632165820347E-11</c:v>
                </c:pt>
                <c:pt idx="165">
                  <c:v>1.0901632165820347E-11</c:v>
                </c:pt>
                <c:pt idx="166">
                  <c:v>1.0901632165820347E-11</c:v>
                </c:pt>
                <c:pt idx="167">
                  <c:v>1.0901632165820347E-11</c:v>
                </c:pt>
                <c:pt idx="168">
                  <c:v>1.0901632165820347E-11</c:v>
                </c:pt>
                <c:pt idx="169">
                  <c:v>1.0901632165820347E-11</c:v>
                </c:pt>
                <c:pt idx="170">
                  <c:v>1.0901632165820347E-11</c:v>
                </c:pt>
                <c:pt idx="171">
                  <c:v>1.0901632165820347E-11</c:v>
                </c:pt>
                <c:pt idx="172">
                  <c:v>1.0901632165820347E-11</c:v>
                </c:pt>
                <c:pt idx="173">
                  <c:v>1.0901632165820347E-11</c:v>
                </c:pt>
                <c:pt idx="174">
                  <c:v>1.0901632165820347E-11</c:v>
                </c:pt>
                <c:pt idx="175">
                  <c:v>1.0901632165820347E-11</c:v>
                </c:pt>
                <c:pt idx="176">
                  <c:v>1.0901632165820347E-11</c:v>
                </c:pt>
                <c:pt idx="177">
                  <c:v>1.0901632165820347E-11</c:v>
                </c:pt>
                <c:pt idx="178">
                  <c:v>1.0901632165820347E-11</c:v>
                </c:pt>
                <c:pt idx="179">
                  <c:v>1.0901632165820347E-11</c:v>
                </c:pt>
                <c:pt idx="180">
                  <c:v>1.0901632165820347E-11</c:v>
                </c:pt>
                <c:pt idx="181">
                  <c:v>1.0901632165820347E-11</c:v>
                </c:pt>
                <c:pt idx="182">
                  <c:v>1.0901632165820347E-11</c:v>
                </c:pt>
                <c:pt idx="183">
                  <c:v>1.0901632165820347E-11</c:v>
                </c:pt>
                <c:pt idx="184">
                  <c:v>1.0901632165820347E-11</c:v>
                </c:pt>
                <c:pt idx="185">
                  <c:v>1.0901632165820347E-11</c:v>
                </c:pt>
                <c:pt idx="186">
                  <c:v>1.0901632165820347E-11</c:v>
                </c:pt>
                <c:pt idx="187">
                  <c:v>1.0901632165820347E-11</c:v>
                </c:pt>
                <c:pt idx="188">
                  <c:v>1.0901632165820347E-11</c:v>
                </c:pt>
                <c:pt idx="189">
                  <c:v>1.0901632165820347E-11</c:v>
                </c:pt>
                <c:pt idx="190">
                  <c:v>1.0901632165820347E-11</c:v>
                </c:pt>
                <c:pt idx="191">
                  <c:v>1.0901632165820347E-11</c:v>
                </c:pt>
                <c:pt idx="192">
                  <c:v>1.0901632165820347E-11</c:v>
                </c:pt>
                <c:pt idx="193">
                  <c:v>1.0901632165820347E-11</c:v>
                </c:pt>
                <c:pt idx="194">
                  <c:v>1.0901632165820347E-11</c:v>
                </c:pt>
                <c:pt idx="195">
                  <c:v>1.0901632165820347E-11</c:v>
                </c:pt>
                <c:pt idx="196">
                  <c:v>1.0901632165820347E-11</c:v>
                </c:pt>
                <c:pt idx="197">
                  <c:v>1.0901632165820347E-11</c:v>
                </c:pt>
                <c:pt idx="198">
                  <c:v>1.0901632165820347E-11</c:v>
                </c:pt>
                <c:pt idx="199">
                  <c:v>1.0901632165820347E-11</c:v>
                </c:pt>
                <c:pt idx="200">
                  <c:v>1.0901632165820347E-11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2.5731412025558917</c:v>
                </c:pt>
                <c:pt idx="2">
                  <c:v>3.1836717786006319</c:v>
                </c:pt>
                <c:pt idx="3">
                  <c:v>3.9396202175944257</c:v>
                </c:pt>
                <c:pt idx="4">
                  <c:v>4.8757476686657908</c:v>
                </c:pt>
                <c:pt idx="5">
                  <c:v>6.0351526975412817</c:v>
                </c:pt>
                <c:pt idx="6">
                  <c:v>7.4712772489068113</c:v>
                </c:pt>
                <c:pt idx="7">
                  <c:v>9.2503966260860722</c:v>
                </c:pt>
                <c:pt idx="8">
                  <c:v>11.454710583667994</c:v>
                </c:pt>
                <c:pt idx="9">
                  <c:v>14.186181024925141</c:v>
                </c:pt>
                <c:pt idx="10">
                  <c:v>17.571297093245025</c:v>
                </c:pt>
                <c:pt idx="11">
                  <c:v>21.766992325835631</c:v>
                </c:pt>
                <c:pt idx="12">
                  <c:v>26.967993089089273</c:v>
                </c:pt>
                <c:pt idx="13">
                  <c:v>33.415945338708219</c:v>
                </c:pt>
                <c:pt idx="14">
                  <c:v>41.410751079276658</c:v>
                </c:pt>
                <c:pt idx="15">
                  <c:v>51.324650762589215</c:v>
                </c:pt>
                <c:pt idx="16">
                  <c:v>63.61971826997469</c:v>
                </c:pt>
                <c:pt idx="17">
                  <c:v>78.869597302853919</c:v>
                </c:pt>
                <c:pt idx="18">
                  <c:v>97.786509712462092</c:v>
                </c:pt>
                <c:pt idx="19">
                  <c:v>121.2548171841604</c:v>
                </c:pt>
                <c:pt idx="20">
                  <c:v>150.37272976362621</c:v>
                </c:pt>
                <c:pt idx="21">
                  <c:v>130.92304770905511</c:v>
                </c:pt>
                <c:pt idx="22">
                  <c:v>143.30754256422119</c:v>
                </c:pt>
                <c:pt idx="23">
                  <c:v>155.66640500294662</c:v>
                </c:pt>
                <c:pt idx="24">
                  <c:v>168.00195858256848</c:v>
                </c:pt>
                <c:pt idx="25">
                  <c:v>180.31615722411632</c:v>
                </c:pt>
                <c:pt idx="26">
                  <c:v>192.61066580735999</c:v>
                </c:pt>
                <c:pt idx="27">
                  <c:v>204.88691905747837</c:v>
                </c:pt>
                <c:pt idx="28">
                  <c:v>217.14616554866123</c:v>
                </c:pt>
                <c:pt idx="29">
                  <c:v>229.38950123185143</c:v>
                </c:pt>
                <c:pt idx="30">
                  <c:v>241.61789541835174</c:v>
                </c:pt>
                <c:pt idx="31">
                  <c:v>208.74160315550134</c:v>
                </c:pt>
                <c:pt idx="32">
                  <c:v>221.34562173829318</c:v>
                </c:pt>
                <c:pt idx="33">
                  <c:v>233.93317222371613</c:v>
                </c:pt>
                <c:pt idx="34">
                  <c:v>246.50526598598449</c:v>
                </c:pt>
                <c:pt idx="35">
                  <c:v>259.06280274212457</c:v>
                </c:pt>
                <c:pt idx="36">
                  <c:v>271.60658781037904</c:v>
                </c:pt>
                <c:pt idx="37">
                  <c:v>284.13734601040034</c:v>
                </c:pt>
                <c:pt idx="38">
                  <c:v>296.65573298101759</c:v>
                </c:pt>
                <c:pt idx="39">
                  <c:v>309.16234448631593</c:v>
                </c:pt>
                <c:pt idx="40">
                  <c:v>321.65772413618168</c:v>
                </c:pt>
                <c:pt idx="41">
                  <c:v>279.9618322548356</c:v>
                </c:pt>
                <c:pt idx="42">
                  <c:v>292.13659270097298</c:v>
                </c:pt>
                <c:pt idx="43">
                  <c:v>304.30002571338775</c:v>
                </c:pt>
                <c:pt idx="44">
                  <c:v>316.45264802528953</c:v>
                </c:pt>
                <c:pt idx="45">
                  <c:v>328.5949334270008</c:v>
                </c:pt>
                <c:pt idx="46">
                  <c:v>340.72731782352452</c:v>
                </c:pt>
                <c:pt idx="47">
                  <c:v>352.85020353381998</c:v>
                </c:pt>
                <c:pt idx="48">
                  <c:v>364.96396296815789</c:v>
                </c:pt>
                <c:pt idx="49">
                  <c:v>377.06894179159917</c:v>
                </c:pt>
                <c:pt idx="50">
                  <c:v>389.16546165993594</c:v>
                </c:pt>
                <c:pt idx="51">
                  <c:v>341.42030636615885</c:v>
                </c:pt>
                <c:pt idx="52">
                  <c:v>352.5039637274528</c:v>
                </c:pt>
                <c:pt idx="53">
                  <c:v>363.5799840007133</c:v>
                </c:pt>
                <c:pt idx="54">
                  <c:v>374.64863271070755</c:v>
                </c:pt>
                <c:pt idx="55">
                  <c:v>385.71015840744514</c:v>
                </c:pt>
                <c:pt idx="56">
                  <c:v>396.76479421746416</c:v>
                </c:pt>
                <c:pt idx="57">
                  <c:v>407.81275921316882</c:v>
                </c:pt>
                <c:pt idx="58">
                  <c:v>418.85425962601227</c:v>
                </c:pt>
                <c:pt idx="59">
                  <c:v>429.8894899250642</c:v>
                </c:pt>
                <c:pt idx="60">
                  <c:v>440.91863377904156</c:v>
                </c:pt>
                <c:pt idx="61">
                  <c:v>392.4473828438467</c:v>
                </c:pt>
                <c:pt idx="62">
                  <c:v>402.63484282308474</c:v>
                </c:pt>
                <c:pt idx="63">
                  <c:v>412.81672812587334</c:v>
                </c:pt>
                <c:pt idx="64">
                  <c:v>422.9931956757834</c:v>
                </c:pt>
                <c:pt idx="65">
                  <c:v>433.164394227532</c:v>
                </c:pt>
                <c:pt idx="66">
                  <c:v>443.33046497817014</c:v>
                </c:pt>
                <c:pt idx="67">
                  <c:v>453.49154211928294</c:v>
                </c:pt>
                <c:pt idx="68">
                  <c:v>463.6477533371106</c:v>
                </c:pt>
                <c:pt idx="69">
                  <c:v>473.79922026656277</c:v>
                </c:pt>
                <c:pt idx="70">
                  <c:v>483.94605890429233</c:v>
                </c:pt>
                <c:pt idx="71">
                  <c:v>434.37080363760305</c:v>
                </c:pt>
                <c:pt idx="72">
                  <c:v>443.33046497816991</c:v>
                </c:pt>
                <c:pt idx="73">
                  <c:v>452.28624743531105</c:v>
                </c:pt>
                <c:pt idx="74">
                  <c:v>461.23823867299643</c:v>
                </c:pt>
                <c:pt idx="75">
                  <c:v>470.18652267359909</c:v>
                </c:pt>
                <c:pt idx="76">
                  <c:v>479.13117996114812</c:v>
                </c:pt>
                <c:pt idx="77">
                  <c:v>488.07228780704162</c:v>
                </c:pt>
                <c:pt idx="78">
                  <c:v>497.00992041989667</c:v>
                </c:pt>
                <c:pt idx="79">
                  <c:v>505.94414912103213</c:v>
                </c:pt>
                <c:pt idx="80">
                  <c:v>514.87504250690938</c:v>
                </c:pt>
                <c:pt idx="81">
                  <c:v>466.22907982813996</c:v>
                </c:pt>
                <c:pt idx="82">
                  <c:v>474.31527194246542</c:v>
                </c:pt>
                <c:pt idx="83">
                  <c:v>482.39853075250858</c:v>
                </c:pt>
                <c:pt idx="84">
                  <c:v>490.47891235987981</c:v>
                </c:pt>
                <c:pt idx="85">
                  <c:v>498.55647086626499</c:v>
                </c:pt>
                <c:pt idx="86">
                  <c:v>506.63125847667089</c:v>
                </c:pt>
                <c:pt idx="87">
                  <c:v>514.70332559574456</c:v>
                </c:pt>
                <c:pt idx="88">
                  <c:v>522.77272091773648</c:v>
                </c:pt>
                <c:pt idx="89">
                  <c:v>530.83949151061745</c:v>
                </c:pt>
                <c:pt idx="90">
                  <c:v>538.9036828948166</c:v>
                </c:pt>
                <c:pt idx="91">
                  <c:v>485.66541136738346</c:v>
                </c:pt>
                <c:pt idx="92">
                  <c:v>485.66541136738346</c:v>
                </c:pt>
                <c:pt idx="93">
                  <c:v>485.66541136738346</c:v>
                </c:pt>
                <c:pt idx="94">
                  <c:v>485.66541136738346</c:v>
                </c:pt>
                <c:pt idx="95">
                  <c:v>485.66541136738346</c:v>
                </c:pt>
                <c:pt idx="96">
                  <c:v>485.66541136738346</c:v>
                </c:pt>
                <c:pt idx="97">
                  <c:v>485.66541136738346</c:v>
                </c:pt>
                <c:pt idx="98">
                  <c:v>485.66541136738346</c:v>
                </c:pt>
                <c:pt idx="99">
                  <c:v>485.66541136738346</c:v>
                </c:pt>
                <c:pt idx="100">
                  <c:v>485.66541136738346</c:v>
                </c:pt>
                <c:pt idx="101">
                  <c:v>485.66541136738346</c:v>
                </c:pt>
                <c:pt idx="102">
                  <c:v>485.66541136738346</c:v>
                </c:pt>
                <c:pt idx="103">
                  <c:v>485.66541136738346</c:v>
                </c:pt>
                <c:pt idx="104">
                  <c:v>485.66541136738346</c:v>
                </c:pt>
                <c:pt idx="105">
                  <c:v>485.66541136738346</c:v>
                </c:pt>
                <c:pt idx="106">
                  <c:v>485.66541136738346</c:v>
                </c:pt>
                <c:pt idx="107">
                  <c:v>485.66541136738346</c:v>
                </c:pt>
                <c:pt idx="108">
                  <c:v>485.66541136738346</c:v>
                </c:pt>
                <c:pt idx="109">
                  <c:v>485.66541136738346</c:v>
                </c:pt>
                <c:pt idx="110">
                  <c:v>485.66541136738346</c:v>
                </c:pt>
                <c:pt idx="111">
                  <c:v>485.66541136738346</c:v>
                </c:pt>
                <c:pt idx="112">
                  <c:v>485.66541136738346</c:v>
                </c:pt>
                <c:pt idx="113">
                  <c:v>485.66541136738346</c:v>
                </c:pt>
                <c:pt idx="114">
                  <c:v>485.66541136738346</c:v>
                </c:pt>
                <c:pt idx="115">
                  <c:v>485.66541136738346</c:v>
                </c:pt>
                <c:pt idx="116">
                  <c:v>485.66541136738346</c:v>
                </c:pt>
                <c:pt idx="117">
                  <c:v>485.66541136738346</c:v>
                </c:pt>
                <c:pt idx="118">
                  <c:v>485.66541136738346</c:v>
                </c:pt>
                <c:pt idx="119">
                  <c:v>485.66541136738346</c:v>
                </c:pt>
                <c:pt idx="120">
                  <c:v>485.66541136738346</c:v>
                </c:pt>
                <c:pt idx="121">
                  <c:v>485.66541136738346</c:v>
                </c:pt>
                <c:pt idx="122">
                  <c:v>485.66541136738346</c:v>
                </c:pt>
                <c:pt idx="123">
                  <c:v>485.66541136738346</c:v>
                </c:pt>
                <c:pt idx="124">
                  <c:v>485.66541136738346</c:v>
                </c:pt>
                <c:pt idx="125">
                  <c:v>485.66541136738346</c:v>
                </c:pt>
                <c:pt idx="126">
                  <c:v>485.66541136738346</c:v>
                </c:pt>
                <c:pt idx="127">
                  <c:v>485.66541136738346</c:v>
                </c:pt>
                <c:pt idx="128">
                  <c:v>485.66541136738346</c:v>
                </c:pt>
                <c:pt idx="129">
                  <c:v>485.66541136738346</c:v>
                </c:pt>
                <c:pt idx="130">
                  <c:v>485.66541136738346</c:v>
                </c:pt>
                <c:pt idx="131">
                  <c:v>485.66541136738346</c:v>
                </c:pt>
                <c:pt idx="132">
                  <c:v>485.66541136738346</c:v>
                </c:pt>
                <c:pt idx="133">
                  <c:v>485.66541136738346</c:v>
                </c:pt>
                <c:pt idx="134">
                  <c:v>485.66541136738346</c:v>
                </c:pt>
                <c:pt idx="135">
                  <c:v>485.66541136738346</c:v>
                </c:pt>
                <c:pt idx="136">
                  <c:v>485.66541136738346</c:v>
                </c:pt>
                <c:pt idx="137">
                  <c:v>485.66541136738346</c:v>
                </c:pt>
                <c:pt idx="138">
                  <c:v>485.66541136738346</c:v>
                </c:pt>
                <c:pt idx="139">
                  <c:v>485.66541136738346</c:v>
                </c:pt>
                <c:pt idx="140">
                  <c:v>485.66541136738346</c:v>
                </c:pt>
                <c:pt idx="141">
                  <c:v>485.66541136738346</c:v>
                </c:pt>
                <c:pt idx="142">
                  <c:v>485.66541136738346</c:v>
                </c:pt>
                <c:pt idx="143">
                  <c:v>485.66541136738346</c:v>
                </c:pt>
                <c:pt idx="144">
                  <c:v>485.66541136738346</c:v>
                </c:pt>
                <c:pt idx="145">
                  <c:v>485.66541136738346</c:v>
                </c:pt>
                <c:pt idx="146">
                  <c:v>485.66541136738346</c:v>
                </c:pt>
                <c:pt idx="147">
                  <c:v>485.66541136738346</c:v>
                </c:pt>
                <c:pt idx="148">
                  <c:v>485.66541136738346</c:v>
                </c:pt>
                <c:pt idx="149">
                  <c:v>485.66541136738346</c:v>
                </c:pt>
                <c:pt idx="150">
                  <c:v>485.66541136738346</c:v>
                </c:pt>
                <c:pt idx="151">
                  <c:v>485.66541136738346</c:v>
                </c:pt>
                <c:pt idx="152">
                  <c:v>485.66541136738346</c:v>
                </c:pt>
                <c:pt idx="153">
                  <c:v>485.66541136738346</c:v>
                </c:pt>
                <c:pt idx="154">
                  <c:v>485.66541136738346</c:v>
                </c:pt>
                <c:pt idx="155">
                  <c:v>485.66541136738346</c:v>
                </c:pt>
                <c:pt idx="156">
                  <c:v>485.66541136738346</c:v>
                </c:pt>
                <c:pt idx="157">
                  <c:v>485.66541136738346</c:v>
                </c:pt>
                <c:pt idx="158">
                  <c:v>485.66541136738346</c:v>
                </c:pt>
                <c:pt idx="159">
                  <c:v>485.66541136738346</c:v>
                </c:pt>
                <c:pt idx="160">
                  <c:v>485.66541136738346</c:v>
                </c:pt>
                <c:pt idx="161">
                  <c:v>485.66541136738346</c:v>
                </c:pt>
                <c:pt idx="162">
                  <c:v>485.66541136738346</c:v>
                </c:pt>
                <c:pt idx="163">
                  <c:v>485.66541136738346</c:v>
                </c:pt>
                <c:pt idx="164">
                  <c:v>485.66541136738346</c:v>
                </c:pt>
                <c:pt idx="165">
                  <c:v>485.66541136738346</c:v>
                </c:pt>
                <c:pt idx="166">
                  <c:v>485.66541136738346</c:v>
                </c:pt>
                <c:pt idx="167">
                  <c:v>485.66541136738346</c:v>
                </c:pt>
                <c:pt idx="168">
                  <c:v>485.66541136738346</c:v>
                </c:pt>
                <c:pt idx="169">
                  <c:v>485.66541136738346</c:v>
                </c:pt>
                <c:pt idx="170">
                  <c:v>485.66541136738346</c:v>
                </c:pt>
                <c:pt idx="171">
                  <c:v>485.66541136738346</c:v>
                </c:pt>
                <c:pt idx="172">
                  <c:v>485.66541136738346</c:v>
                </c:pt>
                <c:pt idx="173">
                  <c:v>485.66541136738346</c:v>
                </c:pt>
                <c:pt idx="174">
                  <c:v>485.66541136738346</c:v>
                </c:pt>
                <c:pt idx="175">
                  <c:v>485.66541136738346</c:v>
                </c:pt>
                <c:pt idx="176">
                  <c:v>485.66541136738346</c:v>
                </c:pt>
                <c:pt idx="177">
                  <c:v>485.66541136738346</c:v>
                </c:pt>
                <c:pt idx="178">
                  <c:v>485.66541136738346</c:v>
                </c:pt>
                <c:pt idx="179">
                  <c:v>485.66541136738346</c:v>
                </c:pt>
                <c:pt idx="180">
                  <c:v>485.66541136738346</c:v>
                </c:pt>
                <c:pt idx="181">
                  <c:v>485.66541136738346</c:v>
                </c:pt>
                <c:pt idx="182">
                  <c:v>485.66541136738346</c:v>
                </c:pt>
                <c:pt idx="183">
                  <c:v>485.66541136738346</c:v>
                </c:pt>
                <c:pt idx="184">
                  <c:v>485.66541136738346</c:v>
                </c:pt>
                <c:pt idx="185">
                  <c:v>485.66541136738346</c:v>
                </c:pt>
                <c:pt idx="186">
                  <c:v>485.66541136738346</c:v>
                </c:pt>
                <c:pt idx="187">
                  <c:v>485.66541136738346</c:v>
                </c:pt>
                <c:pt idx="188">
                  <c:v>485.66541136738346</c:v>
                </c:pt>
                <c:pt idx="189">
                  <c:v>485.66541136738346</c:v>
                </c:pt>
                <c:pt idx="190">
                  <c:v>485.66541136738346</c:v>
                </c:pt>
                <c:pt idx="191">
                  <c:v>485.66541136738346</c:v>
                </c:pt>
                <c:pt idx="192">
                  <c:v>485.66541136738346</c:v>
                </c:pt>
                <c:pt idx="193">
                  <c:v>485.66541136738346</c:v>
                </c:pt>
                <c:pt idx="194">
                  <c:v>485.66541136738346</c:v>
                </c:pt>
                <c:pt idx="195">
                  <c:v>485.66541136738346</c:v>
                </c:pt>
                <c:pt idx="196">
                  <c:v>485.66541136738346</c:v>
                </c:pt>
                <c:pt idx="197">
                  <c:v>485.66541136738346</c:v>
                </c:pt>
                <c:pt idx="198">
                  <c:v>485.66541136738346</c:v>
                </c:pt>
                <c:pt idx="199">
                  <c:v>485.66541136738346</c:v>
                </c:pt>
                <c:pt idx="200">
                  <c:v>485.66541136738346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3.1534690589118353</c:v>
                </c:pt>
                <c:pt idx="2">
                  <c:v>3.6411098993736544</c:v>
                </c:pt>
                <c:pt idx="3">
                  <c:v>4.2044268606027302</c:v>
                </c:pt>
                <c:pt idx="4">
                  <c:v>4.8552034117197067</c:v>
                </c:pt>
                <c:pt idx="5">
                  <c:v>5.6070635714035504</c:v>
                </c:pt>
                <c:pt idx="6">
                  <c:v>6.4757602345243841</c:v>
                </c:pt>
                <c:pt idx="7">
                  <c:v>7.4795087872720272</c:v>
                </c:pt>
                <c:pt idx="8">
                  <c:v>8.639373141963544</c:v>
                </c:pt>
                <c:pt idx="9">
                  <c:v>9.9797124481302628</c:v>
                </c:pt>
                <c:pt idx="10">
                  <c:v>11.528698039875204</c:v>
                </c:pt>
                <c:pt idx="11">
                  <c:v>13.318911689052916</c:v>
                </c:pt>
                <c:pt idx="12">
                  <c:v>15.38803798222699</c:v>
                </c:pt>
                <c:pt idx="13">
                  <c:v>17.77966566446408</c:v>
                </c:pt>
                <c:pt idx="14">
                  <c:v>20.54421513869535</c:v>
                </c:pt>
                <c:pt idx="15">
                  <c:v>23.740012026451669</c:v>
                </c:pt>
                <c:pt idx="16">
                  <c:v>27.434529843166086</c:v>
                </c:pt>
                <c:pt idx="17">
                  <c:v>31.705828487202169</c:v>
                </c:pt>
                <c:pt idx="18">
                  <c:v>36.644219465424563</c:v>
                </c:pt>
                <c:pt idx="19">
                  <c:v>42.354193671162776</c:v>
                </c:pt>
                <c:pt idx="20">
                  <c:v>48.956653199092813</c:v>
                </c:pt>
                <c:pt idx="21">
                  <c:v>56.591495249023616</c:v>
                </c:pt>
                <c:pt idx="22">
                  <c:v>65.420603779564317</c:v>
                </c:pt>
                <c:pt idx="23">
                  <c:v>75.631313388595743</c:v>
                </c:pt>
                <c:pt idx="24">
                  <c:v>87.440420112127867</c:v>
                </c:pt>
                <c:pt idx="25">
                  <c:v>101.09882566874715</c:v>
                </c:pt>
                <c:pt idx="26">
                  <c:v>116.89691539106512</c:v>
                </c:pt>
                <c:pt idx="27">
                  <c:v>135.17078597699336</c:v>
                </c:pt>
                <c:pt idx="28">
                  <c:v>156.30945760843863</c:v>
                </c:pt>
                <c:pt idx="29">
                  <c:v>180.76322632439783</c:v>
                </c:pt>
                <c:pt idx="30">
                  <c:v>209.05333726458238</c:v>
                </c:pt>
                <c:pt idx="31">
                  <c:v>221.45013352636488</c:v>
                </c:pt>
                <c:pt idx="32">
                  <c:v>233.83100699372565</c:v>
                </c:pt>
                <c:pt idx="33">
                  <c:v>246.19691994363038</c:v>
                </c:pt>
                <c:pt idx="34">
                  <c:v>258.54873002616625</c:v>
                </c:pt>
                <c:pt idx="35">
                  <c:v>270.88720620303383</c:v>
                </c:pt>
                <c:pt idx="36">
                  <c:v>283.21304162734083</c:v>
                </c:pt>
                <c:pt idx="37">
                  <c:v>295.52686416199555</c:v>
                </c:pt>
                <c:pt idx="38">
                  <c:v>307.82924505201976</c:v>
                </c:pt>
                <c:pt idx="39">
                  <c:v>320.12070613712899</c:v>
                </c:pt>
                <c:pt idx="40">
                  <c:v>332.40172589804757</c:v>
                </c:pt>
                <c:pt idx="41">
                  <c:v>344.67274456214574</c:v>
                </c:pt>
                <c:pt idx="42">
                  <c:v>356.93416844371239</c:v>
                </c:pt>
                <c:pt idx="43">
                  <c:v>369.1863736564838</c:v>
                </c:pt>
                <c:pt idx="44">
                  <c:v>381.42970930746696</c:v>
                </c:pt>
                <c:pt idx="45">
                  <c:v>248.78159697273676</c:v>
                </c:pt>
                <c:pt idx="46">
                  <c:v>264.5735092135825</c:v>
                </c:pt>
                <c:pt idx="47">
                  <c:v>280.34417115057249</c:v>
                </c:pt>
                <c:pt idx="48">
                  <c:v>296.09494651674089</c:v>
                </c:pt>
                <c:pt idx="49">
                  <c:v>311.82704208139222</c:v>
                </c:pt>
                <c:pt idx="50">
                  <c:v>327.54153289113111</c:v>
                </c:pt>
                <c:pt idx="51">
                  <c:v>343.23938241063451</c:v>
                </c:pt>
                <c:pt idx="52">
                  <c:v>271.13371764011657</c:v>
                </c:pt>
                <c:pt idx="53">
                  <c:v>285.89950657226996</c:v>
                </c:pt>
                <c:pt idx="54">
                  <c:v>300.6482343241384</c:v>
                </c:pt>
                <c:pt idx="55">
                  <c:v>315.38085576586224</c:v>
                </c:pt>
                <c:pt idx="56">
                  <c:v>330.09822925832987</c:v>
                </c:pt>
                <c:pt idx="57">
                  <c:v>344.80113036611419</c:v>
                </c:pt>
                <c:pt idx="58">
                  <c:v>359.49026310821347</c:v>
                </c:pt>
                <c:pt idx="59">
                  <c:v>374.1662692732645</c:v>
                </c:pt>
                <c:pt idx="60">
                  <c:v>298.27808925459738</c:v>
                </c:pt>
                <c:pt idx="61">
                  <c:v>311.97416874515676</c:v>
                </c:pt>
                <c:pt idx="62">
                  <c:v>325.6569119745995</c:v>
                </c:pt>
                <c:pt idx="63">
                  <c:v>339.3269582712324</c:v>
                </c:pt>
                <c:pt idx="64">
                  <c:v>352.98489123867739</c:v>
                </c:pt>
                <c:pt idx="65">
                  <c:v>366.6312456266499</c:v>
                </c:pt>
                <c:pt idx="66">
                  <c:v>380.26651312508551</c:v>
                </c:pt>
                <c:pt idx="67">
                  <c:v>393.89114728366098</c:v>
                </c:pt>
                <c:pt idx="68">
                  <c:v>333.50621544638557</c:v>
                </c:pt>
                <c:pt idx="69">
                  <c:v>346.58737323733811</c:v>
                </c:pt>
                <c:pt idx="70">
                  <c:v>359.65769389940004</c:v>
                </c:pt>
                <c:pt idx="71">
                  <c:v>372.71762679393436</c:v>
                </c:pt>
                <c:pt idx="72">
                  <c:v>385.76758721761024</c:v>
                </c:pt>
                <c:pt idx="73">
                  <c:v>398.80796007409725</c:v>
                </c:pt>
                <c:pt idx="74">
                  <c:v>411.83910304039659</c:v>
                </c:pt>
                <c:pt idx="75">
                  <c:v>424.86134931148223</c:v>
                </c:pt>
                <c:pt idx="76">
                  <c:v>366.63001954846703</c:v>
                </c:pt>
                <c:pt idx="77">
                  <c:v>379.25883721427107</c:v>
                </c:pt>
                <c:pt idx="78">
                  <c:v>391.87850650607828</c:v>
                </c:pt>
                <c:pt idx="79">
                  <c:v>404.48936356692701</c:v>
                </c:pt>
                <c:pt idx="80">
                  <c:v>417.09172186795348</c:v>
                </c:pt>
                <c:pt idx="81">
                  <c:v>429.68587439085917</c:v>
                </c:pt>
                <c:pt idx="82">
                  <c:v>442.27209554114955</c:v>
                </c:pt>
                <c:pt idx="83">
                  <c:v>454.85064283222886</c:v>
                </c:pt>
                <c:pt idx="84">
                  <c:v>467.42175837350146</c:v>
                </c:pt>
                <c:pt idx="85">
                  <c:v>399.21794092640448</c:v>
                </c:pt>
                <c:pt idx="86">
                  <c:v>411.2661252434059</c:v>
                </c:pt>
                <c:pt idx="87">
                  <c:v>423.30669260228728</c:v>
                </c:pt>
                <c:pt idx="88">
                  <c:v>435.33989021066822</c:v>
                </c:pt>
                <c:pt idx="89">
                  <c:v>447.36595049430707</c:v>
                </c:pt>
                <c:pt idx="90">
                  <c:v>459.38509236301206</c:v>
                </c:pt>
                <c:pt idx="91">
                  <c:v>471.39752233716735</c:v>
                </c:pt>
                <c:pt idx="92">
                  <c:v>483.40343555345339</c:v>
                </c:pt>
                <c:pt idx="93">
                  <c:v>495.40301666545815</c:v>
                </c:pt>
                <c:pt idx="94">
                  <c:v>438.72030552903954</c:v>
                </c:pt>
                <c:pt idx="95">
                  <c:v>450.73902924477983</c:v>
                </c:pt>
                <c:pt idx="96">
                  <c:v>462.75089982595506</c:v>
                </c:pt>
                <c:pt idx="97">
                  <c:v>474.75612023234066</c:v>
                </c:pt>
                <c:pt idx="98">
                  <c:v>486.75488232216713</c:v>
                </c:pt>
                <c:pt idx="99">
                  <c:v>498.74736772383267</c:v>
                </c:pt>
                <c:pt idx="100">
                  <c:v>510.73374861941949</c:v>
                </c:pt>
                <c:pt idx="101">
                  <c:v>522.71418845083542</c:v>
                </c:pt>
                <c:pt idx="102">
                  <c:v>534.68884255785974</c:v>
                </c:pt>
                <c:pt idx="103">
                  <c:v>546.65785875606741</c:v>
                </c:pt>
                <c:pt idx="104">
                  <c:v>468.21209011778797</c:v>
                </c:pt>
                <c:pt idx="105">
                  <c:v>479.84426792355094</c:v>
                </c:pt>
                <c:pt idx="106">
                  <c:v>491.47045315658323</c:v>
                </c:pt>
                <c:pt idx="107">
                  <c:v>503.0908075522961</c:v>
                </c:pt>
                <c:pt idx="108">
                  <c:v>514.70548476559588</c:v>
                </c:pt>
                <c:pt idx="109">
                  <c:v>526.31463095168817</c:v>
                </c:pt>
                <c:pt idx="110">
                  <c:v>537.91838529298013</c:v>
                </c:pt>
                <c:pt idx="111">
                  <c:v>549.51688047815901</c:v>
                </c:pt>
                <c:pt idx="112">
                  <c:v>561.11024313872872</c:v>
                </c:pt>
                <c:pt idx="113">
                  <c:v>572.6985942475975</c:v>
                </c:pt>
                <c:pt idx="114">
                  <c:v>512.84799871703717</c:v>
                </c:pt>
                <c:pt idx="115">
                  <c:v>524.93739421021189</c:v>
                </c:pt>
                <c:pt idx="116">
                  <c:v>537.02092571829689</c:v>
                </c:pt>
                <c:pt idx="117">
                  <c:v>549.09874375965182</c:v>
                </c:pt>
                <c:pt idx="118">
                  <c:v>561.17099169241851</c:v>
                </c:pt>
                <c:pt idx="119">
                  <c:v>573.23780620508774</c:v>
                </c:pt>
                <c:pt idx="120">
                  <c:v>585.29931776362218</c:v>
                </c:pt>
                <c:pt idx="121">
                  <c:v>597.35565101981854</c:v>
                </c:pt>
                <c:pt idx="122">
                  <c:v>609.40692518499748</c:v>
                </c:pt>
                <c:pt idx="123">
                  <c:v>621.45325437260897</c:v>
                </c:pt>
                <c:pt idx="124">
                  <c:v>633.49474791290106</c:v>
                </c:pt>
                <c:pt idx="125">
                  <c:v>645.53151064243139</c:v>
                </c:pt>
                <c:pt idx="126">
                  <c:v>548.04607929846588</c:v>
                </c:pt>
                <c:pt idx="127">
                  <c:v>559.97786488342695</c:v>
                </c:pt>
                <c:pt idx="128">
                  <c:v>571.90433029135977</c:v>
                </c:pt>
                <c:pt idx="129">
                  <c:v>583.82560207965423</c:v>
                </c:pt>
                <c:pt idx="130">
                  <c:v>595.74180121714119</c:v>
                </c:pt>
                <c:pt idx="131">
                  <c:v>607.65304344007518</c:v>
                </c:pt>
                <c:pt idx="132">
                  <c:v>619.55943957876173</c:v>
                </c:pt>
                <c:pt idx="133">
                  <c:v>631.4610958577822</c:v>
                </c:pt>
                <c:pt idx="134">
                  <c:v>643.35811417241564</c:v>
                </c:pt>
                <c:pt idx="135">
                  <c:v>655.25059234356047</c:v>
                </c:pt>
                <c:pt idx="136">
                  <c:v>667.13862435319663</c:v>
                </c:pt>
                <c:pt idx="137">
                  <c:v>679.02230056219787</c:v>
                </c:pt>
                <c:pt idx="138">
                  <c:v>574.51414186728437</c:v>
                </c:pt>
                <c:pt idx="139">
                  <c:v>586.11990350830399</c:v>
                </c:pt>
                <c:pt idx="140">
                  <c:v>597.72087811914889</c:v>
                </c:pt>
                <c:pt idx="141">
                  <c:v>609.31717168089131</c:v>
                </c:pt>
                <c:pt idx="142">
                  <c:v>620.90888581279978</c:v>
                </c:pt>
                <c:pt idx="143">
                  <c:v>632.49611803165146</c:v>
                </c:pt>
                <c:pt idx="144">
                  <c:v>644.07896199105858</c:v>
                </c:pt>
                <c:pt idx="145">
                  <c:v>655.65750770269199</c:v>
                </c:pt>
                <c:pt idx="146">
                  <c:v>667.23184174107257</c:v>
                </c:pt>
                <c:pt idx="147">
                  <c:v>678.80204743342108</c:v>
                </c:pt>
                <c:pt idx="148">
                  <c:v>690.36820503589581</c:v>
                </c:pt>
                <c:pt idx="149">
                  <c:v>701.93039189741421</c:v>
                </c:pt>
                <c:pt idx="150">
                  <c:v>434.90135751193066</c:v>
                </c:pt>
                <c:pt idx="151">
                  <c:v>441.97658421287679</c:v>
                </c:pt>
                <c:pt idx="152">
                  <c:v>449.04938379331742</c:v>
                </c:pt>
                <c:pt idx="153">
                  <c:v>456.11979989694652</c:v>
                </c:pt>
                <c:pt idx="154">
                  <c:v>299.56204668849836</c:v>
                </c:pt>
                <c:pt idx="155">
                  <c:v>303.87672636861231</c:v>
                </c:pt>
                <c:pt idx="156">
                  <c:v>308.19004324916756</c:v>
                </c:pt>
                <c:pt idx="157">
                  <c:v>312.50201912608486</c:v>
                </c:pt>
                <c:pt idx="158">
                  <c:v>209.45934642866371</c:v>
                </c:pt>
                <c:pt idx="159">
                  <c:v>212.15940571579952</c:v>
                </c:pt>
                <c:pt idx="160">
                  <c:v>214.85867291536229</c:v>
                </c:pt>
                <c:pt idx="161">
                  <c:v>217.55715940943028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3.1534690589118353</c:v>
                </c:pt>
                <c:pt idx="2">
                  <c:v>3.6411098993736544</c:v>
                </c:pt>
                <c:pt idx="3">
                  <c:v>4.2044268606027302</c:v>
                </c:pt>
                <c:pt idx="4">
                  <c:v>4.8552034117197067</c:v>
                </c:pt>
                <c:pt idx="5">
                  <c:v>5.6070635714035504</c:v>
                </c:pt>
                <c:pt idx="6">
                  <c:v>6.4757602345243841</c:v>
                </c:pt>
                <c:pt idx="7">
                  <c:v>7.4795087872720272</c:v>
                </c:pt>
                <c:pt idx="8">
                  <c:v>8.639373141963544</c:v>
                </c:pt>
                <c:pt idx="9">
                  <c:v>9.9797124481302628</c:v>
                </c:pt>
                <c:pt idx="10">
                  <c:v>11.528698039875204</c:v>
                </c:pt>
                <c:pt idx="11">
                  <c:v>13.318911689052916</c:v>
                </c:pt>
                <c:pt idx="12">
                  <c:v>15.38803798222699</c:v>
                </c:pt>
                <c:pt idx="13">
                  <c:v>17.77966566446408</c:v>
                </c:pt>
                <c:pt idx="14">
                  <c:v>20.54421513869535</c:v>
                </c:pt>
                <c:pt idx="15">
                  <c:v>23.740012026451669</c:v>
                </c:pt>
                <c:pt idx="16">
                  <c:v>27.434529843166086</c:v>
                </c:pt>
                <c:pt idx="17">
                  <c:v>31.705828487202169</c:v>
                </c:pt>
                <c:pt idx="18">
                  <c:v>36.644219465424563</c:v>
                </c:pt>
                <c:pt idx="19">
                  <c:v>42.354193671162776</c:v>
                </c:pt>
                <c:pt idx="20">
                  <c:v>48.956653199092813</c:v>
                </c:pt>
                <c:pt idx="21">
                  <c:v>56.591495249023616</c:v>
                </c:pt>
                <c:pt idx="22">
                  <c:v>65.420603779564317</c:v>
                </c:pt>
                <c:pt idx="23">
                  <c:v>75.631313388595743</c:v>
                </c:pt>
                <c:pt idx="24">
                  <c:v>87.440420112127867</c:v>
                </c:pt>
                <c:pt idx="25">
                  <c:v>101.09882566874715</c:v>
                </c:pt>
                <c:pt idx="26">
                  <c:v>116.89691539106512</c:v>
                </c:pt>
                <c:pt idx="27">
                  <c:v>135.17078597699336</c:v>
                </c:pt>
                <c:pt idx="28">
                  <c:v>156.30945760843863</c:v>
                </c:pt>
                <c:pt idx="29">
                  <c:v>180.76322632439783</c:v>
                </c:pt>
                <c:pt idx="30">
                  <c:v>209.05333726458238</c:v>
                </c:pt>
                <c:pt idx="31">
                  <c:v>221.45013352636488</c:v>
                </c:pt>
                <c:pt idx="32">
                  <c:v>233.83100699372565</c:v>
                </c:pt>
                <c:pt idx="33">
                  <c:v>246.19691994363038</c:v>
                </c:pt>
                <c:pt idx="34">
                  <c:v>258.54873002616625</c:v>
                </c:pt>
                <c:pt idx="35">
                  <c:v>270.88720620303383</c:v>
                </c:pt>
                <c:pt idx="36">
                  <c:v>283.21304162734083</c:v>
                </c:pt>
                <c:pt idx="37">
                  <c:v>295.52686416199555</c:v>
                </c:pt>
                <c:pt idx="38">
                  <c:v>307.82924505201976</c:v>
                </c:pt>
                <c:pt idx="39">
                  <c:v>320.12070613712899</c:v>
                </c:pt>
                <c:pt idx="40">
                  <c:v>332.40172589804757</c:v>
                </c:pt>
                <c:pt idx="41">
                  <c:v>344.67274456214574</c:v>
                </c:pt>
                <c:pt idx="42">
                  <c:v>356.93416844371239</c:v>
                </c:pt>
                <c:pt idx="43">
                  <c:v>369.1863736564838</c:v>
                </c:pt>
                <c:pt idx="44">
                  <c:v>381.42970930746696</c:v>
                </c:pt>
                <c:pt idx="45">
                  <c:v>248.78159697273676</c:v>
                </c:pt>
                <c:pt idx="46">
                  <c:v>264.5735092135825</c:v>
                </c:pt>
                <c:pt idx="47">
                  <c:v>280.34417115057249</c:v>
                </c:pt>
                <c:pt idx="48">
                  <c:v>296.09494651674089</c:v>
                </c:pt>
                <c:pt idx="49">
                  <c:v>311.82704208139222</c:v>
                </c:pt>
                <c:pt idx="50">
                  <c:v>327.54153289113111</c:v>
                </c:pt>
                <c:pt idx="51">
                  <c:v>343.23938241063451</c:v>
                </c:pt>
                <c:pt idx="52">
                  <c:v>271.13371764011657</c:v>
                </c:pt>
                <c:pt idx="53">
                  <c:v>285.89950657226996</c:v>
                </c:pt>
                <c:pt idx="54">
                  <c:v>300.6482343241384</c:v>
                </c:pt>
                <c:pt idx="55">
                  <c:v>315.38085576586224</c:v>
                </c:pt>
                <c:pt idx="56">
                  <c:v>330.09822925832987</c:v>
                </c:pt>
                <c:pt idx="57">
                  <c:v>344.80113036611419</c:v>
                </c:pt>
                <c:pt idx="58">
                  <c:v>359.49026310821347</c:v>
                </c:pt>
                <c:pt idx="59">
                  <c:v>374.1662692732645</c:v>
                </c:pt>
                <c:pt idx="60">
                  <c:v>298.27808925459738</c:v>
                </c:pt>
                <c:pt idx="61">
                  <c:v>311.97416874515676</c:v>
                </c:pt>
                <c:pt idx="62">
                  <c:v>325.6569119745995</c:v>
                </c:pt>
                <c:pt idx="63">
                  <c:v>339.3269582712324</c:v>
                </c:pt>
                <c:pt idx="64">
                  <c:v>352.98489123867739</c:v>
                </c:pt>
                <c:pt idx="65">
                  <c:v>366.6312456266499</c:v>
                </c:pt>
                <c:pt idx="66">
                  <c:v>380.26651312508551</c:v>
                </c:pt>
                <c:pt idx="67">
                  <c:v>393.89114728366098</c:v>
                </c:pt>
                <c:pt idx="68">
                  <c:v>333.50621544638557</c:v>
                </c:pt>
                <c:pt idx="69">
                  <c:v>346.58737323733811</c:v>
                </c:pt>
                <c:pt idx="70">
                  <c:v>359.65769389940004</c:v>
                </c:pt>
                <c:pt idx="71">
                  <c:v>372.71762679393436</c:v>
                </c:pt>
                <c:pt idx="72">
                  <c:v>385.76758721761024</c:v>
                </c:pt>
                <c:pt idx="73">
                  <c:v>398.80796007409725</c:v>
                </c:pt>
                <c:pt idx="74">
                  <c:v>411.83910304039659</c:v>
                </c:pt>
                <c:pt idx="75">
                  <c:v>424.86134931148223</c:v>
                </c:pt>
                <c:pt idx="76">
                  <c:v>366.63001954846703</c:v>
                </c:pt>
                <c:pt idx="77">
                  <c:v>379.25883721427107</c:v>
                </c:pt>
                <c:pt idx="78">
                  <c:v>391.87850650607828</c:v>
                </c:pt>
                <c:pt idx="79">
                  <c:v>404.48936356692701</c:v>
                </c:pt>
                <c:pt idx="80">
                  <c:v>417.09172186795348</c:v>
                </c:pt>
                <c:pt idx="81">
                  <c:v>429.68587439085917</c:v>
                </c:pt>
                <c:pt idx="82">
                  <c:v>442.27209554114955</c:v>
                </c:pt>
                <c:pt idx="83">
                  <c:v>454.85064283222886</c:v>
                </c:pt>
                <c:pt idx="84">
                  <c:v>467.42175837350146</c:v>
                </c:pt>
                <c:pt idx="85">
                  <c:v>399.21794092640448</c:v>
                </c:pt>
                <c:pt idx="86">
                  <c:v>411.2661252434059</c:v>
                </c:pt>
                <c:pt idx="87">
                  <c:v>423.30669260228728</c:v>
                </c:pt>
                <c:pt idx="88">
                  <c:v>435.33989021066822</c:v>
                </c:pt>
                <c:pt idx="89">
                  <c:v>447.36595049430707</c:v>
                </c:pt>
                <c:pt idx="90">
                  <c:v>459.38509236301206</c:v>
                </c:pt>
                <c:pt idx="91">
                  <c:v>471.39752233716735</c:v>
                </c:pt>
                <c:pt idx="92">
                  <c:v>483.40343555345339</c:v>
                </c:pt>
                <c:pt idx="93">
                  <c:v>495.40301666545815</c:v>
                </c:pt>
                <c:pt idx="94">
                  <c:v>438.72030552903954</c:v>
                </c:pt>
                <c:pt idx="95">
                  <c:v>450.73902924477983</c:v>
                </c:pt>
                <c:pt idx="96">
                  <c:v>462.75089982595506</c:v>
                </c:pt>
                <c:pt idx="97">
                  <c:v>474.75612023234066</c:v>
                </c:pt>
                <c:pt idx="98">
                  <c:v>486.75488232216713</c:v>
                </c:pt>
                <c:pt idx="99">
                  <c:v>498.74736772383267</c:v>
                </c:pt>
                <c:pt idx="100">
                  <c:v>510.73374861941949</c:v>
                </c:pt>
                <c:pt idx="101">
                  <c:v>522.71418845083542</c:v>
                </c:pt>
                <c:pt idx="102">
                  <c:v>534.68884255785974</c:v>
                </c:pt>
                <c:pt idx="103">
                  <c:v>546.65785875606741</c:v>
                </c:pt>
                <c:pt idx="104">
                  <c:v>468.21209011778797</c:v>
                </c:pt>
                <c:pt idx="105">
                  <c:v>479.84426792355094</c:v>
                </c:pt>
                <c:pt idx="106">
                  <c:v>491.47045315658323</c:v>
                </c:pt>
                <c:pt idx="107">
                  <c:v>503.0908075522961</c:v>
                </c:pt>
                <c:pt idx="108">
                  <c:v>514.70548476559588</c:v>
                </c:pt>
                <c:pt idx="109">
                  <c:v>526.31463095168817</c:v>
                </c:pt>
                <c:pt idx="110">
                  <c:v>537.91838529298013</c:v>
                </c:pt>
                <c:pt idx="111">
                  <c:v>549.51688047815901</c:v>
                </c:pt>
                <c:pt idx="112">
                  <c:v>561.11024313872872</c:v>
                </c:pt>
                <c:pt idx="113">
                  <c:v>572.6985942475975</c:v>
                </c:pt>
                <c:pt idx="114">
                  <c:v>512.84799871703717</c:v>
                </c:pt>
                <c:pt idx="115">
                  <c:v>524.93739421021189</c:v>
                </c:pt>
                <c:pt idx="116">
                  <c:v>537.02092571829689</c:v>
                </c:pt>
                <c:pt idx="117">
                  <c:v>549.09874375965182</c:v>
                </c:pt>
                <c:pt idx="118">
                  <c:v>561.17099169241851</c:v>
                </c:pt>
                <c:pt idx="119">
                  <c:v>573.23780620508774</c:v>
                </c:pt>
                <c:pt idx="120">
                  <c:v>585.29931776362218</c:v>
                </c:pt>
                <c:pt idx="121">
                  <c:v>597.35565101981854</c:v>
                </c:pt>
                <c:pt idx="122">
                  <c:v>609.40692518499748</c:v>
                </c:pt>
                <c:pt idx="123">
                  <c:v>621.45325437260897</c:v>
                </c:pt>
                <c:pt idx="124">
                  <c:v>633.49474791290106</c:v>
                </c:pt>
                <c:pt idx="125">
                  <c:v>645.53151064243139</c:v>
                </c:pt>
                <c:pt idx="126">
                  <c:v>548.04607929846588</c:v>
                </c:pt>
                <c:pt idx="127">
                  <c:v>559.97786488342695</c:v>
                </c:pt>
                <c:pt idx="128">
                  <c:v>571.90433029135977</c:v>
                </c:pt>
                <c:pt idx="129">
                  <c:v>583.82560207965423</c:v>
                </c:pt>
                <c:pt idx="130">
                  <c:v>595.74180121714119</c:v>
                </c:pt>
                <c:pt idx="131">
                  <c:v>607.65304344007518</c:v>
                </c:pt>
                <c:pt idx="132">
                  <c:v>619.55943957876173</c:v>
                </c:pt>
                <c:pt idx="133">
                  <c:v>631.4610958577822</c:v>
                </c:pt>
                <c:pt idx="134">
                  <c:v>643.35811417241564</c:v>
                </c:pt>
                <c:pt idx="135">
                  <c:v>655.25059234356047</c:v>
                </c:pt>
                <c:pt idx="136">
                  <c:v>667.13862435319663</c:v>
                </c:pt>
                <c:pt idx="137">
                  <c:v>679.02230056219787</c:v>
                </c:pt>
                <c:pt idx="138">
                  <c:v>574.51414186728437</c:v>
                </c:pt>
                <c:pt idx="139">
                  <c:v>586.11990350830399</c:v>
                </c:pt>
                <c:pt idx="140">
                  <c:v>597.72087811914889</c:v>
                </c:pt>
                <c:pt idx="141">
                  <c:v>609.31717168089131</c:v>
                </c:pt>
                <c:pt idx="142">
                  <c:v>620.90888581279978</c:v>
                </c:pt>
                <c:pt idx="143">
                  <c:v>632.49611803165146</c:v>
                </c:pt>
                <c:pt idx="144">
                  <c:v>644.07896199105858</c:v>
                </c:pt>
                <c:pt idx="145">
                  <c:v>655.65750770269199</c:v>
                </c:pt>
                <c:pt idx="146">
                  <c:v>667.23184174107257</c:v>
                </c:pt>
                <c:pt idx="147">
                  <c:v>678.80204743342108</c:v>
                </c:pt>
                <c:pt idx="148">
                  <c:v>690.36820503589581</c:v>
                </c:pt>
                <c:pt idx="149">
                  <c:v>701.93039189741421</c:v>
                </c:pt>
                <c:pt idx="150">
                  <c:v>434.90135751193066</c:v>
                </c:pt>
                <c:pt idx="151">
                  <c:v>441.97658421287679</c:v>
                </c:pt>
                <c:pt idx="152">
                  <c:v>449.04938379331742</c:v>
                </c:pt>
                <c:pt idx="153">
                  <c:v>456.11979989694652</c:v>
                </c:pt>
                <c:pt idx="154">
                  <c:v>299.56204668849836</c:v>
                </c:pt>
                <c:pt idx="155">
                  <c:v>303.87672636861231</c:v>
                </c:pt>
                <c:pt idx="156">
                  <c:v>308.19004324916756</c:v>
                </c:pt>
                <c:pt idx="157">
                  <c:v>312.50201912608486</c:v>
                </c:pt>
                <c:pt idx="158">
                  <c:v>209.45934642866371</c:v>
                </c:pt>
                <c:pt idx="159">
                  <c:v>212.15940571579952</c:v>
                </c:pt>
                <c:pt idx="160">
                  <c:v>214.85867291536229</c:v>
                </c:pt>
                <c:pt idx="161">
                  <c:v>217.55715940943028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7" zoomScale="80" zoomScaleNormal="80" workbookViewId="0">
      <selection activeCell="G16" sqref="G1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4.3899999999999997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0.77800000000000002</v>
      </c>
      <c r="D9" s="33">
        <f t="shared" ref="D9:D18" si="0">C9*$C$5</f>
        <v>3.4154199999999997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12</v>
      </c>
      <c r="C10" s="32">
        <v>7.3999999999999996E-2</v>
      </c>
      <c r="D10" s="33">
        <f t="shared" si="0"/>
        <v>0.32485999999999998</v>
      </c>
      <c r="E10" s="34">
        <v>131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5</v>
      </c>
      <c r="C11" s="32">
        <v>7.3999999999999996E-2</v>
      </c>
      <c r="D11" s="33">
        <f t="shared" si="0"/>
        <v>0.32485999999999998</v>
      </c>
      <c r="E11" s="34">
        <v>90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52</v>
      </c>
      <c r="C12" s="32">
        <v>3.6999999999999998E-2</v>
      </c>
      <c r="D12" s="33">
        <f t="shared" si="0"/>
        <v>0.16242999999999999</v>
      </c>
      <c r="E12" s="34">
        <v>161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324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52</v>
      </c>
      <c r="C13" s="32">
        <v>3.6999999999999998E-2</v>
      </c>
      <c r="D13" s="33">
        <f t="shared" si="0"/>
        <v>0.16242999999999999</v>
      </c>
      <c r="E13" s="34">
        <v>161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325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4.3899999999999988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12</v>
      </c>
      <c r="B36" s="60">
        <f>98.16/1.3</f>
        <v>75.507692307692309</v>
      </c>
      <c r="C36" s="60"/>
      <c r="D36" s="60"/>
      <c r="E36" s="51"/>
      <c r="F36" s="51"/>
      <c r="G36" s="51"/>
      <c r="H36" s="51"/>
      <c r="I36" s="49">
        <f>IFERROR(B36/A36,"")</f>
        <v>6.2923076923076922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14</v>
      </c>
      <c r="B37" s="60">
        <f>147.33/1.3</f>
        <v>113.33076923076923</v>
      </c>
      <c r="C37" s="60">
        <v>1</v>
      </c>
      <c r="D37" s="60">
        <f>46.76/1.3</f>
        <v>35.969230769230769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18.911538461538463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19</v>
      </c>
      <c r="B38" s="60">
        <f>220.48/1.3</f>
        <v>169.6</v>
      </c>
      <c r="C38" s="60">
        <v>2</v>
      </c>
      <c r="D38" s="60">
        <f>71.38/1.3</f>
        <v>54.907692307692301</v>
      </c>
      <c r="E38" s="51">
        <v>0.1</v>
      </c>
      <c r="F38" s="51">
        <v>0.45</v>
      </c>
      <c r="G38" s="51">
        <v>0.45</v>
      </c>
      <c r="H38" s="51"/>
      <c r="I38" s="53">
        <f t="shared" si="1"/>
        <v>18.447692307692307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25</v>
      </c>
      <c r="B39" s="60">
        <f>285.76/1.3</f>
        <v>219.8153846153846</v>
      </c>
      <c r="C39" s="60">
        <v>3</v>
      </c>
      <c r="D39" s="60">
        <f>68.77/1.3</f>
        <v>52.9</v>
      </c>
      <c r="E39" s="51">
        <v>0.2</v>
      </c>
      <c r="F39" s="51">
        <v>0.4</v>
      </c>
      <c r="G39" s="51">
        <v>0.4</v>
      </c>
      <c r="H39" s="51"/>
      <c r="I39" s="49">
        <f t="shared" si="1"/>
        <v>17.520512820512817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32</v>
      </c>
      <c r="B40" s="60">
        <f>367.23/1.3</f>
        <v>282.48461538461538</v>
      </c>
      <c r="C40" s="60">
        <v>4</v>
      </c>
      <c r="D40" s="60">
        <f>83.07/1.3</f>
        <v>63.899999999999991</v>
      </c>
      <c r="E40" s="51"/>
      <c r="F40" s="51"/>
      <c r="G40" s="51"/>
      <c r="H40" s="51"/>
      <c r="I40" s="49">
        <f t="shared" si="1"/>
        <v>16.509890109890112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45</v>
      </c>
      <c r="B41" s="60">
        <f>536.24/1.3</f>
        <v>412.49230769230769</v>
      </c>
      <c r="C41" s="60">
        <v>5</v>
      </c>
      <c r="D41" s="60">
        <f>536.24/1.3</f>
        <v>412.49230769230769</v>
      </c>
      <c r="E41" s="51"/>
      <c r="F41" s="51"/>
      <c r="G41" s="51"/>
      <c r="H41" s="51"/>
      <c r="I41" s="53">
        <f t="shared" si="1"/>
        <v>14.915976331360945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30</v>
      </c>
      <c r="B62" s="60">
        <f>190.14/1.56</f>
        <v>121.88461538461537</v>
      </c>
      <c r="C62" s="60"/>
      <c r="D62" s="60"/>
      <c r="E62" s="51"/>
      <c r="F62" s="51"/>
      <c r="G62" s="51"/>
      <c r="H62" s="51"/>
      <c r="I62" s="53">
        <f>IFERROR(B62/A62,"")</f>
        <v>4.0628205128205126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35</v>
      </c>
      <c r="B63" s="60">
        <f>252.98/1.56</f>
        <v>162.16666666666666</v>
      </c>
      <c r="C63" s="60">
        <v>1</v>
      </c>
      <c r="D63" s="60">
        <f>94.54/1.56</f>
        <v>60.602564102564102</v>
      </c>
      <c r="E63" s="51"/>
      <c r="F63" s="51"/>
      <c r="G63" s="51"/>
      <c r="H63" s="51"/>
      <c r="I63" s="49">
        <f>IF(A63&lt;&gt;0,(B63-(B62-D62))/(A63-A62),"")</f>
        <v>8.0564102564102562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41</v>
      </c>
      <c r="B64" s="60">
        <f>245.62/1.56</f>
        <v>157.44871794871796</v>
      </c>
      <c r="C64" s="60">
        <v>2</v>
      </c>
      <c r="D64" s="60">
        <f>60.08/1.56</f>
        <v>38.512820512820511</v>
      </c>
      <c r="E64" s="51"/>
      <c r="F64" s="51"/>
      <c r="G64" s="51"/>
      <c r="H64" s="51"/>
      <c r="I64" s="49">
        <f>IF(A64&lt;&gt;0,(B64-(B63-D63))/(A64-A63),"")</f>
        <v>9.3141025641025674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48</v>
      </c>
      <c r="B65" s="60">
        <f>287.59/1.56</f>
        <v>184.35256410256409</v>
      </c>
      <c r="C65" s="60">
        <v>3</v>
      </c>
      <c r="D65" s="60">
        <f>74.92/1.56</f>
        <v>48.025641025641022</v>
      </c>
      <c r="E65" s="51"/>
      <c r="F65" s="51"/>
      <c r="G65" s="51"/>
      <c r="H65" s="51"/>
      <c r="I65" s="49">
        <f>IF(A65&lt;&gt;0,(B65-(B64-D64))/(A65-A64),"")</f>
        <v>9.3452380952380913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55</v>
      </c>
      <c r="B66" s="60">
        <f>309.57/1.56</f>
        <v>198.44230769230768</v>
      </c>
      <c r="C66" s="60">
        <v>4</v>
      </c>
      <c r="D66" s="60">
        <f>70.43/1.56</f>
        <v>45.147435897435898</v>
      </c>
      <c r="E66" s="51"/>
      <c r="F66" s="51"/>
      <c r="G66" s="51"/>
      <c r="H66" s="51"/>
      <c r="I66" s="49">
        <f>IF(A66&lt;&gt;0,(B66-(B65-D65))/(A66-A65),"")</f>
        <v>8.8736263736263741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63</v>
      </c>
      <c r="B67" s="60">
        <f>343.65/1.56</f>
        <v>220.28846153846152</v>
      </c>
      <c r="C67" s="60">
        <v>5</v>
      </c>
      <c r="D67" s="60">
        <f>65.09/1.56</f>
        <v>41.724358974358978</v>
      </c>
      <c r="E67" s="51"/>
      <c r="F67" s="51"/>
      <c r="G67" s="51"/>
      <c r="H67" s="51"/>
      <c r="I67" s="49">
        <f>IF(A67&lt;&gt;0,(B67-(B66-D66))/(A67-A66),"")</f>
        <v>8.374198717948719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71</v>
      </c>
      <c r="B68" s="60">
        <f>379.65/1.56</f>
        <v>243.36538461538458</v>
      </c>
      <c r="C68" s="60">
        <v>6</v>
      </c>
      <c r="D68" s="60">
        <f>62.3/1.56</f>
        <v>39.935897435897431</v>
      </c>
      <c r="E68" s="51"/>
      <c r="F68" s="51"/>
      <c r="G68" s="51"/>
      <c r="H68" s="51"/>
      <c r="I68" s="49">
        <f t="shared" ref="I68:I81" si="2">IF(A68&lt;&gt;0,(B68-(B67-D67))/(A68-A67),"")</f>
        <v>8.1001602564102555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80</v>
      </c>
      <c r="B69" s="50">
        <f>427.46/1.56</f>
        <v>274.0128205128205</v>
      </c>
      <c r="C69" s="50">
        <v>7</v>
      </c>
      <c r="D69" s="50">
        <f>71.15/1.56</f>
        <v>45.608974358974358</v>
      </c>
      <c r="E69" s="51"/>
      <c r="F69" s="51"/>
      <c r="G69" s="51"/>
      <c r="H69" s="51"/>
      <c r="I69" s="49">
        <f t="shared" si="2"/>
        <v>7.8425925925925934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89</v>
      </c>
      <c r="B70" s="50">
        <f>461.54/1.56</f>
        <v>295.85897435897436</v>
      </c>
      <c r="C70" s="50">
        <v>8</v>
      </c>
      <c r="D70" s="50">
        <f>77.05/1.56</f>
        <v>49.391025641025635</v>
      </c>
      <c r="E70" s="51"/>
      <c r="F70" s="51"/>
      <c r="G70" s="51"/>
      <c r="H70" s="51"/>
      <c r="I70" s="49">
        <f t="shared" si="2"/>
        <v>7.4950142450142483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99</v>
      </c>
      <c r="B71" s="50">
        <f>496.47/1.56</f>
        <v>318.25</v>
      </c>
      <c r="C71" s="50">
        <v>9</v>
      </c>
      <c r="D71" s="50">
        <f>74.91/1.56</f>
        <v>48.019230769230766</v>
      </c>
      <c r="E71" s="51"/>
      <c r="F71" s="51"/>
      <c r="G71" s="51"/>
      <c r="H71" s="51"/>
      <c r="I71" s="49">
        <f t="shared" si="2"/>
        <v>7.1782051282051267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109</v>
      </c>
      <c r="B72" s="50">
        <f>530.66/1.56</f>
        <v>340.16666666666663</v>
      </c>
      <c r="C72" s="50">
        <v>10</v>
      </c>
      <c r="D72" s="50">
        <f>80.01/1.56</f>
        <v>51.28846153846154</v>
      </c>
      <c r="E72" s="51"/>
      <c r="F72" s="51"/>
      <c r="G72" s="51"/>
      <c r="H72" s="51"/>
      <c r="I72" s="49">
        <f t="shared" si="2"/>
        <v>6.9935897435897401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119</v>
      </c>
      <c r="B73" s="50">
        <f>557.45/1.56</f>
        <v>357.33974358974359</v>
      </c>
      <c r="C73" s="50">
        <v>11</v>
      </c>
      <c r="D73" s="50">
        <f>234.04/1.56</f>
        <v>150.02564102564102</v>
      </c>
      <c r="E73" s="51"/>
      <c r="F73" s="51"/>
      <c r="G73" s="51"/>
      <c r="H73" s="51"/>
      <c r="I73" s="49">
        <f t="shared" si="2"/>
        <v>6.8461538461538511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123</v>
      </c>
      <c r="B74" s="50">
        <f>347.31/1.56</f>
        <v>222.63461538461539</v>
      </c>
      <c r="C74" s="50">
        <v>12</v>
      </c>
      <c r="D74" s="50">
        <f>120.39/1.56</f>
        <v>77.17307692307692</v>
      </c>
      <c r="E74" s="51"/>
      <c r="F74" s="51"/>
      <c r="G74" s="51"/>
      <c r="H74" s="51"/>
      <c r="I74" s="49">
        <f t="shared" si="2"/>
        <v>3.8301282051282044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127</v>
      </c>
      <c r="B75" s="50">
        <f>241.49/1.56</f>
        <v>154.80128205128204</v>
      </c>
      <c r="C75" s="50">
        <v>13</v>
      </c>
      <c r="D75" s="50">
        <f>77.87/1.56</f>
        <v>49.916666666666671</v>
      </c>
      <c r="E75" s="51"/>
      <c r="F75" s="51"/>
      <c r="G75" s="51"/>
      <c r="H75" s="51"/>
      <c r="I75" s="49">
        <f t="shared" si="2"/>
        <v>2.3349358974358978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131</v>
      </c>
      <c r="B76" s="50">
        <f>173.02/1.56</f>
        <v>110.91025641025641</v>
      </c>
      <c r="C76" s="50">
        <v>14</v>
      </c>
      <c r="D76" s="50">
        <f>173.02/1.56</f>
        <v>110.91025641025641</v>
      </c>
      <c r="E76" s="51"/>
      <c r="F76" s="51"/>
      <c r="G76" s="51"/>
      <c r="H76" s="51"/>
      <c r="I76" s="49">
        <f t="shared" si="2"/>
        <v>1.5064102564102591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Bouleau verruqueux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f>65+18</f>
        <v>83</v>
      </c>
      <c r="C88" s="60">
        <v>1</v>
      </c>
      <c r="D88" s="60">
        <v>18</v>
      </c>
      <c r="E88" s="51"/>
      <c r="F88" s="51">
        <v>0.25</v>
      </c>
      <c r="G88" s="51">
        <v>0.25</v>
      </c>
      <c r="H88" s="87">
        <v>0.5</v>
      </c>
      <c r="I88" s="53">
        <f>IFERROR(B88/A88,"")</f>
        <v>4.1500000000000004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30</v>
      </c>
      <c r="B89" s="60">
        <f>109+26</f>
        <v>135</v>
      </c>
      <c r="C89" s="60">
        <v>2</v>
      </c>
      <c r="D89" s="60">
        <v>26</v>
      </c>
      <c r="E89" s="51">
        <v>0.1</v>
      </c>
      <c r="F89" s="51">
        <v>0.45</v>
      </c>
      <c r="G89" s="51">
        <v>0.45</v>
      </c>
      <c r="H89" s="87"/>
      <c r="I89" s="53">
        <f t="shared" ref="I89:I107" si="3">IF(A89&lt;&gt;0,(B89-(B88-D88))/(A89-A88),"")</f>
        <v>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40</v>
      </c>
      <c r="B90" s="60">
        <f>150+31</f>
        <v>181</v>
      </c>
      <c r="C90" s="60">
        <v>3</v>
      </c>
      <c r="D90" s="60">
        <v>31</v>
      </c>
      <c r="E90" s="87"/>
      <c r="F90" s="87"/>
      <c r="G90" s="87"/>
      <c r="H90" s="87"/>
      <c r="I90" s="53">
        <f t="shared" si="3"/>
        <v>7.2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50</v>
      </c>
      <c r="B91" s="60">
        <f>186+34</f>
        <v>220</v>
      </c>
      <c r="C91" s="60">
        <v>4</v>
      </c>
      <c r="D91" s="60">
        <v>34</v>
      </c>
      <c r="E91" s="87"/>
      <c r="F91" s="87"/>
      <c r="G91" s="87"/>
      <c r="H91" s="87"/>
      <c r="I91" s="53">
        <f t="shared" si="3"/>
        <v>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60</v>
      </c>
      <c r="B92" s="60">
        <f>216+34</f>
        <v>250</v>
      </c>
      <c r="C92" s="60">
        <v>5</v>
      </c>
      <c r="D92" s="60">
        <v>34</v>
      </c>
      <c r="E92" s="87"/>
      <c r="F92" s="87"/>
      <c r="G92" s="87"/>
      <c r="H92" s="87"/>
      <c r="I92" s="53">
        <f t="shared" si="3"/>
        <v>6.4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70</v>
      </c>
      <c r="B93" s="60">
        <f>241+34</f>
        <v>275</v>
      </c>
      <c r="C93" s="60">
        <v>6</v>
      </c>
      <c r="D93" s="60">
        <v>34</v>
      </c>
      <c r="E93" s="87"/>
      <c r="F93" s="87"/>
      <c r="G93" s="87"/>
      <c r="H93" s="87"/>
      <c r="I93" s="53">
        <f t="shared" si="3"/>
        <v>5.9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80</v>
      </c>
      <c r="B94" s="60">
        <f>260+33</f>
        <v>293</v>
      </c>
      <c r="C94" s="60">
        <v>7</v>
      </c>
      <c r="D94" s="60">
        <v>33</v>
      </c>
      <c r="E94" s="87"/>
      <c r="F94" s="87"/>
      <c r="G94" s="87"/>
      <c r="H94" s="87"/>
      <c r="I94" s="53">
        <f t="shared" si="3"/>
        <v>5.2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90</v>
      </c>
      <c r="B95" s="60">
        <f>276+31</f>
        <v>307</v>
      </c>
      <c r="C95" s="60">
        <v>8</v>
      </c>
      <c r="D95" s="60">
        <v>31</v>
      </c>
      <c r="E95" s="87"/>
      <c r="F95" s="87"/>
      <c r="G95" s="87"/>
      <c r="H95" s="87"/>
      <c r="I95" s="53">
        <f t="shared" si="3"/>
        <v>4.7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>IF(A106&lt;&gt;0,(B106-(B105-D105))/(A106-A105),"")</f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Cormier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30</v>
      </c>
      <c r="B114" s="60">
        <f>136.82/1.56</f>
        <v>87.705128205128204</v>
      </c>
      <c r="C114" s="50"/>
      <c r="D114" s="60"/>
      <c r="E114" s="51"/>
      <c r="F114" s="51"/>
      <c r="G114" s="51"/>
      <c r="H114" s="51"/>
      <c r="I114" s="53">
        <f>IFERROR(B114/A114,"")</f>
        <v>2.9235042735042733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44</v>
      </c>
      <c r="B115" s="60">
        <f>253.38/1.56</f>
        <v>162.42307692307691</v>
      </c>
      <c r="C115" s="50">
        <v>1</v>
      </c>
      <c r="D115" s="60">
        <f>100.49/1.56</f>
        <v>64.416666666666657</v>
      </c>
      <c r="E115" s="51"/>
      <c r="F115" s="51"/>
      <c r="G115" s="51"/>
      <c r="H115" s="51"/>
      <c r="I115" s="53">
        <f t="shared" ref="I115:I133" si="4">IF(A115&lt;&gt;0,(B115-(B114-D114))/(A115-A114),"")</f>
        <v>5.3369963369963358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51</v>
      </c>
      <c r="B116" s="60">
        <f>227.43/1.56</f>
        <v>145.78846153846155</v>
      </c>
      <c r="C116" s="50">
        <v>2</v>
      </c>
      <c r="D116" s="60">
        <f>58.79/1.56</f>
        <v>37.685897435897431</v>
      </c>
      <c r="E116" s="51"/>
      <c r="F116" s="51"/>
      <c r="G116" s="51"/>
      <c r="H116" s="51"/>
      <c r="I116" s="53">
        <f t="shared" si="4"/>
        <v>6.8260073260073284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59</v>
      </c>
      <c r="B117" s="60">
        <f>248.44/1.56</f>
        <v>159.25641025641025</v>
      </c>
      <c r="C117" s="50">
        <v>3</v>
      </c>
      <c r="D117" s="60">
        <f>60.75/1.56</f>
        <v>38.942307692307693</v>
      </c>
      <c r="E117" s="51"/>
      <c r="F117" s="51"/>
      <c r="G117" s="51"/>
      <c r="H117" s="51"/>
      <c r="I117" s="53">
        <f t="shared" si="4"/>
        <v>6.3942307692307665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67</v>
      </c>
      <c r="B118" s="60">
        <f>261.86/1.56</f>
        <v>167.85897435897436</v>
      </c>
      <c r="C118" s="50">
        <v>4</v>
      </c>
      <c r="D118" s="60">
        <f>49.91/1.56</f>
        <v>31.993589743589741</v>
      </c>
      <c r="E118" s="51"/>
      <c r="F118" s="51"/>
      <c r="G118" s="51"/>
      <c r="H118" s="51"/>
      <c r="I118" s="53">
        <f t="shared" si="4"/>
        <v>5.9431089743589762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75</v>
      </c>
      <c r="B119" s="60">
        <f>282.96/1.56</f>
        <v>181.38461538461536</v>
      </c>
      <c r="C119" s="50">
        <v>5</v>
      </c>
      <c r="D119" s="60">
        <f>48.23/1.56</f>
        <v>30.916666666666664</v>
      </c>
      <c r="E119" s="51"/>
      <c r="F119" s="51"/>
      <c r="G119" s="51"/>
      <c r="H119" s="51"/>
      <c r="I119" s="53">
        <f t="shared" si="4"/>
        <v>5.6899038461538431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84</v>
      </c>
      <c r="B120" s="60">
        <f>312.01/1.56</f>
        <v>200.00641025641025</v>
      </c>
      <c r="C120" s="60">
        <v>6</v>
      </c>
      <c r="D120" s="60">
        <f>54.73/1.56</f>
        <v>35.083333333333329</v>
      </c>
      <c r="E120" s="87"/>
      <c r="F120" s="87"/>
      <c r="G120" s="87"/>
      <c r="H120" s="87"/>
      <c r="I120" s="53">
        <f t="shared" si="4"/>
        <v>5.5042735042735051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93</v>
      </c>
      <c r="B121" s="60">
        <f>331.14/1.56</f>
        <v>212.26923076923075</v>
      </c>
      <c r="C121" s="60">
        <v>7</v>
      </c>
      <c r="D121" s="60">
        <f>46.93/1.56</f>
        <v>30.083333333333332</v>
      </c>
      <c r="E121" s="87"/>
      <c r="F121" s="87"/>
      <c r="G121" s="87"/>
      <c r="H121" s="87"/>
      <c r="I121" s="53">
        <f t="shared" si="4"/>
        <v>5.2606837606837598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103</v>
      </c>
      <c r="B122" s="60">
        <f>366.24/1.56</f>
        <v>234.76923076923077</v>
      </c>
      <c r="C122" s="60">
        <v>8</v>
      </c>
      <c r="D122" s="60">
        <f>61.64/1.56</f>
        <v>39.512820512820511</v>
      </c>
      <c r="E122" s="87"/>
      <c r="F122" s="87"/>
      <c r="G122" s="87"/>
      <c r="H122" s="87"/>
      <c r="I122" s="53">
        <f t="shared" si="4"/>
        <v>5.2583333333333373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113</v>
      </c>
      <c r="B123" s="60">
        <f>384.1/1.56</f>
        <v>246.21794871794873</v>
      </c>
      <c r="C123" s="60">
        <v>9</v>
      </c>
      <c r="D123" s="60">
        <f>49.3/1.56</f>
        <v>31.602564102564099</v>
      </c>
      <c r="E123" s="87"/>
      <c r="F123" s="87"/>
      <c r="G123" s="87"/>
      <c r="H123" s="87"/>
      <c r="I123" s="53">
        <f t="shared" si="4"/>
        <v>5.0961538461538449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125</v>
      </c>
      <c r="B124" s="60">
        <f>434.14/1.56</f>
        <v>278.29487179487177</v>
      </c>
      <c r="C124" s="60">
        <v>10</v>
      </c>
      <c r="D124" s="60">
        <f>75.13/1.56</f>
        <v>48.160256410256409</v>
      </c>
      <c r="E124" s="87"/>
      <c r="F124" s="87"/>
      <c r="G124" s="87"/>
      <c r="H124" s="87"/>
      <c r="I124" s="53">
        <f t="shared" si="4"/>
        <v>5.3066239316239274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137</v>
      </c>
      <c r="B125" s="60">
        <f>457.19/1.56</f>
        <v>293.07051282051282</v>
      </c>
      <c r="C125" s="60">
        <v>11</v>
      </c>
      <c r="D125" s="60">
        <f>79.81/1.56</f>
        <v>51.160256410256409</v>
      </c>
      <c r="E125" s="87"/>
      <c r="F125" s="87"/>
      <c r="G125" s="87"/>
      <c r="H125" s="87"/>
      <c r="I125" s="53">
        <f t="shared" si="4"/>
        <v>5.2446581196581219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149</v>
      </c>
      <c r="B126" s="60">
        <f>472.97/1.56</f>
        <v>303.18589743589746</v>
      </c>
      <c r="C126" s="60">
        <v>12</v>
      </c>
      <c r="D126" s="60">
        <f>187.99/1.56</f>
        <v>120.50641025641026</v>
      </c>
      <c r="E126" s="65"/>
      <c r="F126" s="65"/>
      <c r="G126" s="65"/>
      <c r="H126" s="65"/>
      <c r="I126" s="53">
        <f t="shared" si="4"/>
        <v>5.1063034188034209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153</v>
      </c>
      <c r="B127" s="60">
        <f>304.29/1.56</f>
        <v>195.05769230769232</v>
      </c>
      <c r="C127" s="60">
        <v>13</v>
      </c>
      <c r="D127" s="60">
        <f>109.38/1.56</f>
        <v>70.115384615384613</v>
      </c>
      <c r="E127" s="65"/>
      <c r="F127" s="65"/>
      <c r="G127" s="65"/>
      <c r="H127" s="65"/>
      <c r="I127" s="53">
        <f t="shared" si="4"/>
        <v>3.0945512820512846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>
        <v>157</v>
      </c>
      <c r="B128" s="50">
        <f>206.59/1.56</f>
        <v>132.42948717948718</v>
      </c>
      <c r="C128" s="50">
        <v>14</v>
      </c>
      <c r="D128" s="50">
        <f>71.31/1.56</f>
        <v>45.71153846153846</v>
      </c>
      <c r="E128" s="54"/>
      <c r="F128" s="54"/>
      <c r="G128" s="54"/>
      <c r="H128" s="54"/>
      <c r="I128" s="53">
        <f t="shared" si="4"/>
        <v>1.8717948717948687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>
        <v>161</v>
      </c>
      <c r="B129" s="50">
        <f>142.53/1.56</f>
        <v>91.365384615384613</v>
      </c>
      <c r="C129" s="50">
        <v>15</v>
      </c>
      <c r="D129" s="50">
        <f>142.53/1.56</f>
        <v>91.365384615384613</v>
      </c>
      <c r="E129" s="54"/>
      <c r="F129" s="54"/>
      <c r="G129" s="54"/>
      <c r="H129" s="54"/>
      <c r="I129" s="53">
        <f t="shared" si="4"/>
        <v>1.1618589743589709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Cormier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30</v>
      </c>
      <c r="B140" s="60">
        <f>136.82/1.56</f>
        <v>87.705128205128204</v>
      </c>
      <c r="C140" s="50"/>
      <c r="D140" s="60"/>
      <c r="E140" s="51"/>
      <c r="F140" s="51"/>
      <c r="G140" s="51"/>
      <c r="H140" s="51"/>
      <c r="I140" s="57">
        <f>IFERROR(B140/A140,"")</f>
        <v>2.9235042735042733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44</v>
      </c>
      <c r="B141" s="60">
        <f>253.38/1.56</f>
        <v>162.42307692307691</v>
      </c>
      <c r="C141" s="50">
        <v>1</v>
      </c>
      <c r="D141" s="60">
        <f>100.49/1.56</f>
        <v>64.416666666666657</v>
      </c>
      <c r="E141" s="51"/>
      <c r="F141" s="51"/>
      <c r="G141" s="51"/>
      <c r="H141" s="51"/>
      <c r="I141" s="57">
        <f t="shared" ref="I141:I159" si="5">IF(A141&lt;&gt;0,(B141-(B140-D140))/(A141-A140),"")</f>
        <v>5.3369963369963358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51</v>
      </c>
      <c r="B142" s="60">
        <f>227.43/1.56</f>
        <v>145.78846153846155</v>
      </c>
      <c r="C142" s="50">
        <v>2</v>
      </c>
      <c r="D142" s="60">
        <f>58.79/1.56</f>
        <v>37.685897435897431</v>
      </c>
      <c r="E142" s="51"/>
      <c r="F142" s="51"/>
      <c r="G142" s="51"/>
      <c r="H142" s="51"/>
      <c r="I142" s="57">
        <f t="shared" si="5"/>
        <v>6.8260073260073284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59</v>
      </c>
      <c r="B143" s="60">
        <f>248.44/1.56</f>
        <v>159.25641025641025</v>
      </c>
      <c r="C143" s="50">
        <v>3</v>
      </c>
      <c r="D143" s="60">
        <f>60.75/1.56</f>
        <v>38.942307692307693</v>
      </c>
      <c r="E143" s="51"/>
      <c r="F143" s="51"/>
      <c r="G143" s="51"/>
      <c r="H143" s="51"/>
      <c r="I143" s="57">
        <f t="shared" si="5"/>
        <v>6.3942307692307665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67</v>
      </c>
      <c r="B144" s="60">
        <f>261.86/1.56</f>
        <v>167.85897435897436</v>
      </c>
      <c r="C144" s="50">
        <v>4</v>
      </c>
      <c r="D144" s="60">
        <f>49.91/1.56</f>
        <v>31.993589743589741</v>
      </c>
      <c r="E144" s="51"/>
      <c r="F144" s="51"/>
      <c r="G144" s="51"/>
      <c r="H144" s="51"/>
      <c r="I144" s="57">
        <f t="shared" si="5"/>
        <v>5.9431089743589762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75</v>
      </c>
      <c r="B145" s="60">
        <f>282.96/1.56</f>
        <v>181.38461538461536</v>
      </c>
      <c r="C145" s="50">
        <v>5</v>
      </c>
      <c r="D145" s="60">
        <f>48.23/1.56</f>
        <v>30.916666666666664</v>
      </c>
      <c r="E145" s="51"/>
      <c r="F145" s="51"/>
      <c r="G145" s="51"/>
      <c r="H145" s="51"/>
      <c r="I145" s="57">
        <f t="shared" si="5"/>
        <v>5.6899038461538431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84</v>
      </c>
      <c r="B146" s="60">
        <f>312.01/1.56</f>
        <v>200.00641025641025</v>
      </c>
      <c r="C146" s="50">
        <v>6</v>
      </c>
      <c r="D146" s="60">
        <f>54.73/1.56</f>
        <v>35.083333333333329</v>
      </c>
      <c r="E146" s="51"/>
      <c r="F146" s="51"/>
      <c r="G146" s="51"/>
      <c r="H146" s="51"/>
      <c r="I146" s="57">
        <f t="shared" si="5"/>
        <v>5.5042735042735051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93</v>
      </c>
      <c r="B147" s="60">
        <f>331.14/1.56</f>
        <v>212.26923076923075</v>
      </c>
      <c r="C147" s="50">
        <v>7</v>
      </c>
      <c r="D147" s="60">
        <f>46.93/1.56</f>
        <v>30.083333333333332</v>
      </c>
      <c r="E147" s="51"/>
      <c r="F147" s="51"/>
      <c r="G147" s="51"/>
      <c r="H147" s="51"/>
      <c r="I147" s="57">
        <f>IF(A147&lt;&gt;0,(B147-(B146-D146))/(A147-A146),"")</f>
        <v>5.2606837606837598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103</v>
      </c>
      <c r="B148" s="60">
        <f>366.24/1.56</f>
        <v>234.76923076923077</v>
      </c>
      <c r="C148" s="50">
        <v>8</v>
      </c>
      <c r="D148" s="60">
        <f>61.64/1.56</f>
        <v>39.512820512820511</v>
      </c>
      <c r="E148" s="51"/>
      <c r="F148" s="51"/>
      <c r="G148" s="51"/>
      <c r="H148" s="51"/>
      <c r="I148" s="57">
        <f t="shared" si="5"/>
        <v>5.2583333333333373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113</v>
      </c>
      <c r="B149" s="60">
        <f>384.1/1.56</f>
        <v>246.21794871794873</v>
      </c>
      <c r="C149" s="50">
        <v>9</v>
      </c>
      <c r="D149" s="60">
        <f>49.3/1.56</f>
        <v>31.602564102564099</v>
      </c>
      <c r="E149" s="51"/>
      <c r="F149" s="51"/>
      <c r="G149" s="51"/>
      <c r="H149" s="51"/>
      <c r="I149" s="57">
        <f t="shared" si="5"/>
        <v>5.0961538461538449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125</v>
      </c>
      <c r="B150" s="60">
        <f>434.14/1.56</f>
        <v>278.29487179487177</v>
      </c>
      <c r="C150" s="50">
        <v>10</v>
      </c>
      <c r="D150" s="60">
        <f>75.13/1.56</f>
        <v>48.160256410256409</v>
      </c>
      <c r="E150" s="51"/>
      <c r="F150" s="51"/>
      <c r="G150" s="51"/>
      <c r="H150" s="51"/>
      <c r="I150" s="57">
        <f t="shared" si="5"/>
        <v>5.3066239316239274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137</v>
      </c>
      <c r="B151" s="60">
        <f>457.19/1.56</f>
        <v>293.07051282051282</v>
      </c>
      <c r="C151" s="50">
        <v>11</v>
      </c>
      <c r="D151" s="60">
        <f>79.81/1.56</f>
        <v>51.160256410256409</v>
      </c>
      <c r="E151" s="51"/>
      <c r="F151" s="51"/>
      <c r="G151" s="51"/>
      <c r="H151" s="51"/>
      <c r="I151" s="57">
        <f t="shared" si="5"/>
        <v>5.2446581196581219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149</v>
      </c>
      <c r="B152" s="60">
        <f>472.97/1.56</f>
        <v>303.18589743589746</v>
      </c>
      <c r="C152" s="50">
        <v>12</v>
      </c>
      <c r="D152" s="60">
        <f>187.99/1.56</f>
        <v>120.50641025641026</v>
      </c>
      <c r="E152" s="54"/>
      <c r="F152" s="54"/>
      <c r="G152" s="54"/>
      <c r="H152" s="54"/>
      <c r="I152" s="57">
        <f t="shared" si="5"/>
        <v>5.1063034188034209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153</v>
      </c>
      <c r="B153" s="60">
        <f>304.29/1.56</f>
        <v>195.05769230769232</v>
      </c>
      <c r="C153" s="50">
        <v>13</v>
      </c>
      <c r="D153" s="60">
        <f>109.38/1.56</f>
        <v>70.115384615384613</v>
      </c>
      <c r="E153" s="54"/>
      <c r="F153" s="54"/>
      <c r="G153" s="54"/>
      <c r="H153" s="54"/>
      <c r="I153" s="57">
        <f t="shared" si="5"/>
        <v>3.0945512820512846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157</v>
      </c>
      <c r="B154" s="56">
        <v>132.42948717948718</v>
      </c>
      <c r="C154" s="50">
        <v>14</v>
      </c>
      <c r="D154" s="50">
        <v>45.71153846153846</v>
      </c>
      <c r="E154" s="54"/>
      <c r="F154" s="54"/>
      <c r="G154" s="54"/>
      <c r="H154" s="54"/>
      <c r="I154" s="57">
        <f t="shared" si="5"/>
        <v>1.8717948717948687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>
        <v>161</v>
      </c>
      <c r="B155" s="56">
        <v>91.365384615384613</v>
      </c>
      <c r="C155" s="50">
        <v>15</v>
      </c>
      <c r="D155" s="50">
        <v>91.365384615384613</v>
      </c>
      <c r="E155" s="54"/>
      <c r="F155" s="54"/>
      <c r="G155" s="54"/>
      <c r="H155" s="54"/>
      <c r="I155" s="57">
        <f t="shared" si="5"/>
        <v>1.1618589743589709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pubescent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Bouleau verruqueux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Cormier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Cormier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182.25704762953387</v>
      </c>
      <c r="T3" s="59">
        <f>IF('Données projet'!E9&gt;30,$R$33-$H$33,LOOKUP('Données projet'!$E$9,$A$3:$A$203,R3:R203)-LOOKUP('Données projet'!$E$9,$A$3:$A$203,$H$3:$H$203))</f>
        <v>265.61788177751134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263.15518481854753</v>
      </c>
      <c r="AO3" s="59">
        <f>IF('Données projet'!E10&gt;30,$AM$33-$H$33,LOOKUP('Données projet'!$E$10,$A$3:$A$203,AM3:AM203)-LOOKUP('Données projet'!$E$10,$A$3:$A$203,$H$3:$H$203))</f>
        <v>210.80755370263819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203.21935660591021</v>
      </c>
      <c r="BJ3" s="59">
        <f>IF('Données projet'!E11&gt;30,$BH$33-$H$33,LOOKUP('Données projet'!$E$11,$A$3:$A$203,BH3:BH203)-LOOKUP('Données projet'!$E$11,$A$3:$A$203,$H$3:$H$203))</f>
        <v>180.54762778843178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211.18501783767226</v>
      </c>
      <c r="CE3" s="59">
        <f>IF('Données projet'!E12&gt;30,$CC$33-$H$33,LOOKUP('Données projet'!$E$12,$A$3:$A$203,CC3:CC203)-LOOKUP('Données projet'!$E$12,$A$3:$A$203,$H$3:$H$203))</f>
        <v>147.98306963466246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211.18501783767226</v>
      </c>
      <c r="CZ3" s="59">
        <f>IF('Données projet'!E13&gt;30,$CX$33-$H$33,LOOKUP('Données projet'!$E$13,$A$3:$A$203,CX3:CX203)-LOOKUP('Données projet'!$E$13,$A$3:$A$203,$H$3:$H$203))</f>
        <v>147.98306963466246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6.2923076923076922</v>
      </c>
      <c r="N4" s="13">
        <f>IF('Données projet'!$A$36&gt;35,N3+M4-V3,IF(A4&lt;'Données projet'!$A$36,$K$205^A4,IF(A4='Données projet'!$A$36,'Données projet'!$B$36,N3+M4-V3)))</f>
        <v>1.4338352942213981</v>
      </c>
      <c r="O4" s="13">
        <f>N4*VLOOKUP('Données projet'!$B$9,Paramètres!$A$1:$I$89,3,0)*VLOOKUP('Données projet'!$B$9,Paramètres!$A$1:$I$89,5,0)</f>
        <v>0.85743350594439616</v>
      </c>
      <c r="P4" s="13">
        <f>EXP(-1.0587+0.8836*LN(O4)+0.284)</f>
        <v>0.4022795752263541</v>
      </c>
      <c r="Q4" s="20">
        <f t="shared" ref="Q4:Q34" si="2">(O4+P4)*0.475*44/12</f>
        <v>2.1940002830390566</v>
      </c>
      <c r="R4" s="59">
        <f t="shared" si="0"/>
        <v>295.52733361637235</v>
      </c>
      <c r="S4" s="59">
        <f ca="1">AVERAGE(OFFSET($R$3,0,0,'Données projet'!$E$9+1,1))-AVERAGE(OFFSET($H$3,0,0,'Données projet'!$E$9+1,1))</f>
        <v>182.25704762953387</v>
      </c>
      <c r="T4" s="59">
        <f>$T$3</f>
        <v>265.61788177751134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4.0628205128205126</v>
      </c>
      <c r="AI4" s="13">
        <f>IF('Données projet'!$A$62&gt;35,AI3+AH4-AQ3,IF(A4&lt;'Données projet'!$A$62,$AF$205^A4,IF(A4='Données projet'!$A$62,'Données projet'!$B$62,AI3+AH4-AQ3)))</f>
        <v>1.1736311550444201</v>
      </c>
      <c r="AJ4" s="13">
        <f>AI4*VLOOKUP('Données projet'!$B$10,Paramètres!$A$1:$I$89,3,0)*VLOOKUP('Données projet'!$B$10,Paramètres!$A$1:$I$89,5,0)</f>
        <v>1.1900619912150421</v>
      </c>
      <c r="AK4" s="13">
        <f>EXP(-1.0587+0.8836*LN(AJ4)+0.284)</f>
        <v>0.53743426225295832</v>
      </c>
      <c r="AL4" s="20">
        <f t="shared" ref="AL4:AL67" si="4">(AJ4+AK4)*0.475*44/12</f>
        <v>3.0087226414567669</v>
      </c>
      <c r="AM4" s="59">
        <f t="shared" ref="AM4:AM67" si="5">AL4+(AD4+AE4)*44/12</f>
        <v>296.34205597479007</v>
      </c>
      <c r="AN4" s="59">
        <f ca="1">AVERAGE(OFFSET($AM$3,0,0,'Données projet'!$E$10+1,1))-AVERAGE(OFFSET($H$3,0,0,'Données projet'!$E$10+1,1))</f>
        <v>263.15518481854753</v>
      </c>
      <c r="AO4" s="59">
        <f>$AO$3</f>
        <v>210.80755370263819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4.1500000000000004</v>
      </c>
      <c r="BD4" s="12">
        <f>IF('Données projet'!$A$88&gt;35,BD3+BC4-BL3,IF(A4&lt;'Données projet'!$A$88,$BA$205^A4,IF(A4='Données projet'!$A$88,'Données projet'!$B$88,BD3+BC4-BL3)))</f>
        <v>1.2472511258067986</v>
      </c>
      <c r="BE4" s="13">
        <f>BD4*VLOOKUP('Données projet'!$B$11,Paramètres!$A$1:$I$89,3,0)*VLOOKUP('Données projet'!$B$11,Paramètres!$A$1:$I$89,5,0)</f>
        <v>1.011770113254475</v>
      </c>
      <c r="BF4" s="13">
        <f>EXP(-1.0587+0.8836*LN(BE4)+0.284)</f>
        <v>0.46563153414603703</v>
      </c>
      <c r="BG4" s="20">
        <f t="shared" ref="BG4:BG67" si="7">(BE4+BF4)*0.475*44/12</f>
        <v>2.5731412025558917</v>
      </c>
      <c r="BH4" s="59">
        <f t="shared" ref="BH4:BH67" si="8">BG4+(AY4+AZ4)*44/12</f>
        <v>295.90647453588923</v>
      </c>
      <c r="BI4" s="59">
        <f ca="1">AVERAGE(OFFSET($BH$3,0,0,'Données projet'!$E$11+1,1))-AVERAGE(OFFSET($H$3,0,0,'Données projet'!$E$11+1,1))</f>
        <v>203.21935660591021</v>
      </c>
      <c r="BJ4" s="59">
        <f>$BJ$3</f>
        <v>180.54762778843178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2.9235042735042733</v>
      </c>
      <c r="BY4" s="12">
        <f>IF('Données projet'!$A$114&gt;35,BY3+BX4-CG3,IF(A4&lt;'Données projet'!$A$114,$BV$205^A4,IF(A4='Données projet'!$A$114,'Données projet'!$B$114,BY3+BX4-CG3)))</f>
        <v>1.1608269964373037</v>
      </c>
      <c r="BZ4" s="13">
        <f>BY4*VLOOKUP('Données projet'!$B$12,Paramètres!$A$1:$I$89,3,0)*VLOOKUP('Données projet'!$B$12,Paramètres!$A$1:$I$89,5,0)</f>
        <v>1.2495141789651136</v>
      </c>
      <c r="CA4" s="13">
        <f>EXP(-1.0587+0.8836*LN(BZ4)+0.284)</f>
        <v>0.56109006538617967</v>
      </c>
      <c r="CB4" s="20">
        <f t="shared" ref="CB4:CB67" si="10">(BZ4+CA4)*0.475*44/12</f>
        <v>3.1534690589118353</v>
      </c>
      <c r="CC4" s="59">
        <f t="shared" ref="CC4:CC67" si="11">CB4+(BT4+BU4)*44/12</f>
        <v>296.48680239224512</v>
      </c>
      <c r="CD4" s="59">
        <f ca="1">AVERAGE(OFFSET($CC$3,0,0,'Données projet'!$E$12+1,1))-AVERAGE(OFFSET($H$3,0,0,'Données projet'!$E$12+1,1))</f>
        <v>211.18501783767226</v>
      </c>
      <c r="CE4" s="59">
        <f>$CE$3</f>
        <v>147.98306963466246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2.9235042735042733</v>
      </c>
      <c r="CT4" s="12">
        <f>IF('Données projet'!$A$140&gt;35,CT3+CS4-DB3,IF(A4&lt;'Données projet'!$A$140,$CQ$205^A4,IF(A4='Données projet'!$A$140,'Données projet'!$B$140,CT3+CS4-DB3)))</f>
        <v>1.1608269964373037</v>
      </c>
      <c r="CU4" s="17">
        <f>CT4*VLOOKUP('Données projet'!$B$13,Paramètres!$A$1:$I$89,3,0)*VLOOKUP('Données projet'!$B$13,Paramètres!$A$1:$I$89,5,0)</f>
        <v>1.2495141789651136</v>
      </c>
      <c r="CV4" s="13">
        <f>EXP(-1.0587+0.8836*LN(CU4)+0.284)</f>
        <v>0.56109006538617967</v>
      </c>
      <c r="CW4" s="20">
        <f t="shared" ref="CW4:CW67" si="13">(CU4+CV4)*0.475*44/12</f>
        <v>3.1534690589118353</v>
      </c>
      <c r="CX4" s="59">
        <f t="shared" ref="CX4:CX67" si="14">CW4+(CO4+CP4)*44/12</f>
        <v>296.48680239224512</v>
      </c>
      <c r="CY4" s="59">
        <f ca="1">AVERAGE(OFFSET($CX$3,0,0,'Données projet'!$E$13+1,1))-AVERAGE(OFFSET($H$3,0,0,'Données projet'!$E$13+1,1))</f>
        <v>211.18501783767226</v>
      </c>
      <c r="CZ4" s="59">
        <f>$CZ$3</f>
        <v>147.98306963466246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6.2923076923076922</v>
      </c>
      <c r="N5" s="13">
        <f>IF('Données projet'!$A$36&gt;35,N4+M5-V4,IF(A5&lt;'Données projet'!$A$36,$K$205^A5,IF(A5='Données projet'!$A$36,'Données projet'!$B$36,N4+M5-V4)))</f>
        <v>2.0558836509549634</v>
      </c>
      <c r="O5" s="13">
        <f>N5*VLOOKUP('Données projet'!$B$9,Paramètres!$A$1:$I$89,3,0)*VLOOKUP('Données projet'!$B$9,Paramètres!$A$1:$I$89,5,0)</f>
        <v>1.2294184232710683</v>
      </c>
      <c r="P5" s="13">
        <f t="shared" ref="P5:P68" si="33">EXP(-1.0587+0.8836*LN(O5)+0.284)</f>
        <v>0.55310901209439789</v>
      </c>
      <c r="Q5" s="20">
        <f t="shared" si="2"/>
        <v>3.1045686165948538</v>
      </c>
      <c r="R5" s="59">
        <f t="shared" si="0"/>
        <v>296.43790194992818</v>
      </c>
      <c r="S5" s="59">
        <f ca="1">AVERAGE(OFFSET($R$3,0,0,'Données projet'!$E$9+1,1))-AVERAGE(OFFSET($H$3,0,0,'Données projet'!$E$9+1,1))</f>
        <v>182.25704762953387</v>
      </c>
      <c r="T5" s="59">
        <f t="shared" ref="T5:T68" si="34">$T$3</f>
        <v>265.61788177751134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4.0628205128205126</v>
      </c>
      <c r="AI5" s="13">
        <f>IF('Données projet'!$A$62&gt;35,AI4+AH5-AQ4,IF(A5&lt;'Données projet'!$A$62,$AF$205^A5,IF(A5='Données projet'!$A$62,'Données projet'!$B$62,AI4+AH5-AQ4)))</f>
        <v>1.3774100880908995</v>
      </c>
      <c r="AJ5" s="13">
        <f>AI5*VLOOKUP('Données projet'!$B$10,Paramètres!$A$1:$I$89,3,0)*VLOOKUP('Données projet'!$B$10,Paramètres!$A$1:$I$89,5,0)</f>
        <v>1.3966938293241722</v>
      </c>
      <c r="AK5" s="13">
        <f t="shared" ref="AK5:AK68" si="35">EXP(-1.0587+0.8836*LN(AJ5)+0.284)</f>
        <v>0.61910384026408283</v>
      </c>
      <c r="AL5" s="20">
        <f t="shared" si="4"/>
        <v>3.5108476078662108</v>
      </c>
      <c r="AM5" s="59">
        <f t="shared" si="5"/>
        <v>296.84418094119951</v>
      </c>
      <c r="AN5" s="59">
        <f ca="1">AVERAGE(OFFSET($AM$3,0,0,'Données projet'!$E$10+1,1))-AVERAGE(OFFSET($H$3,0,0,'Données projet'!$E$10+1,1))</f>
        <v>263.15518481854753</v>
      </c>
      <c r="AO5" s="59">
        <f t="shared" ref="AO5:AO68" si="36">$AO$3</f>
        <v>210.80755370263819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4.1500000000000004</v>
      </c>
      <c r="BD5" s="12">
        <f>IF('Données projet'!$A$88&gt;35,BD4+BC5-BL4,IF(A5&lt;'Données projet'!$A$88,$BA$205^A5,IF(A5='Données projet'!$A$88,'Données projet'!$B$88,BD4+BC5-BL4)))</f>
        <v>1.5556353708263266</v>
      </c>
      <c r="BE5" s="13">
        <f>BD5*VLOOKUP('Données projet'!$B$11,Paramètres!$A$1:$I$89,3,0)*VLOOKUP('Données projet'!$B$11,Paramètres!$A$1:$I$89,5,0)</f>
        <v>1.2619314128143164</v>
      </c>
      <c r="BF5" s="13">
        <f t="shared" ref="BF5:BF68" si="37">EXP(-1.0587+0.8836*LN(BE5)+0.284)</f>
        <v>0.56601410599944368</v>
      </c>
      <c r="BG5" s="20">
        <f t="shared" si="7"/>
        <v>3.1836717786006319</v>
      </c>
      <c r="BH5" s="59">
        <f t="shared" si="8"/>
        <v>296.51700511193394</v>
      </c>
      <c r="BI5" s="59">
        <f ca="1">AVERAGE(OFFSET($BH$3,0,0,'Données projet'!$E$11+1,1))-AVERAGE(OFFSET($H$3,0,0,'Données projet'!$E$11+1,1))</f>
        <v>203.21935660591021</v>
      </c>
      <c r="BJ5" s="59">
        <f t="shared" ref="BJ5:BJ68" si="38">$BJ$3</f>
        <v>180.54762778843178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2.9235042735042733</v>
      </c>
      <c r="BY5" s="12">
        <f>IF('Données projet'!$A$114&gt;35,BY4+BX5-CG4,IF(A5&lt;'Données projet'!$A$114,$BV$205^A5,IF(A5='Données projet'!$A$114,'Données projet'!$B$114,BY4+BX5-CG4)))</f>
        <v>1.3475193156576519</v>
      </c>
      <c r="BZ5" s="13">
        <f>BY5*VLOOKUP('Données projet'!$B$12,Paramètres!$A$1:$I$89,3,0)*VLOOKUP('Données projet'!$B$12,Paramètres!$A$1:$I$89,5,0)</f>
        <v>1.4504697913738964</v>
      </c>
      <c r="CA5" s="13">
        <f t="shared" ref="CA5:CA68" si="39">EXP(-1.0587+0.8836*LN(BZ5)+0.284)</f>
        <v>0.64011962453442217</v>
      </c>
      <c r="CB5" s="20">
        <f t="shared" si="10"/>
        <v>3.6411098993736544</v>
      </c>
      <c r="CC5" s="59">
        <f t="shared" si="11"/>
        <v>296.97444323270696</v>
      </c>
      <c r="CD5" s="59">
        <f ca="1">AVERAGE(OFFSET($CC$3,0,0,'Données projet'!$E$12+1,1))-AVERAGE(OFFSET($H$3,0,0,'Données projet'!$E$12+1,1))</f>
        <v>211.18501783767226</v>
      </c>
      <c r="CE5" s="59">
        <f t="shared" ref="CE5:CE68" si="40">$CE$3</f>
        <v>147.98306963466246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2.9235042735042733</v>
      </c>
      <c r="CT5" s="12">
        <f>IF('Données projet'!$A$140&gt;35,CT4+CS5-DB4,IF(A5&lt;'Données projet'!$A$140,$CQ$205^A5,IF(A5='Données projet'!$A$140,'Données projet'!$B$140,CT4+CS5-DB4)))</f>
        <v>1.3475193156576519</v>
      </c>
      <c r="CU5" s="17">
        <f>CT5*VLOOKUP('Données projet'!$B$13,Paramètres!$A$1:$I$89,3,0)*VLOOKUP('Données projet'!$B$13,Paramètres!$A$1:$I$89,5,0)</f>
        <v>1.4504697913738964</v>
      </c>
      <c r="CV5" s="13">
        <f t="shared" ref="CV5:CV68" si="41">EXP(-1.0587+0.8836*LN(CU5)+0.284)</f>
        <v>0.64011962453442217</v>
      </c>
      <c r="CW5" s="20">
        <f t="shared" si="13"/>
        <v>3.6411098993736544</v>
      </c>
      <c r="CX5" s="59">
        <f t="shared" si="14"/>
        <v>296.97444323270696</v>
      </c>
      <c r="CY5" s="59">
        <f ca="1">AVERAGE(OFFSET($CX$3,0,0,'Données projet'!$E$13+1,1))-AVERAGE(OFFSET($H$3,0,0,'Données projet'!$E$13+1,1))</f>
        <v>211.18501783767226</v>
      </c>
      <c r="CZ5" s="59">
        <f t="shared" ref="CZ5:CZ68" si="42">$CZ$3</f>
        <v>147.98306963466246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6.2923076923076922</v>
      </c>
      <c r="N6" s="13">
        <f>IF('Données projet'!$A$36&gt;35,N5+M6-V5,IF(A6&lt;'Données projet'!$A$36,$K$205^A6,IF(A6='Données projet'!$A$36,'Données projet'!$B$36,N5+M6-V5)))</f>
        <v>2.9477985395519721</v>
      </c>
      <c r="O6" s="13">
        <f>N6*VLOOKUP('Données projet'!$B$9,Paramètres!$A$1:$I$89,3,0)*VLOOKUP('Données projet'!$B$9,Paramètres!$A$1:$I$89,5,0)</f>
        <v>1.7627835266520795</v>
      </c>
      <c r="P6" s="13">
        <f t="shared" si="33"/>
        <v>0.76048996295151394</v>
      </c>
      <c r="Q6" s="20">
        <f t="shared" si="2"/>
        <v>4.3947013277262581</v>
      </c>
      <c r="R6" s="59">
        <f t="shared" si="0"/>
        <v>297.72803466105955</v>
      </c>
      <c r="S6" s="59">
        <f ca="1">AVERAGE(OFFSET($R$3,0,0,'Données projet'!$E$9+1,1))-AVERAGE(OFFSET($H$3,0,0,'Données projet'!$E$9+1,1))</f>
        <v>182.25704762953387</v>
      </c>
      <c r="T6" s="59">
        <f t="shared" si="34"/>
        <v>265.61788177751134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4.0628205128205126</v>
      </c>
      <c r="AI6" s="13">
        <f>IF('Données projet'!$A$62&gt;35,AI5+AH6-AQ5,IF(A6&lt;'Données projet'!$A$62,$AF$205^A6,IF(A6='Données projet'!$A$62,'Données projet'!$B$62,AI5+AH6-AQ5)))</f>
        <v>1.6165713926559588</v>
      </c>
      <c r="AJ6" s="13">
        <f>AI6*VLOOKUP('Données projet'!$B$10,Paramètres!$A$1:$I$89,3,0)*VLOOKUP('Données projet'!$B$10,Paramètres!$A$1:$I$89,5,0)</f>
        <v>1.6392033921531424</v>
      </c>
      <c r="AK6" s="13">
        <f t="shared" si="35"/>
        <v>0.71318408957211055</v>
      </c>
      <c r="AL6" s="20">
        <f t="shared" si="4"/>
        <v>4.0970748640048145</v>
      </c>
      <c r="AM6" s="59">
        <f t="shared" si="5"/>
        <v>297.43040819733812</v>
      </c>
      <c r="AN6" s="59">
        <f ca="1">AVERAGE(OFFSET($AM$3,0,0,'Données projet'!$E$10+1,1))-AVERAGE(OFFSET($H$3,0,0,'Données projet'!$E$10+1,1))</f>
        <v>263.15518481854753</v>
      </c>
      <c r="AO6" s="59">
        <f t="shared" si="36"/>
        <v>210.80755370263819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4.1500000000000004</v>
      </c>
      <c r="BD6" s="12">
        <f>IF('Données projet'!$A$88&gt;35,BD5+BC6-BL5,IF(A6&lt;'Données projet'!$A$88,$BA$205^A6,IF(A6='Données projet'!$A$88,'Données projet'!$B$88,BD5+BC6-BL5)))</f>
        <v>1.9402679676080126</v>
      </c>
      <c r="BE6" s="13">
        <f>BD6*VLOOKUP('Données projet'!$B$11,Paramètres!$A$1:$I$89,3,0)*VLOOKUP('Données projet'!$B$11,Paramètres!$A$1:$I$89,5,0)</f>
        <v>1.5739453753236199</v>
      </c>
      <c r="BF6" s="13">
        <f t="shared" si="37"/>
        <v>0.6880375247305961</v>
      </c>
      <c r="BG6" s="20">
        <f t="shared" si="7"/>
        <v>3.9396202175944257</v>
      </c>
      <c r="BH6" s="59">
        <f t="shared" si="8"/>
        <v>297.27295355092775</v>
      </c>
      <c r="BI6" s="59">
        <f ca="1">AVERAGE(OFFSET($BH$3,0,0,'Données projet'!$E$11+1,1))-AVERAGE(OFFSET($H$3,0,0,'Données projet'!$E$11+1,1))</f>
        <v>203.21935660591021</v>
      </c>
      <c r="BJ6" s="59">
        <f t="shared" si="38"/>
        <v>180.54762778843178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2.9235042735042733</v>
      </c>
      <c r="BY6" s="12">
        <f>IF('Données projet'!$A$114&gt;35,BY5+BX6-CG5,IF(A6&lt;'Données projet'!$A$114,$BV$205^A6,IF(A6='Données projet'!$A$114,'Données projet'!$B$114,BY5+BX6-CG5)))</f>
        <v>1.5642367998361231</v>
      </c>
      <c r="BZ6" s="13">
        <f>BY6*VLOOKUP('Données projet'!$B$12,Paramètres!$A$1:$I$89,3,0)*VLOOKUP('Données projet'!$B$12,Paramètres!$A$1:$I$89,5,0)</f>
        <v>1.683744491343603</v>
      </c>
      <c r="CA6" s="13">
        <f t="shared" si="39"/>
        <v>0.73028050039002235</v>
      </c>
      <c r="CB6" s="20">
        <f t="shared" si="10"/>
        <v>4.2044268606027302</v>
      </c>
      <c r="CC6" s="59">
        <f t="shared" si="11"/>
        <v>297.53776019393604</v>
      </c>
      <c r="CD6" s="59">
        <f ca="1">AVERAGE(OFFSET($CC$3,0,0,'Données projet'!$E$12+1,1))-AVERAGE(OFFSET($H$3,0,0,'Données projet'!$E$12+1,1))</f>
        <v>211.18501783767226</v>
      </c>
      <c r="CE6" s="59">
        <f t="shared" si="40"/>
        <v>147.98306963466246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2.9235042735042733</v>
      </c>
      <c r="CT6" s="12">
        <f>IF('Données projet'!$A$140&gt;35,CT5+CS6-DB5,IF(A6&lt;'Données projet'!$A$140,$CQ$205^A6,IF(A6='Données projet'!$A$140,'Données projet'!$B$140,CT5+CS6-DB5)))</f>
        <v>1.5642367998361231</v>
      </c>
      <c r="CU6" s="17">
        <f>CT6*VLOOKUP('Données projet'!$B$13,Paramètres!$A$1:$I$89,3,0)*VLOOKUP('Données projet'!$B$13,Paramètres!$A$1:$I$89,5,0)</f>
        <v>1.683744491343603</v>
      </c>
      <c r="CV6" s="13">
        <f t="shared" si="41"/>
        <v>0.73028050039002235</v>
      </c>
      <c r="CW6" s="20">
        <f t="shared" si="13"/>
        <v>4.2044268606027302</v>
      </c>
      <c r="CX6" s="59">
        <f t="shared" si="14"/>
        <v>297.53776019393604</v>
      </c>
      <c r="CY6" s="59">
        <f ca="1">AVERAGE(OFFSET($CX$3,0,0,'Données projet'!$E$13+1,1))-AVERAGE(OFFSET($H$3,0,0,'Données projet'!$E$13+1,1))</f>
        <v>211.18501783767226</v>
      </c>
      <c r="CZ6" s="59">
        <f t="shared" si="42"/>
        <v>147.98306963466246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6.2923076923076922</v>
      </c>
      <c r="N7" s="13">
        <f>IF('Données projet'!$A$36&gt;35,N6+M7-V6,IF(A7&lt;'Données projet'!$A$36,$K$205^A7,IF(A7='Données projet'!$A$36,'Données projet'!$B$36,N6+M7-V6)))</f>
        <v>4.2266575862639097</v>
      </c>
      <c r="O7" s="13">
        <f>N7*VLOOKUP('Données projet'!$B$9,Paramètres!$A$1:$I$89,3,0)*VLOOKUP('Données projet'!$B$9,Paramètres!$A$1:$I$89,5,0)</f>
        <v>2.5275412365858183</v>
      </c>
      <c r="P7" s="13">
        <f t="shared" si="33"/>
        <v>1.0456256743314287</v>
      </c>
      <c r="Q7" s="20">
        <f t="shared" si="2"/>
        <v>6.2232657031808714</v>
      </c>
      <c r="R7" s="59">
        <f t="shared" si="0"/>
        <v>299.55659903651417</v>
      </c>
      <c r="S7" s="59">
        <f ca="1">AVERAGE(OFFSET($R$3,0,0,'Données projet'!$E$9+1,1))-AVERAGE(OFFSET($H$3,0,0,'Données projet'!$E$9+1,1))</f>
        <v>182.25704762953387</v>
      </c>
      <c r="T7" s="59">
        <f t="shared" si="34"/>
        <v>265.61788177751134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4.0628205128205126</v>
      </c>
      <c r="AI7" s="13">
        <f>IF('Données projet'!$A$62&gt;35,AI6+AH7-AQ6,IF(A7&lt;'Données projet'!$A$62,$AF$205^A7,IF(A7='Données projet'!$A$62,'Données projet'!$B$62,AI6+AH7-AQ6)))</f>
        <v>1.8972585507745794</v>
      </c>
      <c r="AJ7" s="13">
        <f>AI7*VLOOKUP('Données projet'!$B$10,Paramètres!$A$1:$I$89,3,0)*VLOOKUP('Données projet'!$B$10,Paramètres!$A$1:$I$89,5,0)</f>
        <v>1.9238201704854236</v>
      </c>
      <c r="AK7" s="13">
        <f t="shared" si="35"/>
        <v>0.82156096043894689</v>
      </c>
      <c r="AL7" s="20">
        <f t="shared" si="4"/>
        <v>4.7815388030266117</v>
      </c>
      <c r="AM7" s="59">
        <f t="shared" si="5"/>
        <v>298.11487213635991</v>
      </c>
      <c r="AN7" s="59">
        <f ca="1">AVERAGE(OFFSET($AM$3,0,0,'Données projet'!$E$10+1,1))-AVERAGE(OFFSET($H$3,0,0,'Données projet'!$E$10+1,1))</f>
        <v>263.15518481854753</v>
      </c>
      <c r="AO7" s="59">
        <f t="shared" si="36"/>
        <v>210.80755370263819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4.1500000000000004</v>
      </c>
      <c r="BD7" s="12">
        <f>IF('Données projet'!$A$88&gt;35,BD6+BC7-BL6,IF(A7&lt;'Données projet'!$A$88,$BA$205^A7,IF(A7='Données projet'!$A$88,'Données projet'!$B$88,BD6+BC7-BL6)))</f>
        <v>2.4200014069659628</v>
      </c>
      <c r="BE7" s="13">
        <f>BD7*VLOOKUP('Données projet'!$B$11,Paramètres!$A$1:$I$89,3,0)*VLOOKUP('Données projet'!$B$11,Paramètres!$A$1:$I$89,5,0)</f>
        <v>1.9631051413307892</v>
      </c>
      <c r="BF7" s="13">
        <f t="shared" si="37"/>
        <v>0.83636720431464129</v>
      </c>
      <c r="BG7" s="20">
        <f t="shared" si="7"/>
        <v>4.8757476686657908</v>
      </c>
      <c r="BH7" s="59">
        <f t="shared" si="8"/>
        <v>298.2090810019991</v>
      </c>
      <c r="BI7" s="59">
        <f ca="1">AVERAGE(OFFSET($BH$3,0,0,'Données projet'!$E$11+1,1))-AVERAGE(OFFSET($H$3,0,0,'Données projet'!$E$11+1,1))</f>
        <v>203.21935660591021</v>
      </c>
      <c r="BJ7" s="59">
        <f t="shared" si="38"/>
        <v>180.54762778843178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2.9235042735042733</v>
      </c>
      <c r="BY7" s="12">
        <f>IF('Données projet'!$A$114&gt;35,BY6+BX7-CG6,IF(A7&lt;'Données projet'!$A$114,$BV$205^A7,IF(A7='Données projet'!$A$114,'Données projet'!$B$114,BY6+BX7-CG6)))</f>
        <v>1.8158083060704666</v>
      </c>
      <c r="BZ7" s="13">
        <f>BY7*VLOOKUP('Données projet'!$B$12,Paramètres!$A$1:$I$89,3,0)*VLOOKUP('Données projet'!$B$12,Paramètres!$A$1:$I$89,5,0)</f>
        <v>1.9545360606542501</v>
      </c>
      <c r="CA7" s="13">
        <f t="shared" si="39"/>
        <v>0.83314053937620336</v>
      </c>
      <c r="CB7" s="20">
        <f t="shared" si="10"/>
        <v>4.8552034117197067</v>
      </c>
      <c r="CC7" s="59">
        <f t="shared" si="11"/>
        <v>298.188536745053</v>
      </c>
      <c r="CD7" s="59">
        <f ca="1">AVERAGE(OFFSET($CC$3,0,0,'Données projet'!$E$12+1,1))-AVERAGE(OFFSET($H$3,0,0,'Données projet'!$E$12+1,1))</f>
        <v>211.18501783767226</v>
      </c>
      <c r="CE7" s="59">
        <f t="shared" si="40"/>
        <v>147.98306963466246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2.9235042735042733</v>
      </c>
      <c r="CT7" s="12">
        <f>IF('Données projet'!$A$140&gt;35,CT6+CS7-DB6,IF(A7&lt;'Données projet'!$A$140,$CQ$205^A7,IF(A7='Données projet'!$A$140,'Données projet'!$B$140,CT6+CS7-DB6)))</f>
        <v>1.8158083060704666</v>
      </c>
      <c r="CU7" s="17">
        <f>CT7*VLOOKUP('Données projet'!$B$13,Paramètres!$A$1:$I$89,3,0)*VLOOKUP('Données projet'!$B$13,Paramètres!$A$1:$I$89,5,0)</f>
        <v>1.9545360606542501</v>
      </c>
      <c r="CV7" s="13">
        <f t="shared" si="41"/>
        <v>0.83314053937620336</v>
      </c>
      <c r="CW7" s="20">
        <f t="shared" si="13"/>
        <v>4.8552034117197067</v>
      </c>
      <c r="CX7" s="59">
        <f t="shared" si="14"/>
        <v>298.188536745053</v>
      </c>
      <c r="CY7" s="59">
        <f ca="1">AVERAGE(OFFSET($CX$3,0,0,'Données projet'!$E$13+1,1))-AVERAGE(OFFSET($H$3,0,0,'Données projet'!$E$13+1,1))</f>
        <v>211.18501783767226</v>
      </c>
      <c r="CZ7" s="59">
        <f t="shared" si="42"/>
        <v>147.98306963466246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6.2923076923076922</v>
      </c>
      <c r="N8" s="13">
        <f>IF('Données projet'!$A$36&gt;35,N7+M8-V7,IF(A8&lt;'Données projet'!$A$36,$K$205^A8,IF(A8='Données projet'!$A$36,'Données projet'!$B$36,N7+M8-V7)))</f>
        <v>6.0603308237738176</v>
      </c>
      <c r="O8" s="13">
        <f>N8*VLOOKUP('Données projet'!$B$9,Paramètres!$A$1:$I$89,3,0)*VLOOKUP('Données projet'!$B$9,Paramètres!$A$1:$I$89,5,0)</f>
        <v>3.6240778326167429</v>
      </c>
      <c r="P8" s="13">
        <f t="shared" si="33"/>
        <v>1.4376692712389705</v>
      </c>
      <c r="Q8" s="20">
        <f t="shared" si="2"/>
        <v>8.8158762058820344</v>
      </c>
      <c r="R8" s="59">
        <f t="shared" si="0"/>
        <v>302.14920953921535</v>
      </c>
      <c r="S8" s="59">
        <f ca="1">AVERAGE(OFFSET($R$3,0,0,'Données projet'!$E$9+1,1))-AVERAGE(OFFSET($H$3,0,0,'Données projet'!$E$9+1,1))</f>
        <v>182.25704762953387</v>
      </c>
      <c r="T8" s="59">
        <f t="shared" si="34"/>
        <v>265.61788177751134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4.0628205128205126</v>
      </c>
      <c r="AI8" s="13">
        <f>IF('Données projet'!$A$62&gt;35,AI7+AH8-AQ7,IF(A8&lt;'Données projet'!$A$62,$AF$205^A8,IF(A8='Données projet'!$A$62,'Données projet'!$B$62,AI7+AH8-AQ7)))</f>
        <v>2.2266817443634719</v>
      </c>
      <c r="AJ8" s="13">
        <f>AI8*VLOOKUP('Données projet'!$B$10,Paramètres!$A$1:$I$89,3,0)*VLOOKUP('Données projet'!$B$10,Paramètres!$A$1:$I$89,5,0)</f>
        <v>2.2578552887845609</v>
      </c>
      <c r="AK8" s="13">
        <f t="shared" si="35"/>
        <v>0.94640699587440658</v>
      </c>
      <c r="AL8" s="20">
        <f t="shared" si="4"/>
        <v>5.5807568124477021</v>
      </c>
      <c r="AM8" s="59">
        <f t="shared" si="5"/>
        <v>298.91409014578102</v>
      </c>
      <c r="AN8" s="59">
        <f ca="1">AVERAGE(OFFSET($AM$3,0,0,'Données projet'!$E$10+1,1))-AVERAGE(OFFSET($H$3,0,0,'Données projet'!$E$10+1,1))</f>
        <v>263.15518481854753</v>
      </c>
      <c r="AO8" s="59">
        <f t="shared" si="36"/>
        <v>210.80755370263819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4.1500000000000004</v>
      </c>
      <c r="BD8" s="12">
        <f>IF('Données projet'!$A$88&gt;35,BD7+BC8-BL7,IF(A8&lt;'Données projet'!$A$88,$BA$205^A8,IF(A8='Données projet'!$A$88,'Données projet'!$B$88,BD7+BC8-BL7)))</f>
        <v>3.0183494792923335</v>
      </c>
      <c r="BE8" s="13">
        <f>BD8*VLOOKUP('Données projet'!$B$11,Paramètres!$A$1:$I$89,3,0)*VLOOKUP('Données projet'!$B$11,Paramètres!$A$1:$I$89,5,0)</f>
        <v>2.448485097601941</v>
      </c>
      <c r="BF8" s="13">
        <f t="shared" si="37"/>
        <v>1.0166743459624312</v>
      </c>
      <c r="BG8" s="20">
        <f t="shared" si="7"/>
        <v>6.0351526975412817</v>
      </c>
      <c r="BH8" s="59">
        <f t="shared" si="8"/>
        <v>299.36848603087458</v>
      </c>
      <c r="BI8" s="59">
        <f ca="1">AVERAGE(OFFSET($BH$3,0,0,'Données projet'!$E$11+1,1))-AVERAGE(OFFSET($H$3,0,0,'Données projet'!$E$11+1,1))</f>
        <v>203.21935660591021</v>
      </c>
      <c r="BJ8" s="59">
        <f t="shared" si="38"/>
        <v>180.54762778843178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2.9235042735042733</v>
      </c>
      <c r="BY8" s="12">
        <f>IF('Données projet'!$A$114&gt;35,BY7+BX8-CG7,IF(A8&lt;'Données projet'!$A$114,$BV$205^A8,IF(A8='Données projet'!$A$114,'Données projet'!$B$114,BY7+BX8-CG7)))</f>
        <v>2.1078393020416879</v>
      </c>
      <c r="BZ8" s="13">
        <f>BY8*VLOOKUP('Données projet'!$B$12,Paramètres!$A$1:$I$89,3,0)*VLOOKUP('Données projet'!$B$12,Paramètres!$A$1:$I$89,5,0)</f>
        <v>2.2688782247176729</v>
      </c>
      <c r="CA8" s="13">
        <f t="shared" si="39"/>
        <v>0.95048841915039417</v>
      </c>
      <c r="CB8" s="20">
        <f t="shared" si="10"/>
        <v>5.6070635714035504</v>
      </c>
      <c r="CC8" s="59">
        <f t="shared" si="11"/>
        <v>298.94039690473687</v>
      </c>
      <c r="CD8" s="59">
        <f ca="1">AVERAGE(OFFSET($CC$3,0,0,'Données projet'!$E$12+1,1))-AVERAGE(OFFSET($H$3,0,0,'Données projet'!$E$12+1,1))</f>
        <v>211.18501783767226</v>
      </c>
      <c r="CE8" s="59">
        <f t="shared" si="40"/>
        <v>147.98306963466246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2.9235042735042733</v>
      </c>
      <c r="CT8" s="12">
        <f>IF('Données projet'!$A$140&gt;35,CT7+CS8-DB7,IF(A8&lt;'Données projet'!$A$140,$CQ$205^A8,IF(A8='Données projet'!$A$140,'Données projet'!$B$140,CT7+CS8-DB7)))</f>
        <v>2.1078393020416879</v>
      </c>
      <c r="CU8" s="17">
        <f>CT8*VLOOKUP('Données projet'!$B$13,Paramètres!$A$1:$I$89,3,0)*VLOOKUP('Données projet'!$B$13,Paramètres!$A$1:$I$89,5,0)</f>
        <v>2.2688782247176729</v>
      </c>
      <c r="CV8" s="13">
        <f t="shared" si="41"/>
        <v>0.95048841915039417</v>
      </c>
      <c r="CW8" s="20">
        <f t="shared" si="13"/>
        <v>5.6070635714035504</v>
      </c>
      <c r="CX8" s="59">
        <f t="shared" si="14"/>
        <v>298.94039690473687</v>
      </c>
      <c r="CY8" s="59">
        <f ca="1">AVERAGE(OFFSET($CX$3,0,0,'Données projet'!$E$13+1,1))-AVERAGE(OFFSET($H$3,0,0,'Données projet'!$E$13+1,1))</f>
        <v>211.18501783767226</v>
      </c>
      <c r="CZ8" s="59">
        <f t="shared" si="42"/>
        <v>147.98306963466246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6.2923076923076922</v>
      </c>
      <c r="N9" s="13">
        <f>IF('Données projet'!$A$36&gt;35,N8+M9-V8,IF(A9&lt;'Données projet'!$A$36,$K$205^A9,IF(A9='Données projet'!$A$36,'Données projet'!$B$36,N8+M9-V8)))</f>
        <v>8.6895162297847399</v>
      </c>
      <c r="O9" s="13">
        <f>N9*VLOOKUP('Données projet'!$B$9,Paramètres!$A$1:$I$89,3,0)*VLOOKUP('Données projet'!$B$9,Paramètres!$A$1:$I$89,5,0)</f>
        <v>5.1963307054112748</v>
      </c>
      <c r="P9" s="13">
        <f t="shared" si="33"/>
        <v>1.9767044595441492</v>
      </c>
      <c r="Q9" s="20">
        <f t="shared" si="2"/>
        <v>12.493036245630696</v>
      </c>
      <c r="R9" s="59">
        <f t="shared" si="0"/>
        <v>305.82636957896403</v>
      </c>
      <c r="S9" s="59">
        <f ca="1">AVERAGE(OFFSET($R$3,0,0,'Données projet'!$E$9+1,1))-AVERAGE(OFFSET($H$3,0,0,'Données projet'!$E$9+1,1))</f>
        <v>182.25704762953387</v>
      </c>
      <c r="T9" s="59">
        <f t="shared" si="34"/>
        <v>265.61788177751134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4.0628205128205126</v>
      </c>
      <c r="AI9" s="13">
        <f>IF('Données projet'!$A$62&gt;35,AI8+AH9-AQ8,IF(A9&lt;'Données projet'!$A$62,$AF$205^A9,IF(A9='Données projet'!$A$62,'Données projet'!$B$62,AI8+AH9-AQ8)))</f>
        <v>2.6133030675536255</v>
      </c>
      <c r="AJ9" s="13">
        <f>AI9*VLOOKUP('Données projet'!$B$10,Paramètres!$A$1:$I$89,3,0)*VLOOKUP('Données projet'!$B$10,Paramètres!$A$1:$I$89,5,0)</f>
        <v>2.6498893104993768</v>
      </c>
      <c r="AK9" s="13">
        <f t="shared" si="35"/>
        <v>1.0902248828394525</v>
      </c>
      <c r="AL9" s="20">
        <f t="shared" si="4"/>
        <v>6.5140322200651282</v>
      </c>
      <c r="AM9" s="59">
        <f t="shared" si="5"/>
        <v>299.84736555339845</v>
      </c>
      <c r="AN9" s="59">
        <f ca="1">AVERAGE(OFFSET($AM$3,0,0,'Données projet'!$E$10+1,1))-AVERAGE(OFFSET($H$3,0,0,'Données projet'!$E$10+1,1))</f>
        <v>263.15518481854753</v>
      </c>
      <c r="AO9" s="59">
        <f t="shared" si="36"/>
        <v>210.80755370263819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4.1500000000000004</v>
      </c>
      <c r="BD9" s="12">
        <f>IF('Données projet'!$A$88&gt;35,BD8+BC9-BL8,IF(A9&lt;'Données projet'!$A$88,$BA$205^A9,IF(A9='Données projet'!$A$88,'Données projet'!$B$88,BD8+BC9-BL8)))</f>
        <v>3.7646397861257279</v>
      </c>
      <c r="BE9" s="13">
        <f>BD9*VLOOKUP('Données projet'!$B$11,Paramètres!$A$1:$I$89,3,0)*VLOOKUP('Données projet'!$B$11,Paramètres!$A$1:$I$89,5,0)</f>
        <v>3.0538757945051906</v>
      </c>
      <c r="BF9" s="13">
        <f t="shared" si="37"/>
        <v>1.2358527694604429</v>
      </c>
      <c r="BG9" s="20">
        <f t="shared" si="7"/>
        <v>7.4712772489068113</v>
      </c>
      <c r="BH9" s="59">
        <f t="shared" si="8"/>
        <v>300.80461058224012</v>
      </c>
      <c r="BI9" s="59">
        <f ca="1">AVERAGE(OFFSET($BH$3,0,0,'Données projet'!$E$11+1,1))-AVERAGE(OFFSET($H$3,0,0,'Données projet'!$E$11+1,1))</f>
        <v>203.21935660591021</v>
      </c>
      <c r="BJ9" s="59">
        <f t="shared" si="38"/>
        <v>180.54762778843178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2.9235042735042733</v>
      </c>
      <c r="BY9" s="12">
        <f>IF('Données projet'!$A$114&gt;35,BY8+BX9-CG8,IF(A9&lt;'Données projet'!$A$114,$BV$205^A9,IF(A9='Données projet'!$A$114,'Données projet'!$B$114,BY8+BX9-CG8)))</f>
        <v>2.4468367659615553</v>
      </c>
      <c r="BZ9" s="13">
        <f>BY9*VLOOKUP('Données projet'!$B$12,Paramètres!$A$1:$I$89,3,0)*VLOOKUP('Données projet'!$B$12,Paramètres!$A$1:$I$89,5,0)</f>
        <v>2.6337750948810181</v>
      </c>
      <c r="CA9" s="13">
        <f t="shared" si="39"/>
        <v>1.0843647526927913</v>
      </c>
      <c r="CB9" s="20">
        <f t="shared" si="10"/>
        <v>6.4757602345243841</v>
      </c>
      <c r="CC9" s="59">
        <f t="shared" si="11"/>
        <v>299.8090935678577</v>
      </c>
      <c r="CD9" s="59">
        <f ca="1">AVERAGE(OFFSET($CC$3,0,0,'Données projet'!$E$12+1,1))-AVERAGE(OFFSET($H$3,0,0,'Données projet'!$E$12+1,1))</f>
        <v>211.18501783767226</v>
      </c>
      <c r="CE9" s="59">
        <f t="shared" si="40"/>
        <v>147.98306963466246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2.9235042735042733</v>
      </c>
      <c r="CT9" s="12">
        <f>IF('Données projet'!$A$140&gt;35,CT8+CS9-DB8,IF(A9&lt;'Données projet'!$A$140,$CQ$205^A9,IF(A9='Données projet'!$A$140,'Données projet'!$B$140,CT8+CS9-DB8)))</f>
        <v>2.4468367659615553</v>
      </c>
      <c r="CU9" s="17">
        <f>CT9*VLOOKUP('Données projet'!$B$13,Paramètres!$A$1:$I$89,3,0)*VLOOKUP('Données projet'!$B$13,Paramètres!$A$1:$I$89,5,0)</f>
        <v>2.6337750948810181</v>
      </c>
      <c r="CV9" s="13">
        <f t="shared" si="41"/>
        <v>1.0843647526927913</v>
      </c>
      <c r="CW9" s="20">
        <f t="shared" si="13"/>
        <v>6.4757602345243841</v>
      </c>
      <c r="CX9" s="59">
        <f t="shared" si="14"/>
        <v>299.8090935678577</v>
      </c>
      <c r="CY9" s="59">
        <f ca="1">AVERAGE(OFFSET($CX$3,0,0,'Données projet'!$E$13+1,1))-AVERAGE(OFFSET($H$3,0,0,'Données projet'!$E$13+1,1))</f>
        <v>211.18501783767226</v>
      </c>
      <c r="CZ9" s="59">
        <f t="shared" si="42"/>
        <v>147.98306963466246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6.2923076923076922</v>
      </c>
      <c r="N10" s="13">
        <f>IF('Données projet'!$A$36&gt;35,N9+M10-V9,IF(A10&lt;'Données projet'!$A$36,$K$205^A10,IF(A10='Données projet'!$A$36,'Données projet'!$B$36,N9+M10-V9)))</f>
        <v>12.459335059975016</v>
      </c>
      <c r="O10" s="13">
        <f>N10*VLOOKUP('Données projet'!$B$9,Paramètres!$A$1:$I$89,3,0)*VLOOKUP('Données projet'!$B$9,Paramètres!$A$1:$I$89,5,0)</f>
        <v>7.4506823658650605</v>
      </c>
      <c r="P10" s="13">
        <f t="shared" si="33"/>
        <v>2.7178438035434924</v>
      </c>
      <c r="Q10" s="20">
        <f t="shared" si="2"/>
        <v>17.710183078386564</v>
      </c>
      <c r="R10" s="59">
        <f t="shared" si="0"/>
        <v>311.04351641171991</v>
      </c>
      <c r="S10" s="59">
        <f ca="1">AVERAGE(OFFSET($R$3,0,0,'Données projet'!$E$9+1,1))-AVERAGE(OFFSET($H$3,0,0,'Données projet'!$E$9+1,1))</f>
        <v>182.25704762953387</v>
      </c>
      <c r="T10" s="59">
        <f t="shared" si="34"/>
        <v>265.61788177751134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4.0628205128205126</v>
      </c>
      <c r="AI10" s="13">
        <f>IF('Données projet'!$A$62&gt;35,AI9+AH10-AQ9,IF(A10&lt;'Données projet'!$A$62,$AF$205^A10,IF(A10='Données projet'!$A$62,'Données projet'!$B$62,AI9+AH10-AQ9)))</f>
        <v>3.067053897654088</v>
      </c>
      <c r="AJ10" s="13">
        <f>AI10*VLOOKUP('Données projet'!$B$10,Paramètres!$A$1:$I$89,3,0)*VLOOKUP('Données projet'!$B$10,Paramètres!$A$1:$I$89,5,0)</f>
        <v>3.1099926522212455</v>
      </c>
      <c r="AK10" s="13">
        <f t="shared" si="35"/>
        <v>1.2558976215767859</v>
      </c>
      <c r="AL10" s="20">
        <f t="shared" si="4"/>
        <v>7.6039255601982383</v>
      </c>
      <c r="AM10" s="59">
        <f t="shared" si="5"/>
        <v>300.93725889353158</v>
      </c>
      <c r="AN10" s="59">
        <f ca="1">AVERAGE(OFFSET($AM$3,0,0,'Données projet'!$E$10+1,1))-AVERAGE(OFFSET($H$3,0,0,'Données projet'!$E$10+1,1))</f>
        <v>263.15518481854753</v>
      </c>
      <c r="AO10" s="59">
        <f t="shared" si="36"/>
        <v>210.80755370263819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4.1500000000000004</v>
      </c>
      <c r="BD10" s="12">
        <f>IF('Données projet'!$A$88&gt;35,BD9+BC10-BL9,IF(A10&lt;'Données projet'!$A$88,$BA$205^A10,IF(A10='Données projet'!$A$88,'Données projet'!$B$88,BD9+BC10-BL9)))</f>
        <v>4.6954512115023794</v>
      </c>
      <c r="BE10" s="13">
        <f>BD10*VLOOKUP('Données projet'!$B$11,Paramètres!$A$1:$I$89,3,0)*VLOOKUP('Données projet'!$B$11,Paramètres!$A$1:$I$89,5,0)</f>
        <v>3.8089500227707305</v>
      </c>
      <c r="BF10" s="13">
        <f t="shared" si="37"/>
        <v>1.502282489814575</v>
      </c>
      <c r="BG10" s="20">
        <f t="shared" si="7"/>
        <v>9.2503966260860722</v>
      </c>
      <c r="BH10" s="59">
        <f t="shared" si="8"/>
        <v>302.58372995941937</v>
      </c>
      <c r="BI10" s="59">
        <f ca="1">AVERAGE(OFFSET($BH$3,0,0,'Données projet'!$E$11+1,1))-AVERAGE(OFFSET($H$3,0,0,'Données projet'!$E$11+1,1))</f>
        <v>203.21935660591021</v>
      </c>
      <c r="BJ10" s="59">
        <f t="shared" si="38"/>
        <v>180.54762778843178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2.9235042735042733</v>
      </c>
      <c r="BY10" s="12">
        <f>IF('Données projet'!$A$114&gt;35,BY9+BX10-CG9,IF(A10&lt;'Données projet'!$A$114,$BV$205^A10,IF(A10='Données projet'!$A$114,'Données projet'!$B$114,BY9+BX10-CG9)))</f>
        <v>2.8403541738035183</v>
      </c>
      <c r="BZ10" s="13">
        <f>BY10*VLOOKUP('Données projet'!$B$12,Paramètres!$A$1:$I$89,3,0)*VLOOKUP('Données projet'!$B$12,Paramètres!$A$1:$I$89,5,0)</f>
        <v>3.057357232682107</v>
      </c>
      <c r="CA10" s="13">
        <f t="shared" si="39"/>
        <v>1.237097573407095</v>
      </c>
      <c r="CB10" s="20">
        <f t="shared" si="10"/>
        <v>7.4795087872720272</v>
      </c>
      <c r="CC10" s="59">
        <f t="shared" si="11"/>
        <v>300.81284212060535</v>
      </c>
      <c r="CD10" s="59">
        <f ca="1">AVERAGE(OFFSET($CC$3,0,0,'Données projet'!$E$12+1,1))-AVERAGE(OFFSET($H$3,0,0,'Données projet'!$E$12+1,1))</f>
        <v>211.18501783767226</v>
      </c>
      <c r="CE10" s="59">
        <f t="shared" si="40"/>
        <v>147.98306963466246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2.9235042735042733</v>
      </c>
      <c r="CT10" s="12">
        <f>IF('Données projet'!$A$140&gt;35,CT9+CS10-DB9,IF(A10&lt;'Données projet'!$A$140,$CQ$205^A10,IF(A10='Données projet'!$A$140,'Données projet'!$B$140,CT9+CS10-DB9)))</f>
        <v>2.8403541738035183</v>
      </c>
      <c r="CU10" s="17">
        <f>CT10*VLOOKUP('Données projet'!$B$13,Paramètres!$A$1:$I$89,3,0)*VLOOKUP('Données projet'!$B$13,Paramètres!$A$1:$I$89,5,0)</f>
        <v>3.057357232682107</v>
      </c>
      <c r="CV10" s="13">
        <f t="shared" si="41"/>
        <v>1.237097573407095</v>
      </c>
      <c r="CW10" s="20">
        <f t="shared" si="13"/>
        <v>7.4795087872720272</v>
      </c>
      <c r="CX10" s="59">
        <f t="shared" si="14"/>
        <v>300.81284212060535</v>
      </c>
      <c r="CY10" s="59">
        <f ca="1">AVERAGE(OFFSET($CX$3,0,0,'Données projet'!$E$13+1,1))-AVERAGE(OFFSET($H$3,0,0,'Données projet'!$E$13+1,1))</f>
        <v>211.18501783767226</v>
      </c>
      <c r="CZ10" s="59">
        <f t="shared" si="42"/>
        <v>147.98306963466246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6.2923076923076922</v>
      </c>
      <c r="N11" s="13">
        <f>IF('Données projet'!$A$36&gt;35,N10+M11-V10,IF(A11&lt;'Données projet'!$A$36,$K$205^A11,IF(A11='Données projet'!$A$36,'Données projet'!$B$36,N10+M11-V10)))</f>
        <v>17.864634351522259</v>
      </c>
      <c r="O11" s="13">
        <f>N11*VLOOKUP('Données projet'!$B$9,Paramètres!$A$1:$I$89,3,0)*VLOOKUP('Données projet'!$B$9,Paramètres!$A$1:$I$89,5,0)</f>
        <v>10.683051342210311</v>
      </c>
      <c r="P11" s="13">
        <f t="shared" si="33"/>
        <v>3.7368635988018237</v>
      </c>
      <c r="Q11" s="20">
        <f t="shared" si="2"/>
        <v>25.114685188929467</v>
      </c>
      <c r="R11" s="59">
        <f t="shared" si="0"/>
        <v>318.44801852226277</v>
      </c>
      <c r="S11" s="59">
        <f ca="1">AVERAGE(OFFSET($R$3,0,0,'Données projet'!$E$9+1,1))-AVERAGE(OFFSET($H$3,0,0,'Données projet'!$E$9+1,1))</f>
        <v>182.25704762953387</v>
      </c>
      <c r="T11" s="59">
        <f t="shared" si="34"/>
        <v>265.61788177751134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4.0628205128205126</v>
      </c>
      <c r="AI11" s="13">
        <f>IF('Données projet'!$A$62&gt;35,AI10+AH11-AQ10,IF(A11&lt;'Données projet'!$A$62,$AF$205^A11,IF(A11='Données projet'!$A$62,'Données projet'!$B$62,AI10+AH11-AQ10)))</f>
        <v>3.5995900084872572</v>
      </c>
      <c r="AJ11" s="13">
        <f>AI11*VLOOKUP('Données projet'!$B$10,Paramètres!$A$1:$I$89,3,0)*VLOOKUP('Données projet'!$B$10,Paramètres!$A$1:$I$89,5,0)</f>
        <v>3.6499842686060791</v>
      </c>
      <c r="AK11" s="13">
        <f t="shared" si="35"/>
        <v>1.4467463187725633</v>
      </c>
      <c r="AL11" s="20">
        <f t="shared" si="4"/>
        <v>8.8768057730178018</v>
      </c>
      <c r="AM11" s="59">
        <f t="shared" si="5"/>
        <v>302.21013910635111</v>
      </c>
      <c r="AN11" s="59">
        <f ca="1">AVERAGE(OFFSET($AM$3,0,0,'Données projet'!$E$10+1,1))-AVERAGE(OFFSET($H$3,0,0,'Données projet'!$E$10+1,1))</f>
        <v>263.15518481854753</v>
      </c>
      <c r="AO11" s="59">
        <f t="shared" si="36"/>
        <v>210.80755370263819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4.1500000000000004</v>
      </c>
      <c r="BD11" s="12">
        <f>IF('Données projet'!$A$88&gt;35,BD10+BC11-BL10,IF(A11&lt;'Données projet'!$A$88,$BA$205^A11,IF(A11='Données projet'!$A$88,'Données projet'!$B$88,BD10+BC11-BL10)))</f>
        <v>5.8564068097172397</v>
      </c>
      <c r="BE11" s="13">
        <f>BD11*VLOOKUP('Données projet'!$B$11,Paramètres!$A$1:$I$89,3,0)*VLOOKUP('Données projet'!$B$11,Paramètres!$A$1:$I$89,5,0)</f>
        <v>4.7507172040426253</v>
      </c>
      <c r="BF11" s="13">
        <f t="shared" si="37"/>
        <v>1.8261501167236873</v>
      </c>
      <c r="BG11" s="20">
        <f t="shared" si="7"/>
        <v>11.454710583667994</v>
      </c>
      <c r="BH11" s="59">
        <f t="shared" si="8"/>
        <v>304.78804391700129</v>
      </c>
      <c r="BI11" s="59">
        <f ca="1">AVERAGE(OFFSET($BH$3,0,0,'Données projet'!$E$11+1,1))-AVERAGE(OFFSET($H$3,0,0,'Données projet'!$E$11+1,1))</f>
        <v>203.21935660591021</v>
      </c>
      <c r="BJ11" s="59">
        <f t="shared" si="38"/>
        <v>180.54762778843178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2.9235042735042733</v>
      </c>
      <c r="BY11" s="12">
        <f>IF('Données projet'!$A$114&gt;35,BY10+BX11-CG10,IF(A11&lt;'Données projet'!$A$114,$BV$205^A11,IF(A11='Données projet'!$A$114,'Données projet'!$B$114,BY10+BX11-CG10)))</f>
        <v>3.2971598043944974</v>
      </c>
      <c r="BZ11" s="13">
        <f>BY11*VLOOKUP('Données projet'!$B$12,Paramètres!$A$1:$I$89,3,0)*VLOOKUP('Données projet'!$B$12,Paramètres!$A$1:$I$89,5,0)</f>
        <v>3.5490628134502367</v>
      </c>
      <c r="CA11" s="13">
        <f t="shared" si="39"/>
        <v>1.4113428182991663</v>
      </c>
      <c r="CB11" s="20">
        <f t="shared" si="10"/>
        <v>8.639373141963544</v>
      </c>
      <c r="CC11" s="59">
        <f t="shared" si="11"/>
        <v>301.97270647529683</v>
      </c>
      <c r="CD11" s="59">
        <f ca="1">AVERAGE(OFFSET($CC$3,0,0,'Données projet'!$E$12+1,1))-AVERAGE(OFFSET($H$3,0,0,'Données projet'!$E$12+1,1))</f>
        <v>211.18501783767226</v>
      </c>
      <c r="CE11" s="59">
        <f t="shared" si="40"/>
        <v>147.98306963466246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2.9235042735042733</v>
      </c>
      <c r="CT11" s="12">
        <f>IF('Données projet'!$A$140&gt;35,CT10+CS11-DB10,IF(A11&lt;'Données projet'!$A$140,$CQ$205^A11,IF(A11='Données projet'!$A$140,'Données projet'!$B$140,CT10+CS11-DB10)))</f>
        <v>3.2971598043944974</v>
      </c>
      <c r="CU11" s="17">
        <f>CT11*VLOOKUP('Données projet'!$B$13,Paramètres!$A$1:$I$89,3,0)*VLOOKUP('Données projet'!$B$13,Paramètres!$A$1:$I$89,5,0)</f>
        <v>3.5490628134502367</v>
      </c>
      <c r="CV11" s="13">
        <f t="shared" si="41"/>
        <v>1.4113428182991663</v>
      </c>
      <c r="CW11" s="20">
        <f t="shared" si="13"/>
        <v>8.639373141963544</v>
      </c>
      <c r="CX11" s="59">
        <f t="shared" si="14"/>
        <v>301.97270647529683</v>
      </c>
      <c r="CY11" s="59">
        <f ca="1">AVERAGE(OFFSET($CX$3,0,0,'Données projet'!$E$13+1,1))-AVERAGE(OFFSET($H$3,0,0,'Données projet'!$E$13+1,1))</f>
        <v>211.18501783767226</v>
      </c>
      <c r="CZ11" s="59">
        <f t="shared" si="42"/>
        <v>147.98306963466246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6.2923076923076922</v>
      </c>
      <c r="N12" s="13">
        <f>IF('Données projet'!$A$36&gt;35,N11+M12-V11,IF(A12&lt;'Données projet'!$A$36,$K$205^A12,IF(A12='Données projet'!$A$36,'Données projet'!$B$36,N11+M12-V11)))</f>
        <v>25.614943251572615</v>
      </c>
      <c r="O12" s="13">
        <f>N12*VLOOKUP('Données projet'!$B$9,Paramètres!$A$1:$I$89,3,0)*VLOOKUP('Données projet'!$B$9,Paramètres!$A$1:$I$89,5,0)</f>
        <v>15.317736064440425</v>
      </c>
      <c r="P12" s="13">
        <f t="shared" si="33"/>
        <v>5.1379514664690502</v>
      </c>
      <c r="Q12" s="20">
        <f t="shared" si="2"/>
        <v>35.626989116334002</v>
      </c>
      <c r="R12" s="59">
        <f t="shared" si="0"/>
        <v>328.96032244966733</v>
      </c>
      <c r="S12" s="59">
        <f ca="1">AVERAGE(OFFSET($R$3,0,0,'Données projet'!$E$9+1,1))-AVERAGE(OFFSET($H$3,0,0,'Données projet'!$E$9+1,1))</f>
        <v>182.25704762953387</v>
      </c>
      <c r="T12" s="59">
        <f t="shared" si="34"/>
        <v>265.61788177751134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4.0628205128205126</v>
      </c>
      <c r="AI12" s="13">
        <f>IF('Données projet'!$A$62&gt;35,AI11+AH12-AQ11,IF(A12&lt;'Données projet'!$A$62,$AF$205^A12,IF(A12='Données projet'!$A$62,'Données projet'!$B$62,AI11+AH12-AQ11)))</f>
        <v>4.2245909793472531</v>
      </c>
      <c r="AJ12" s="13">
        <f>AI12*VLOOKUP('Données projet'!$B$10,Paramètres!$A$1:$I$89,3,0)*VLOOKUP('Données projet'!$B$10,Paramètres!$A$1:$I$89,5,0)</f>
        <v>4.283735253058115</v>
      </c>
      <c r="AK12" s="13">
        <f t="shared" si="35"/>
        <v>1.6665967630817691</v>
      </c>
      <c r="AL12" s="20">
        <f t="shared" si="4"/>
        <v>10.363494928110297</v>
      </c>
      <c r="AM12" s="59">
        <f t="shared" si="5"/>
        <v>303.69682826144361</v>
      </c>
      <c r="AN12" s="59">
        <f ca="1">AVERAGE(OFFSET($AM$3,0,0,'Données projet'!$E$10+1,1))-AVERAGE(OFFSET($H$3,0,0,'Données projet'!$E$10+1,1))</f>
        <v>263.15518481854753</v>
      </c>
      <c r="AO12" s="59">
        <f t="shared" si="36"/>
        <v>210.80755370263819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4.1500000000000004</v>
      </c>
      <c r="BD12" s="12">
        <f>IF('Données projet'!$A$88&gt;35,BD11+BC12-BL11,IF(A12&lt;'Données projet'!$A$88,$BA$205^A12,IF(A12='Données projet'!$A$88,'Données projet'!$B$88,BD11+BC12-BL11)))</f>
        <v>7.3044099866024288</v>
      </c>
      <c r="BE12" s="13">
        <f>BD12*VLOOKUP('Données projet'!$B$11,Paramètres!$A$1:$I$89,3,0)*VLOOKUP('Données projet'!$B$11,Paramètres!$A$1:$I$89,5,0)</f>
        <v>5.9253373811318912</v>
      </c>
      <c r="BF12" s="13">
        <f t="shared" si="37"/>
        <v>2.2198383269590991</v>
      </c>
      <c r="BG12" s="20">
        <f t="shared" si="7"/>
        <v>14.186181024925141</v>
      </c>
      <c r="BH12" s="59">
        <f t="shared" si="8"/>
        <v>307.51951435825845</v>
      </c>
      <c r="BI12" s="59">
        <f ca="1">AVERAGE(OFFSET($BH$3,0,0,'Données projet'!$E$11+1,1))-AVERAGE(OFFSET($H$3,0,0,'Données projet'!$E$11+1,1))</f>
        <v>203.21935660591021</v>
      </c>
      <c r="BJ12" s="59">
        <f t="shared" si="38"/>
        <v>180.54762778843178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2.9235042735042733</v>
      </c>
      <c r="BY12" s="12">
        <f>IF('Données projet'!$A$114&gt;35,BY11+BX12-CG11,IF(A12&lt;'Données projet'!$A$114,$BV$205^A12,IF(A12='Données projet'!$A$114,'Données projet'!$B$114,BY11+BX12-CG11)))</f>
        <v>3.8274321125090722</v>
      </c>
      <c r="BZ12" s="13">
        <f>BY12*VLOOKUP('Données projet'!$B$12,Paramètres!$A$1:$I$89,3,0)*VLOOKUP('Données projet'!$B$12,Paramètres!$A$1:$I$89,5,0)</f>
        <v>4.1198479259047653</v>
      </c>
      <c r="CA12" s="13">
        <f t="shared" si="39"/>
        <v>1.6101305132130899</v>
      </c>
      <c r="CB12" s="20">
        <f t="shared" si="10"/>
        <v>9.9797124481302628</v>
      </c>
      <c r="CC12" s="59">
        <f t="shared" si="11"/>
        <v>303.31304578146359</v>
      </c>
      <c r="CD12" s="59">
        <f ca="1">AVERAGE(OFFSET($CC$3,0,0,'Données projet'!$E$12+1,1))-AVERAGE(OFFSET($H$3,0,0,'Données projet'!$E$12+1,1))</f>
        <v>211.18501783767226</v>
      </c>
      <c r="CE12" s="59">
        <f t="shared" si="40"/>
        <v>147.98306963466246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2.9235042735042733</v>
      </c>
      <c r="CT12" s="12">
        <f>IF('Données projet'!$A$140&gt;35,CT11+CS12-DB11,IF(A12&lt;'Données projet'!$A$140,$CQ$205^A12,IF(A12='Données projet'!$A$140,'Données projet'!$B$140,CT11+CS12-DB11)))</f>
        <v>3.8274321125090722</v>
      </c>
      <c r="CU12" s="17">
        <f>CT12*VLOOKUP('Données projet'!$B$13,Paramètres!$A$1:$I$89,3,0)*VLOOKUP('Données projet'!$B$13,Paramètres!$A$1:$I$89,5,0)</f>
        <v>4.1198479259047653</v>
      </c>
      <c r="CV12" s="13">
        <f t="shared" si="41"/>
        <v>1.6101305132130899</v>
      </c>
      <c r="CW12" s="20">
        <f t="shared" si="13"/>
        <v>9.9797124481302628</v>
      </c>
      <c r="CX12" s="59">
        <f t="shared" si="14"/>
        <v>303.31304578146359</v>
      </c>
      <c r="CY12" s="59">
        <f ca="1">AVERAGE(OFFSET($CX$3,0,0,'Données projet'!$E$13+1,1))-AVERAGE(OFFSET($H$3,0,0,'Données projet'!$E$13+1,1))</f>
        <v>211.18501783767226</v>
      </c>
      <c r="CZ12" s="59">
        <f t="shared" si="42"/>
        <v>147.98306963466246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6.2923076923076922</v>
      </c>
      <c r="N13" s="13">
        <f>IF('Données projet'!$A$36&gt;35,N12+M13-V12,IF(A13&lt;'Données projet'!$A$36,$K$205^A13,IF(A13='Données projet'!$A$36,'Données projet'!$B$36,N12+M13-V12)))</f>
        <v>36.727609693583034</v>
      </c>
      <c r="O13" s="13">
        <f>N13*VLOOKUP('Données projet'!$B$9,Paramètres!$A$1:$I$89,3,0)*VLOOKUP('Données projet'!$B$9,Paramètres!$A$1:$I$89,5,0)</f>
        <v>21.963110596762654</v>
      </c>
      <c r="P13" s="13">
        <f t="shared" si="33"/>
        <v>7.0643588062073803</v>
      </c>
      <c r="Q13" s="20">
        <f t="shared" si="2"/>
        <v>50.556175876839468</v>
      </c>
      <c r="R13" s="59">
        <f t="shared" si="0"/>
        <v>343.88950921017278</v>
      </c>
      <c r="S13" s="59">
        <f ca="1">AVERAGE(OFFSET($R$3,0,0,'Données projet'!$E$9+1,1))-AVERAGE(OFFSET($H$3,0,0,'Données projet'!$E$9+1,1))</f>
        <v>182.25704762953387</v>
      </c>
      <c r="T13" s="59">
        <f t="shared" si="34"/>
        <v>265.61788177751134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4.0628205128205126</v>
      </c>
      <c r="AI13" s="13">
        <f>IF('Données projet'!$A$62&gt;35,AI12+AH13-AQ12,IF(A13&lt;'Données projet'!$A$62,$AF$205^A13,IF(A13='Données projet'!$A$62,'Données projet'!$B$62,AI12+AH13-AQ12)))</f>
        <v>4.9581115906815549</v>
      </c>
      <c r="AJ13" s="13">
        <f>AI13*VLOOKUP('Données projet'!$B$10,Paramètres!$A$1:$I$89,3,0)*VLOOKUP('Données projet'!$B$10,Paramètres!$A$1:$I$89,5,0)</f>
        <v>5.0275251529510969</v>
      </c>
      <c r="AK13" s="13">
        <f t="shared" si="35"/>
        <v>1.9198561176026576</v>
      </c>
      <c r="AL13" s="20">
        <f t="shared" si="4"/>
        <v>12.10002237954779</v>
      </c>
      <c r="AM13" s="59">
        <f t="shared" si="5"/>
        <v>305.43335571288111</v>
      </c>
      <c r="AN13" s="59">
        <f ca="1">AVERAGE(OFFSET($AM$3,0,0,'Données projet'!$E$10+1,1))-AVERAGE(OFFSET($H$3,0,0,'Données projet'!$E$10+1,1))</f>
        <v>263.15518481854753</v>
      </c>
      <c r="AO13" s="59">
        <f t="shared" si="36"/>
        <v>210.80755370263819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4.1500000000000004</v>
      </c>
      <c r="BD13" s="12">
        <f>IF('Données projet'!$A$88&gt;35,BD12+BC13-BL12,IF(A13&lt;'Données projet'!$A$88,$BA$205^A13,IF(A13='Données projet'!$A$88,'Données projet'!$B$88,BD12+BC13-BL12)))</f>
        <v>9.1104335791443027</v>
      </c>
      <c r="BE13" s="13">
        <f>BD13*VLOOKUP('Données projet'!$B$11,Paramètres!$A$1:$I$89,3,0)*VLOOKUP('Données projet'!$B$11,Paramètres!$A$1:$I$89,5,0)</f>
        <v>7.3903837194018589</v>
      </c>
      <c r="BF13" s="13">
        <f t="shared" si="37"/>
        <v>2.6983993006431319</v>
      </c>
      <c r="BG13" s="20">
        <f t="shared" si="7"/>
        <v>17.571297093245025</v>
      </c>
      <c r="BH13" s="59">
        <f t="shared" si="8"/>
        <v>310.90463042657836</v>
      </c>
      <c r="BI13" s="59">
        <f ca="1">AVERAGE(OFFSET($BH$3,0,0,'Données projet'!$E$11+1,1))-AVERAGE(OFFSET($H$3,0,0,'Données projet'!$E$11+1,1))</f>
        <v>203.21935660591021</v>
      </c>
      <c r="BJ13" s="59">
        <f t="shared" si="38"/>
        <v>180.54762778843178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2.9235042735042733</v>
      </c>
      <c r="BY13" s="12">
        <f>IF('Données projet'!$A$114&gt;35,BY12+BX13-CG12,IF(A13&lt;'Données projet'!$A$114,$BV$205^A13,IF(A13='Données projet'!$A$114,'Données projet'!$B$114,BY12+BX13-CG12)))</f>
        <v>4.4429865232315908</v>
      </c>
      <c r="BZ13" s="13">
        <f>BY13*VLOOKUP('Données projet'!$B$12,Paramètres!$A$1:$I$89,3,0)*VLOOKUP('Données projet'!$B$12,Paramètres!$A$1:$I$89,5,0)</f>
        <v>4.782430693606484</v>
      </c>
      <c r="CA13" s="13">
        <f t="shared" si="39"/>
        <v>1.836917463259663</v>
      </c>
      <c r="CB13" s="20">
        <f t="shared" si="10"/>
        <v>11.528698039875204</v>
      </c>
      <c r="CC13" s="59">
        <f t="shared" si="11"/>
        <v>304.86203137320854</v>
      </c>
      <c r="CD13" s="59">
        <f ca="1">AVERAGE(OFFSET($CC$3,0,0,'Données projet'!$E$12+1,1))-AVERAGE(OFFSET($H$3,0,0,'Données projet'!$E$12+1,1))</f>
        <v>211.18501783767226</v>
      </c>
      <c r="CE13" s="59">
        <f t="shared" si="40"/>
        <v>147.98306963466246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2.9235042735042733</v>
      </c>
      <c r="CT13" s="12">
        <f>IF('Données projet'!$A$140&gt;35,CT12+CS13-DB12,IF(A13&lt;'Données projet'!$A$140,$CQ$205^A13,IF(A13='Données projet'!$A$140,'Données projet'!$B$140,CT12+CS13-DB12)))</f>
        <v>4.4429865232315908</v>
      </c>
      <c r="CU13" s="17">
        <f>CT13*VLOOKUP('Données projet'!$B$13,Paramètres!$A$1:$I$89,3,0)*VLOOKUP('Données projet'!$B$13,Paramètres!$A$1:$I$89,5,0)</f>
        <v>4.782430693606484</v>
      </c>
      <c r="CV13" s="13">
        <f t="shared" si="41"/>
        <v>1.836917463259663</v>
      </c>
      <c r="CW13" s="20">
        <f t="shared" si="13"/>
        <v>11.528698039875204</v>
      </c>
      <c r="CX13" s="59">
        <f t="shared" si="14"/>
        <v>304.86203137320854</v>
      </c>
      <c r="CY13" s="59">
        <f ca="1">AVERAGE(OFFSET($CX$3,0,0,'Données projet'!$E$13+1,1))-AVERAGE(OFFSET($H$3,0,0,'Données projet'!$E$13+1,1))</f>
        <v>211.18501783767226</v>
      </c>
      <c r="CZ13" s="59">
        <f t="shared" si="42"/>
        <v>147.98306963466246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6.2923076923076922</v>
      </c>
      <c r="N14" s="13">
        <f>IF('Données projet'!$A$36&gt;35,N13+M14-V13,IF(A14&lt;'Données projet'!$A$36,$K$205^A14,IF(A14='Données projet'!$A$36,'Données projet'!$B$36,N13+M14-V13)))</f>
        <v>52.661343051047311</v>
      </c>
      <c r="O14" s="13">
        <f>N14*VLOOKUP('Données projet'!$B$9,Paramètres!$A$1:$I$89,3,0)*VLOOKUP('Données projet'!$B$9,Paramètres!$A$1:$I$89,5,0)</f>
        <v>31.491483144526295</v>
      </c>
      <c r="P14" s="13">
        <f t="shared" si="33"/>
        <v>9.7130472462668216</v>
      </c>
      <c r="Q14" s="20">
        <f t="shared" si="2"/>
        <v>71.76455709729801</v>
      </c>
      <c r="R14" s="59">
        <f t="shared" si="0"/>
        <v>365.09789043063131</v>
      </c>
      <c r="S14" s="59">
        <f ca="1">AVERAGE(OFFSET($R$3,0,0,'Données projet'!$E$9+1,1))-AVERAGE(OFFSET($H$3,0,0,'Données projet'!$E$9+1,1))</f>
        <v>182.25704762953387</v>
      </c>
      <c r="T14" s="59">
        <f t="shared" si="34"/>
        <v>265.61788177751134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4.0628205128205126</v>
      </c>
      <c r="AI14" s="13">
        <f>IF('Données projet'!$A$62&gt;35,AI13+AH14-AQ13,IF(A14&lt;'Données projet'!$A$62,$AF$205^A14,IF(A14='Données projet'!$A$62,'Données projet'!$B$62,AI13+AH14-AQ13)))</f>
        <v>5.8189942330107201</v>
      </c>
      <c r="AJ14" s="13">
        <f>AI14*VLOOKUP('Données projet'!$B$10,Paramètres!$A$1:$I$89,3,0)*VLOOKUP('Données projet'!$B$10,Paramètres!$A$1:$I$89,5,0)</f>
        <v>5.9004601522728706</v>
      </c>
      <c r="AK14" s="13">
        <f t="shared" si="35"/>
        <v>2.2116012666919538</v>
      </c>
      <c r="AL14" s="20">
        <f t="shared" si="4"/>
        <v>14.128506971363736</v>
      </c>
      <c r="AM14" s="59">
        <f t="shared" si="5"/>
        <v>307.46184030469703</v>
      </c>
      <c r="AN14" s="59">
        <f ca="1">AVERAGE(OFFSET($AM$3,0,0,'Données projet'!$E$10+1,1))-AVERAGE(OFFSET($H$3,0,0,'Données projet'!$E$10+1,1))</f>
        <v>263.15518481854753</v>
      </c>
      <c r="AO14" s="59">
        <f t="shared" si="36"/>
        <v>210.80755370263819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4.1500000000000004</v>
      </c>
      <c r="BD14" s="12">
        <f>IF('Données projet'!$A$88&gt;35,BD13+BC14-BL13,IF(A14&lt;'Données projet'!$A$88,$BA$205^A14,IF(A14='Données projet'!$A$88,'Données projet'!$B$88,BD13+BC14-BL13)))</f>
        <v>11.362998538175793</v>
      </c>
      <c r="BE14" s="13">
        <f>BD14*VLOOKUP('Données projet'!$B$11,Paramètres!$A$1:$I$89,3,0)*VLOOKUP('Données projet'!$B$11,Paramètres!$A$1:$I$89,5,0)</f>
        <v>9.2176644141682029</v>
      </c>
      <c r="BF14" s="13">
        <f t="shared" si="37"/>
        <v>3.2801302226752225</v>
      </c>
      <c r="BG14" s="20">
        <f t="shared" si="7"/>
        <v>21.766992325835631</v>
      </c>
      <c r="BH14" s="59">
        <f t="shared" si="8"/>
        <v>315.10032565916896</v>
      </c>
      <c r="BI14" s="59">
        <f ca="1">AVERAGE(OFFSET($BH$3,0,0,'Données projet'!$E$11+1,1))-AVERAGE(OFFSET($H$3,0,0,'Données projet'!$E$11+1,1))</f>
        <v>203.21935660591021</v>
      </c>
      <c r="BJ14" s="59">
        <f t="shared" si="38"/>
        <v>180.54762778843178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2.9235042735042733</v>
      </c>
      <c r="BY14" s="12">
        <f>IF('Données projet'!$A$114&gt;35,BY13+BX14-CG13,IF(A14&lt;'Données projet'!$A$114,$BV$205^A14,IF(A14='Données projet'!$A$114,'Données projet'!$B$114,BY13+BX14-CG13)))</f>
        <v>5.1575387009743459</v>
      </c>
      <c r="BZ14" s="13">
        <f>BY14*VLOOKUP('Données projet'!$B$12,Paramètres!$A$1:$I$89,3,0)*VLOOKUP('Données projet'!$B$12,Paramètres!$A$1:$I$89,5,0)</f>
        <v>5.5515746577287857</v>
      </c>
      <c r="CA14" s="13">
        <f t="shared" si="39"/>
        <v>2.0956473646939413</v>
      </c>
      <c r="CB14" s="20">
        <f t="shared" si="10"/>
        <v>13.318911689052916</v>
      </c>
      <c r="CC14" s="59">
        <f t="shared" si="11"/>
        <v>306.65224502238624</v>
      </c>
      <c r="CD14" s="59">
        <f ca="1">AVERAGE(OFFSET($CC$3,0,0,'Données projet'!$E$12+1,1))-AVERAGE(OFFSET($H$3,0,0,'Données projet'!$E$12+1,1))</f>
        <v>211.18501783767226</v>
      </c>
      <c r="CE14" s="59">
        <f t="shared" si="40"/>
        <v>147.98306963466246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2.9235042735042733</v>
      </c>
      <c r="CT14" s="12">
        <f>IF('Données projet'!$A$140&gt;35,CT13+CS14-DB13,IF(A14&lt;'Données projet'!$A$140,$CQ$205^A14,IF(A14='Données projet'!$A$140,'Données projet'!$B$140,CT13+CS14-DB13)))</f>
        <v>5.1575387009743459</v>
      </c>
      <c r="CU14" s="17">
        <f>CT14*VLOOKUP('Données projet'!$B$13,Paramètres!$A$1:$I$89,3,0)*VLOOKUP('Données projet'!$B$13,Paramètres!$A$1:$I$89,5,0)</f>
        <v>5.5515746577287857</v>
      </c>
      <c r="CV14" s="13">
        <f t="shared" si="41"/>
        <v>2.0956473646939413</v>
      </c>
      <c r="CW14" s="20">
        <f t="shared" si="13"/>
        <v>13.318911689052916</v>
      </c>
      <c r="CX14" s="59">
        <f t="shared" si="14"/>
        <v>306.65224502238624</v>
      </c>
      <c r="CY14" s="59">
        <f ca="1">AVERAGE(OFFSET($CX$3,0,0,'Données projet'!$E$13+1,1))-AVERAGE(OFFSET($H$3,0,0,'Données projet'!$E$13+1,1))</f>
        <v>211.18501783767226</v>
      </c>
      <c r="CZ14" s="59">
        <f t="shared" si="42"/>
        <v>147.98306963466246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75.507692307692309</v>
      </c>
      <c r="L15" s="12">
        <f>VLOOKUP(A15,'Données projet'!$A$35:$I$55,9,0)</f>
        <v>6.2923076923076922</v>
      </c>
      <c r="M15" s="12">
        <f t="array" ref="M15">INDEX(L:L,MIN(IF(ISNUMBER(L15:L211),ROW(L15:L211),"")))</f>
        <v>6.2923076923076922</v>
      </c>
      <c r="N15" s="13">
        <f>IF('Données projet'!$A$36&gt;35,N14+M15-V14,IF(A15&lt;'Données projet'!$A$36,$K$205^A15,IF(A15='Données projet'!$A$36,'Données projet'!$B$36,N14+M15-V14)))</f>
        <v>75.507692307692309</v>
      </c>
      <c r="O15" s="13">
        <f>N15*VLOOKUP('Données projet'!$B$9,Paramètres!$A$1:$I$89,3,0)*VLOOKUP('Données projet'!$B$9,Paramètres!$A$1:$I$89,5,0)</f>
        <v>45.153600000000004</v>
      </c>
      <c r="P15" s="13">
        <f t="shared" si="33"/>
        <v>13.354826587419776</v>
      </c>
      <c r="Q15" s="20">
        <f t="shared" si="2"/>
        <v>101.90217630642276</v>
      </c>
      <c r="R15" s="59">
        <f t="shared" si="0"/>
        <v>395.23550963975606</v>
      </c>
      <c r="S15" s="59">
        <f ca="1">AVERAGE(OFFSET($R$3,0,0,'Données projet'!$E$9+1,1))-AVERAGE(OFFSET($H$3,0,0,'Données projet'!$E$9+1,1))</f>
        <v>182.25704762953387</v>
      </c>
      <c r="T15" s="59">
        <f t="shared" si="34"/>
        <v>265.61788177751134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4.0628205128205126</v>
      </c>
      <c r="AI15" s="13">
        <f>IF('Données projet'!$A$62&gt;35,AI14+AH15-AQ14,IF(A15&lt;'Données projet'!$A$62,$AF$205^A15,IF(A15='Données projet'!$A$62,'Données projet'!$B$62,AI14+AH15-AQ14)))</f>
        <v>6.8293529228851897</v>
      </c>
      <c r="AJ15" s="13">
        <f>AI15*VLOOKUP('Données projet'!$B$10,Paramètres!$A$1:$I$89,3,0)*VLOOKUP('Données projet'!$B$10,Paramètres!$A$1:$I$89,5,0)</f>
        <v>6.9249638638055826</v>
      </c>
      <c r="AK15" s="13">
        <f t="shared" si="35"/>
        <v>2.5476805881375704</v>
      </c>
      <c r="AL15" s="20">
        <f t="shared" si="4"/>
        <v>16.498189087134325</v>
      </c>
      <c r="AM15" s="59">
        <f t="shared" si="5"/>
        <v>309.83152242046765</v>
      </c>
      <c r="AN15" s="59">
        <f ca="1">AVERAGE(OFFSET($AM$3,0,0,'Données projet'!$E$10+1,1))-AVERAGE(OFFSET($H$3,0,0,'Données projet'!$E$10+1,1))</f>
        <v>263.15518481854753</v>
      </c>
      <c r="AO15" s="59">
        <f t="shared" si="36"/>
        <v>210.80755370263819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4.1500000000000004</v>
      </c>
      <c r="BD15" s="12">
        <f>IF('Données projet'!$A$88&gt;35,BD14+BC15-BL14,IF(A15&lt;'Données projet'!$A$88,$BA$205^A15,IF(A15='Données projet'!$A$88,'Données projet'!$B$88,BD14+BC15-BL14)))</f>
        <v>14.172512719280766</v>
      </c>
      <c r="BE15" s="13">
        <f>BD15*VLOOKUP('Données projet'!$B$11,Paramètres!$A$1:$I$89,3,0)*VLOOKUP('Données projet'!$B$11,Paramètres!$A$1:$I$89,5,0)</f>
        <v>11.496742317880559</v>
      </c>
      <c r="BF15" s="13">
        <f t="shared" si="37"/>
        <v>3.9872728528884012</v>
      </c>
      <c r="BG15" s="20">
        <f t="shared" si="7"/>
        <v>26.967993089089273</v>
      </c>
      <c r="BH15" s="59">
        <f t="shared" si="8"/>
        <v>320.30132642242256</v>
      </c>
      <c r="BI15" s="59">
        <f ca="1">AVERAGE(OFFSET($BH$3,0,0,'Données projet'!$E$11+1,1))-AVERAGE(OFFSET($H$3,0,0,'Données projet'!$E$11+1,1))</f>
        <v>203.21935660591021</v>
      </c>
      <c r="BJ15" s="59">
        <f t="shared" si="38"/>
        <v>180.54762778843178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2.9235042735042733</v>
      </c>
      <c r="BY15" s="12">
        <f>IF('Données projet'!$A$114&gt;35,BY14+BX15-CG14,IF(A15&lt;'Données projet'!$A$114,$BV$205^A15,IF(A15='Données projet'!$A$114,'Données projet'!$B$114,BY14+BX15-CG14)))</f>
        <v>5.9870101592612031</v>
      </c>
      <c r="BZ15" s="13">
        <f>BY15*VLOOKUP('Données projet'!$B$12,Paramètres!$A$1:$I$89,3,0)*VLOOKUP('Données projet'!$B$12,Paramètres!$A$1:$I$89,5,0)</f>
        <v>6.4444177354287593</v>
      </c>
      <c r="CA15" s="13">
        <f t="shared" si="39"/>
        <v>2.390819383553247</v>
      </c>
      <c r="CB15" s="20">
        <f t="shared" si="10"/>
        <v>15.38803798222699</v>
      </c>
      <c r="CC15" s="59">
        <f t="shared" si="11"/>
        <v>308.7213713155603</v>
      </c>
      <c r="CD15" s="59">
        <f ca="1">AVERAGE(OFFSET($CC$3,0,0,'Données projet'!$E$12+1,1))-AVERAGE(OFFSET($H$3,0,0,'Données projet'!$E$12+1,1))</f>
        <v>211.18501783767226</v>
      </c>
      <c r="CE15" s="59">
        <f t="shared" si="40"/>
        <v>147.98306963466246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2.9235042735042733</v>
      </c>
      <c r="CT15" s="12">
        <f>IF('Données projet'!$A$140&gt;35,CT14+CS15-DB14,IF(A15&lt;'Données projet'!$A$140,$CQ$205^A15,IF(A15='Données projet'!$A$140,'Données projet'!$B$140,CT14+CS15-DB14)))</f>
        <v>5.9870101592612031</v>
      </c>
      <c r="CU15" s="17">
        <f>CT15*VLOOKUP('Données projet'!$B$13,Paramètres!$A$1:$I$89,3,0)*VLOOKUP('Données projet'!$B$13,Paramètres!$A$1:$I$89,5,0)</f>
        <v>6.4444177354287593</v>
      </c>
      <c r="CV15" s="13">
        <f t="shared" si="41"/>
        <v>2.390819383553247</v>
      </c>
      <c r="CW15" s="20">
        <f t="shared" si="13"/>
        <v>15.38803798222699</v>
      </c>
      <c r="CX15" s="59">
        <f t="shared" si="14"/>
        <v>308.7213713155603</v>
      </c>
      <c r="CY15" s="59">
        <f ca="1">AVERAGE(OFFSET($CX$3,0,0,'Données projet'!$E$13+1,1))-AVERAGE(OFFSET($H$3,0,0,'Données projet'!$E$13+1,1))</f>
        <v>211.18501783767226</v>
      </c>
      <c r="CZ15" s="59">
        <f t="shared" si="42"/>
        <v>147.98306963466246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18.911538461538463</v>
      </c>
      <c r="N16" s="13">
        <f>IF('Données projet'!$A$36&gt;35,N15+M16-V15,IF(A16&lt;'Données projet'!$A$36,$K$205^A16,IF(A16='Données projet'!$A$36,'Données projet'!$B$36,N15+M16-V15)))</f>
        <v>94.419230769230779</v>
      </c>
      <c r="O16" s="13">
        <f>N16*VLOOKUP('Données projet'!$B$9,Paramètres!$A$1:$I$89,3,0)*VLOOKUP('Données projet'!$B$9,Paramètres!$A$1:$I$89,5,0)</f>
        <v>56.462700000000012</v>
      </c>
      <c r="P16" s="13">
        <f t="shared" si="33"/>
        <v>16.27079044207688</v>
      </c>
      <c r="Q16" s="20">
        <f t="shared" si="2"/>
        <v>126.6774958532839</v>
      </c>
      <c r="R16" s="59">
        <f t="shared" si="0"/>
        <v>420.01082918661723</v>
      </c>
      <c r="S16" s="59">
        <f ca="1">AVERAGE(OFFSET($R$3,0,0,'Données projet'!$E$9+1,1))-AVERAGE(OFFSET($H$3,0,0,'Données projet'!$E$9+1,1))</f>
        <v>182.25704762953387</v>
      </c>
      <c r="T16" s="59">
        <f t="shared" si="34"/>
        <v>265.61788177751134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4.0628205128205126</v>
      </c>
      <c r="AI16" s="13">
        <f>IF('Données projet'!$A$62&gt;35,AI15+AH16-AQ15,IF(A16&lt;'Données projet'!$A$62,$AF$205^A16,IF(A16='Données projet'!$A$62,'Données projet'!$B$62,AI15+AH16-AQ15)))</f>
        <v>8.0151413590917304</v>
      </c>
      <c r="AJ16" s="13">
        <f>AI16*VLOOKUP('Données projet'!$B$10,Paramètres!$A$1:$I$89,3,0)*VLOOKUP('Données projet'!$B$10,Paramètres!$A$1:$I$89,5,0)</f>
        <v>8.1273533381190166</v>
      </c>
      <c r="AK16" s="13">
        <f t="shared" si="35"/>
        <v>2.9348311908328566</v>
      </c>
      <c r="AL16" s="20">
        <f t="shared" si="4"/>
        <v>19.26663805459118</v>
      </c>
      <c r="AM16" s="59">
        <f t="shared" si="5"/>
        <v>312.59997138792448</v>
      </c>
      <c r="AN16" s="59">
        <f ca="1">AVERAGE(OFFSET($AM$3,0,0,'Données projet'!$E$10+1,1))-AVERAGE(OFFSET($H$3,0,0,'Données projet'!$E$10+1,1))</f>
        <v>263.15518481854753</v>
      </c>
      <c r="AO16" s="59">
        <f t="shared" si="36"/>
        <v>210.80755370263819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4.1500000000000004</v>
      </c>
      <c r="BD16" s="12">
        <f>IF('Données projet'!$A$88&gt;35,BD15+BC16-BL15,IF(A16&lt;'Données projet'!$A$88,$BA$205^A16,IF(A16='Données projet'!$A$88,'Données projet'!$B$88,BD15+BC16-BL15)))</f>
        <v>17.676682444634107</v>
      </c>
      <c r="BE16" s="13">
        <f>BD16*VLOOKUP('Données projet'!$B$11,Paramètres!$A$1:$I$89,3,0)*VLOOKUP('Données projet'!$B$11,Paramètres!$A$1:$I$89,5,0)</f>
        <v>14.339324799087189</v>
      </c>
      <c r="BF16" s="13">
        <f t="shared" si="37"/>
        <v>4.846863912132843</v>
      </c>
      <c r="BG16" s="20">
        <f t="shared" si="7"/>
        <v>33.415945338708219</v>
      </c>
      <c r="BH16" s="59">
        <f t="shared" si="8"/>
        <v>326.74927867204156</v>
      </c>
      <c r="BI16" s="59">
        <f ca="1">AVERAGE(OFFSET($BH$3,0,0,'Données projet'!$E$11+1,1))-AVERAGE(OFFSET($H$3,0,0,'Données projet'!$E$11+1,1))</f>
        <v>203.21935660591021</v>
      </c>
      <c r="BJ16" s="59">
        <f t="shared" si="38"/>
        <v>180.54762778843178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2.9235042735042733</v>
      </c>
      <c r="BY16" s="12">
        <f>IF('Données projet'!$A$114&gt;35,BY15+BX16-CG15,IF(A16&lt;'Données projet'!$A$114,$BV$205^A16,IF(A16='Données projet'!$A$114,'Données projet'!$B$114,BY15+BX16-CG15)))</f>
        <v>6.9498830208148057</v>
      </c>
      <c r="BZ16" s="13">
        <f>BY16*VLOOKUP('Données projet'!$B$12,Paramètres!$A$1:$I$89,3,0)*VLOOKUP('Données projet'!$B$12,Paramètres!$A$1:$I$89,5,0)</f>
        <v>7.4808540836050561</v>
      </c>
      <c r="CA16" s="13">
        <f t="shared" si="39"/>
        <v>2.7275663935992016</v>
      </c>
      <c r="CB16" s="20">
        <f t="shared" si="10"/>
        <v>17.77966566446408</v>
      </c>
      <c r="CC16" s="59">
        <f t="shared" si="11"/>
        <v>311.11299899779738</v>
      </c>
      <c r="CD16" s="59">
        <f ca="1">AVERAGE(OFFSET($CC$3,0,0,'Données projet'!$E$12+1,1))-AVERAGE(OFFSET($H$3,0,0,'Données projet'!$E$12+1,1))</f>
        <v>211.18501783767226</v>
      </c>
      <c r="CE16" s="59">
        <f t="shared" si="40"/>
        <v>147.98306963466246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2.9235042735042733</v>
      </c>
      <c r="CT16" s="12">
        <f>IF('Données projet'!$A$140&gt;35,CT15+CS16-DB15,IF(A16&lt;'Données projet'!$A$140,$CQ$205^A16,IF(A16='Données projet'!$A$140,'Données projet'!$B$140,CT15+CS16-DB15)))</f>
        <v>6.9498830208148057</v>
      </c>
      <c r="CU16" s="17">
        <f>CT16*VLOOKUP('Données projet'!$B$13,Paramètres!$A$1:$I$89,3,0)*VLOOKUP('Données projet'!$B$13,Paramètres!$A$1:$I$89,5,0)</f>
        <v>7.4808540836050561</v>
      </c>
      <c r="CV16" s="13">
        <f t="shared" si="41"/>
        <v>2.7275663935992016</v>
      </c>
      <c r="CW16" s="20">
        <f t="shared" si="13"/>
        <v>17.77966566446408</v>
      </c>
      <c r="CX16" s="59">
        <f t="shared" si="14"/>
        <v>311.11299899779738</v>
      </c>
      <c r="CY16" s="59">
        <f ca="1">AVERAGE(OFFSET($CX$3,0,0,'Données projet'!$E$13+1,1))-AVERAGE(OFFSET($H$3,0,0,'Données projet'!$E$13+1,1))</f>
        <v>211.18501783767226</v>
      </c>
      <c r="CZ16" s="59">
        <f t="shared" si="42"/>
        <v>147.98306963466246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113.33076923076923</v>
      </c>
      <c r="L17" s="12">
        <f>VLOOKUP(A17,'Données projet'!$A$35:$I$55,9,0)</f>
        <v>18.911538461538463</v>
      </c>
      <c r="M17" s="12">
        <f t="array" ref="M17">INDEX(L:L,MIN(IF(ISNUMBER(L17:L213),ROW(L17:L213),"")))</f>
        <v>18.911538461538463</v>
      </c>
      <c r="N17" s="13">
        <f>IF('Données projet'!$A$36&gt;35,N16+M17-V16,IF(A17&lt;'Données projet'!$A$36,$K$205^A17,IF(A17='Données projet'!$A$36,'Données projet'!$B$36,N16+M17-V16)))</f>
        <v>113.33076923076925</v>
      </c>
      <c r="O17" s="13">
        <f>N17*VLOOKUP('Données projet'!$B$9,Paramètres!$A$1:$I$89,3,0)*VLOOKUP('Données projet'!$B$9,Paramètres!$A$1:$I$89,5,0)</f>
        <v>67.771800000000013</v>
      </c>
      <c r="P17" s="13">
        <f t="shared" si="33"/>
        <v>19.119079515297894</v>
      </c>
      <c r="Q17" s="20">
        <f t="shared" si="2"/>
        <v>151.33494848914387</v>
      </c>
      <c r="R17" s="59">
        <f t="shared" si="0"/>
        <v>444.66828182247718</v>
      </c>
      <c r="S17" s="59">
        <f ca="1">AVERAGE(OFFSET($R$3,0,0,'Données projet'!$E$9+1,1))-AVERAGE(OFFSET($H$3,0,0,'Données projet'!$E$9+1,1))</f>
        <v>182.25704762953387</v>
      </c>
      <c r="T17" s="59">
        <f t="shared" si="34"/>
        <v>265.61788177751134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35.969230769230769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0.22500000000000001</v>
      </c>
      <c r="Y17" s="16">
        <f>IF(ISNA(VLOOKUP(A17,'Données projet'!$A$35:$I$55,7,0)),0%,VLOOKUP(A17,'Données projet'!$A$35:$I$55,7,0))</f>
        <v>0.5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6.3948424700437583</v>
      </c>
      <c r="AB17" s="21">
        <f>EXP(-LN(2)/2)*AB16+(1-EXP(-LN(2)/2))/(LN(2)/2)*V17*Y17*VLOOKUP('Données projet'!$B$9,Paramètres!$A$1:$I$89,3,0)*0.475*44/12</f>
        <v>12.176931913437635</v>
      </c>
      <c r="AC17" s="22">
        <f t="shared" si="3"/>
        <v>18.571774383481394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4.0628205128205126</v>
      </c>
      <c r="AI17" s="13">
        <f>IF('Données projet'!$A$62&gt;35,AI16+AH17-AQ16,IF(A17&lt;'Données projet'!$A$62,$AF$205^A17,IF(A17='Données projet'!$A$62,'Données projet'!$B$62,AI16+AH17-AQ16)))</f>
        <v>9.4068196111151305</v>
      </c>
      <c r="AJ17" s="13">
        <f>AI17*VLOOKUP('Données projet'!$B$10,Paramètres!$A$1:$I$89,3,0)*VLOOKUP('Données projet'!$B$10,Paramètres!$A$1:$I$89,5,0)</f>
        <v>9.5385150856707419</v>
      </c>
      <c r="AK17" s="13">
        <f t="shared" si="35"/>
        <v>3.3808139681206768</v>
      </c>
      <c r="AL17" s="20">
        <f t="shared" si="4"/>
        <v>22.501164768686721</v>
      </c>
      <c r="AM17" s="59">
        <f t="shared" si="5"/>
        <v>315.83449810202001</v>
      </c>
      <c r="AN17" s="59">
        <f ca="1">AVERAGE(OFFSET($AM$3,0,0,'Données projet'!$E$10+1,1))-AVERAGE(OFFSET($H$3,0,0,'Données projet'!$E$10+1,1))</f>
        <v>263.15518481854753</v>
      </c>
      <c r="AO17" s="59">
        <f t="shared" si="36"/>
        <v>210.80755370263819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4.1500000000000004</v>
      </c>
      <c r="BD17" s="12">
        <f>IF('Données projet'!$A$88&gt;35,BD16+BC17-BL16,IF(A17&lt;'Données projet'!$A$88,$BA$205^A17,IF(A17='Données projet'!$A$88,'Données projet'!$B$88,BD16+BC17-BL16)))</f>
        <v>22.047262079599165</v>
      </c>
      <c r="BE17" s="13">
        <f>BD17*VLOOKUP('Données projet'!$B$11,Paramètres!$A$1:$I$89,3,0)*VLOOKUP('Données projet'!$B$11,Paramètres!$A$1:$I$89,5,0)</f>
        <v>17.884738998970843</v>
      </c>
      <c r="BF17" s="13">
        <f t="shared" si="37"/>
        <v>5.891768797743028</v>
      </c>
      <c r="BG17" s="20">
        <f t="shared" si="7"/>
        <v>41.410751079276658</v>
      </c>
      <c r="BH17" s="59">
        <f t="shared" si="8"/>
        <v>334.74408441260999</v>
      </c>
      <c r="BI17" s="59">
        <f ca="1">AVERAGE(OFFSET($BH$3,0,0,'Données projet'!$E$11+1,1))-AVERAGE(OFFSET($H$3,0,0,'Données projet'!$E$11+1,1))</f>
        <v>203.21935660591021</v>
      </c>
      <c r="BJ17" s="59">
        <f t="shared" si="38"/>
        <v>180.54762778843178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2.9235042735042733</v>
      </c>
      <c r="BY17" s="12">
        <f>IF('Données projet'!$A$114&gt;35,BY16+BX17-CG16,IF(A17&lt;'Données projet'!$A$114,$BV$205^A17,IF(A17='Données projet'!$A$114,'Données projet'!$B$114,BY16+BX17-CG16)))</f>
        <v>8.0676118326430668</v>
      </c>
      <c r="BZ17" s="13">
        <f>BY17*VLOOKUP('Données projet'!$B$12,Paramètres!$A$1:$I$89,3,0)*VLOOKUP('Données projet'!$B$12,Paramètres!$A$1:$I$89,5,0)</f>
        <v>8.6839773766569976</v>
      </c>
      <c r="CA17" s="13">
        <f t="shared" si="39"/>
        <v>3.1117442340771748</v>
      </c>
      <c r="CB17" s="20">
        <f t="shared" si="10"/>
        <v>20.54421513869535</v>
      </c>
      <c r="CC17" s="59">
        <f t="shared" si="11"/>
        <v>313.87754847202865</v>
      </c>
      <c r="CD17" s="59">
        <f ca="1">AVERAGE(OFFSET($CC$3,0,0,'Données projet'!$E$12+1,1))-AVERAGE(OFFSET($H$3,0,0,'Données projet'!$E$12+1,1))</f>
        <v>211.18501783767226</v>
      </c>
      <c r="CE17" s="59">
        <f t="shared" si="40"/>
        <v>147.98306963466246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2.9235042735042733</v>
      </c>
      <c r="CT17" s="12">
        <f>IF('Données projet'!$A$140&gt;35,CT16+CS17-DB16,IF(A17&lt;'Données projet'!$A$140,$CQ$205^A17,IF(A17='Données projet'!$A$140,'Données projet'!$B$140,CT16+CS17-DB16)))</f>
        <v>8.0676118326430668</v>
      </c>
      <c r="CU17" s="17">
        <f>CT17*VLOOKUP('Données projet'!$B$13,Paramètres!$A$1:$I$89,3,0)*VLOOKUP('Données projet'!$B$13,Paramètres!$A$1:$I$89,5,0)</f>
        <v>8.6839773766569976</v>
      </c>
      <c r="CV17" s="13">
        <f t="shared" si="41"/>
        <v>3.1117442340771748</v>
      </c>
      <c r="CW17" s="20">
        <f t="shared" si="13"/>
        <v>20.54421513869535</v>
      </c>
      <c r="CX17" s="59">
        <f t="shared" si="14"/>
        <v>313.87754847202865</v>
      </c>
      <c r="CY17" s="59">
        <f ca="1">AVERAGE(OFFSET($CX$3,0,0,'Données projet'!$E$13+1,1))-AVERAGE(OFFSET($H$3,0,0,'Données projet'!$E$13+1,1))</f>
        <v>211.18501783767226</v>
      </c>
      <c r="CZ17" s="59">
        <f t="shared" si="42"/>
        <v>147.98306963466246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18.447692307692307</v>
      </c>
      <c r="N18" s="13">
        <f>IF('Données projet'!$A$36&gt;35,N17+M18-V17,IF(A18&lt;'Données projet'!$A$36,$K$205^A18,IF(A18='Données projet'!$A$36,'Données projet'!$B$36,N17+M18-V17)))</f>
        <v>95.809230769230794</v>
      </c>
      <c r="O18" s="13">
        <f>N18*VLOOKUP('Données projet'!$B$9,Paramètres!$A$1:$I$89,3,0)*VLOOKUP('Données projet'!$B$9,Paramètres!$A$1:$I$89,5,0)</f>
        <v>57.293920000000014</v>
      </c>
      <c r="P18" s="13">
        <f t="shared" si="33"/>
        <v>16.482260295625579</v>
      </c>
      <c r="Q18" s="20">
        <f t="shared" si="2"/>
        <v>128.49351401488124</v>
      </c>
      <c r="R18" s="59">
        <f t="shared" si="0"/>
        <v>421.82684734821453</v>
      </c>
      <c r="S18" s="59">
        <f ca="1">AVERAGE(OFFSET($R$3,0,0,'Données projet'!$E$9+1,1))-AVERAGE(OFFSET($H$3,0,0,'Données projet'!$E$9+1,1))</f>
        <v>182.25704762953387</v>
      </c>
      <c r="T18" s="59">
        <f t="shared" si="34"/>
        <v>265.61788177751134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6.2199751664102614</v>
      </c>
      <c r="AB18" s="21">
        <f>EXP(-LN(2)/2)*AB17+(1-EXP(-LN(2)/2))/(LN(2)/2)*V18*Y18*VLOOKUP('Données projet'!$B$9,Paramètres!$A$1:$I$89,3,0)*0.475*44/12</f>
        <v>8.610391130038634</v>
      </c>
      <c r="AC18" s="22">
        <f t="shared" si="3"/>
        <v>14.830366296448895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4.0628205128205126</v>
      </c>
      <c r="AI18" s="13">
        <f>IF('Données projet'!$A$62&gt;35,AI17+AH18-AQ17,IF(A18&lt;'Données projet'!$A$62,$AF$205^A18,IF(A18='Données projet'!$A$62,'Données projet'!$B$62,AI17+AH18-AQ17)))</f>
        <v>11.040136565487554</v>
      </c>
      <c r="AJ18" s="13">
        <f>AI18*VLOOKUP('Données projet'!$B$10,Paramètres!$A$1:$I$89,3,0)*VLOOKUP('Données projet'!$B$10,Paramètres!$A$1:$I$89,5,0)</f>
        <v>11.194698477404382</v>
      </c>
      <c r="AK18" s="13">
        <f t="shared" si="35"/>
        <v>3.8945691741119406</v>
      </c>
      <c r="AL18" s="20">
        <f t="shared" si="4"/>
        <v>26.280474493057593</v>
      </c>
      <c r="AM18" s="59">
        <f t="shared" si="5"/>
        <v>319.61380782639088</v>
      </c>
      <c r="AN18" s="59">
        <f ca="1">AVERAGE(OFFSET($AM$3,0,0,'Données projet'!$E$10+1,1))-AVERAGE(OFFSET($H$3,0,0,'Données projet'!$E$10+1,1))</f>
        <v>263.15518481854753</v>
      </c>
      <c r="AO18" s="59">
        <f t="shared" si="36"/>
        <v>210.80755370263819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4.1500000000000004</v>
      </c>
      <c r="BD18" s="12">
        <f>IF('Données projet'!$A$88&gt;35,BD17+BC18-BL17,IF(A18&lt;'Données projet'!$A$88,$BA$205^A18,IF(A18='Données projet'!$A$88,'Données projet'!$B$88,BD17+BC18-BL17)))</f>
        <v>27.498472449737598</v>
      </c>
      <c r="BE18" s="13">
        <f>BD18*VLOOKUP('Données projet'!$B$11,Paramètres!$A$1:$I$89,3,0)*VLOOKUP('Données projet'!$B$11,Paramètres!$A$1:$I$89,5,0)</f>
        <v>22.306760851227143</v>
      </c>
      <c r="BF18" s="13">
        <f t="shared" si="37"/>
        <v>7.1619381512164271</v>
      </c>
      <c r="BG18" s="20">
        <f t="shared" si="7"/>
        <v>51.324650762589215</v>
      </c>
      <c r="BH18" s="59">
        <f t="shared" si="8"/>
        <v>344.65798409592253</v>
      </c>
      <c r="BI18" s="59">
        <f ca="1">AVERAGE(OFFSET($BH$3,0,0,'Données projet'!$E$11+1,1))-AVERAGE(OFFSET($H$3,0,0,'Données projet'!$E$11+1,1))</f>
        <v>203.21935660591021</v>
      </c>
      <c r="BJ18" s="59">
        <f t="shared" si="38"/>
        <v>180.54762778843178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2.9235042735042733</v>
      </c>
      <c r="BY18" s="12">
        <f>IF('Données projet'!$A$114&gt;35,BY17+BX18-CG17,IF(A18&lt;'Données projet'!$A$114,$BV$205^A18,IF(A18='Données projet'!$A$114,'Données projet'!$B$114,BY17+BX18-CG17)))</f>
        <v>9.3651016121091022</v>
      </c>
      <c r="BZ18" s="13">
        <f>BY18*VLOOKUP('Données projet'!$B$12,Paramètres!$A$1:$I$89,3,0)*VLOOKUP('Données projet'!$B$12,Paramètres!$A$1:$I$89,5,0)</f>
        <v>10.080595375274237</v>
      </c>
      <c r="CA18" s="13">
        <f t="shared" si="39"/>
        <v>3.5500335394348563</v>
      </c>
      <c r="CB18" s="20">
        <f t="shared" si="10"/>
        <v>23.740012026451669</v>
      </c>
      <c r="CC18" s="59">
        <f t="shared" si="11"/>
        <v>317.07334535978498</v>
      </c>
      <c r="CD18" s="59">
        <f ca="1">AVERAGE(OFFSET($CC$3,0,0,'Données projet'!$E$12+1,1))-AVERAGE(OFFSET($H$3,0,0,'Données projet'!$E$12+1,1))</f>
        <v>211.18501783767226</v>
      </c>
      <c r="CE18" s="59">
        <f t="shared" si="40"/>
        <v>147.98306963466246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2.9235042735042733</v>
      </c>
      <c r="CT18" s="12">
        <f>IF('Données projet'!$A$140&gt;35,CT17+CS18-DB17,IF(A18&lt;'Données projet'!$A$140,$CQ$205^A18,IF(A18='Données projet'!$A$140,'Données projet'!$B$140,CT17+CS18-DB17)))</f>
        <v>9.3651016121091022</v>
      </c>
      <c r="CU18" s="17">
        <f>CT18*VLOOKUP('Données projet'!$B$13,Paramètres!$A$1:$I$89,3,0)*VLOOKUP('Données projet'!$B$13,Paramètres!$A$1:$I$89,5,0)</f>
        <v>10.080595375274237</v>
      </c>
      <c r="CV18" s="13">
        <f t="shared" si="41"/>
        <v>3.5500335394348563</v>
      </c>
      <c r="CW18" s="20">
        <f t="shared" si="13"/>
        <v>23.740012026451669</v>
      </c>
      <c r="CX18" s="59">
        <f t="shared" si="14"/>
        <v>317.07334535978498</v>
      </c>
      <c r="CY18" s="59">
        <f ca="1">AVERAGE(OFFSET($CX$3,0,0,'Données projet'!$E$13+1,1))-AVERAGE(OFFSET($H$3,0,0,'Données projet'!$E$13+1,1))</f>
        <v>211.18501783767226</v>
      </c>
      <c r="CZ18" s="59">
        <f t="shared" si="42"/>
        <v>147.98306963466246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18.447692307692307</v>
      </c>
      <c r="N19" s="13">
        <f>IF('Données projet'!$A$36&gt;35,N18+M19-V18,IF(A19&lt;'Données projet'!$A$36,$K$205^A19,IF(A19='Données projet'!$A$36,'Données projet'!$B$36,N18+M19-V18)))</f>
        <v>114.2569230769231</v>
      </c>
      <c r="O19" s="13">
        <f>N19*VLOOKUP('Données projet'!$B$9,Paramètres!$A$1:$I$89,3,0)*VLOOKUP('Données projet'!$B$9,Paramètres!$A$1:$I$89,5,0)</f>
        <v>68.325640000000021</v>
      </c>
      <c r="P19" s="13">
        <f t="shared" si="33"/>
        <v>19.257070909644309</v>
      </c>
      <c r="Q19" s="20">
        <f t="shared" si="2"/>
        <v>152.53988816763055</v>
      </c>
      <c r="R19" s="59">
        <f t="shared" si="0"/>
        <v>445.87322150096384</v>
      </c>
      <c r="S19" s="59">
        <f ca="1">AVERAGE(OFFSET($R$3,0,0,'Données projet'!$E$9+1,1))-AVERAGE(OFFSET($H$3,0,0,'Données projet'!$E$9+1,1))</f>
        <v>182.25704762953387</v>
      </c>
      <c r="T19" s="59">
        <f t="shared" si="34"/>
        <v>265.61788177751134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6.0498896183904947</v>
      </c>
      <c r="AB19" s="21">
        <f>EXP(-LN(2)/2)*AB18+(1-EXP(-LN(2)/2))/(LN(2)/2)*V19*Y19*VLOOKUP('Données projet'!$B$9,Paramètres!$A$1:$I$89,3,0)*0.475*44/12</f>
        <v>6.0884659567188182</v>
      </c>
      <c r="AC19" s="22">
        <f t="shared" si="3"/>
        <v>12.138355575109312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4.0628205128205126</v>
      </c>
      <c r="AI19" s="13">
        <f>IF('Données projet'!$A$62&gt;35,AI18+AH19-AQ18,IF(A19&lt;'Données projet'!$A$62,$AF$205^A19,IF(A19='Données projet'!$A$62,'Données projet'!$B$62,AI18+AH19-AQ18)))</f>
        <v>12.957048229201293</v>
      </c>
      <c r="AJ19" s="13">
        <f>AI19*VLOOKUP('Données projet'!$B$10,Paramètres!$A$1:$I$89,3,0)*VLOOKUP('Données projet'!$B$10,Paramètres!$A$1:$I$89,5,0)</f>
        <v>13.138446904410113</v>
      </c>
      <c r="AK19" s="13">
        <f t="shared" si="35"/>
        <v>4.486395641690498</v>
      </c>
      <c r="AL19" s="20">
        <f t="shared" si="4"/>
        <v>30.696600767791892</v>
      </c>
      <c r="AM19" s="59">
        <f t="shared" si="5"/>
        <v>324.02993410112521</v>
      </c>
      <c r="AN19" s="59">
        <f ca="1">AVERAGE(OFFSET($AM$3,0,0,'Données projet'!$E$10+1,1))-AVERAGE(OFFSET($H$3,0,0,'Données projet'!$E$10+1,1))</f>
        <v>263.15518481854753</v>
      </c>
      <c r="AO19" s="59">
        <f t="shared" si="36"/>
        <v>210.80755370263819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4.1500000000000004</v>
      </c>
      <c r="BD19" s="12">
        <f>IF('Données projet'!$A$88&gt;35,BD18+BC19-BL18,IF(A19&lt;'Données projet'!$A$88,$BA$205^A19,IF(A19='Données projet'!$A$88,'Données projet'!$B$88,BD18+BC19-BL18)))</f>
        <v>34.297500720902455</v>
      </c>
      <c r="BE19" s="13">
        <f>BD19*VLOOKUP('Données projet'!$B$11,Paramètres!$A$1:$I$89,3,0)*VLOOKUP('Données projet'!$B$11,Paramètres!$A$1:$I$89,5,0)</f>
        <v>27.822132584796076</v>
      </c>
      <c r="BF19" s="13">
        <f t="shared" si="37"/>
        <v>8.7059353214094877</v>
      </c>
      <c r="BG19" s="20">
        <f t="shared" si="7"/>
        <v>63.61971826997469</v>
      </c>
      <c r="BH19" s="59">
        <f t="shared" si="8"/>
        <v>356.95305160330798</v>
      </c>
      <c r="BI19" s="59">
        <f ca="1">AVERAGE(OFFSET($BH$3,0,0,'Données projet'!$E$11+1,1))-AVERAGE(OFFSET($H$3,0,0,'Données projet'!$E$11+1,1))</f>
        <v>203.21935660591021</v>
      </c>
      <c r="BJ19" s="59">
        <f t="shared" si="38"/>
        <v>180.54762778843178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2.9235042735042733</v>
      </c>
      <c r="BY19" s="12">
        <f>IF('Données projet'!$A$114&gt;35,BY18+BX19-CG18,IF(A19&lt;'Données projet'!$A$114,$BV$205^A19,IF(A19='Données projet'!$A$114,'Données projet'!$B$114,BY18+BX19-CG18)))</f>
        <v>10.87126277571476</v>
      </c>
      <c r="BZ19" s="13">
        <f>BY19*VLOOKUP('Données projet'!$B$12,Paramètres!$A$1:$I$89,3,0)*VLOOKUP('Données projet'!$B$12,Paramètres!$A$1:$I$89,5,0)</f>
        <v>11.701827251779367</v>
      </c>
      <c r="CA19" s="13">
        <f t="shared" si="39"/>
        <v>4.0500559117609676</v>
      </c>
      <c r="CB19" s="20">
        <f t="shared" si="10"/>
        <v>27.434529843166086</v>
      </c>
      <c r="CC19" s="59">
        <f t="shared" si="11"/>
        <v>320.76786317649942</v>
      </c>
      <c r="CD19" s="59">
        <f ca="1">AVERAGE(OFFSET($CC$3,0,0,'Données projet'!$E$12+1,1))-AVERAGE(OFFSET($H$3,0,0,'Données projet'!$E$12+1,1))</f>
        <v>211.18501783767226</v>
      </c>
      <c r="CE19" s="59">
        <f t="shared" si="40"/>
        <v>147.98306963466246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2.9235042735042733</v>
      </c>
      <c r="CT19" s="12">
        <f>IF('Données projet'!$A$140&gt;35,CT18+CS19-DB18,IF(A19&lt;'Données projet'!$A$140,$CQ$205^A19,IF(A19='Données projet'!$A$140,'Données projet'!$B$140,CT18+CS19-DB18)))</f>
        <v>10.87126277571476</v>
      </c>
      <c r="CU19" s="17">
        <f>CT19*VLOOKUP('Données projet'!$B$13,Paramètres!$A$1:$I$89,3,0)*VLOOKUP('Données projet'!$B$13,Paramètres!$A$1:$I$89,5,0)</f>
        <v>11.701827251779367</v>
      </c>
      <c r="CV19" s="13">
        <f t="shared" si="41"/>
        <v>4.0500559117609676</v>
      </c>
      <c r="CW19" s="20">
        <f t="shared" si="13"/>
        <v>27.434529843166086</v>
      </c>
      <c r="CX19" s="59">
        <f t="shared" si="14"/>
        <v>320.76786317649942</v>
      </c>
      <c r="CY19" s="59">
        <f ca="1">AVERAGE(OFFSET($CX$3,0,0,'Données projet'!$E$13+1,1))-AVERAGE(OFFSET($H$3,0,0,'Données projet'!$E$13+1,1))</f>
        <v>211.18501783767226</v>
      </c>
      <c r="CZ19" s="59">
        <f t="shared" si="42"/>
        <v>147.98306963466246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18.447692307692307</v>
      </c>
      <c r="N20" s="13">
        <f>IF('Données projet'!$A$36&gt;35,N19+M20-V19,IF(A20&lt;'Données projet'!$A$36,$K$205^A20,IF(A20='Données projet'!$A$36,'Données projet'!$B$36,N19+M20-V19)))</f>
        <v>132.70461538461541</v>
      </c>
      <c r="O20" s="13">
        <f>N20*VLOOKUP('Données projet'!$B$9,Paramètres!$A$1:$I$89,3,0)*VLOOKUP('Données projet'!$B$9,Paramètres!$A$1:$I$89,5,0)</f>
        <v>79.357360000000028</v>
      </c>
      <c r="P20" s="13">
        <f t="shared" si="33"/>
        <v>21.979981626269119</v>
      </c>
      <c r="Q20" s="20">
        <f t="shared" si="2"/>
        <v>176.49586999908544</v>
      </c>
      <c r="R20" s="59">
        <f t="shared" si="0"/>
        <v>469.82920333241873</v>
      </c>
      <c r="S20" s="59">
        <f ca="1">AVERAGE(OFFSET($R$3,0,0,'Données projet'!$E$9+1,1))-AVERAGE(OFFSET($H$3,0,0,'Données projet'!$E$9+1,1))</f>
        <v>182.25704762953387</v>
      </c>
      <c r="T20" s="59">
        <f t="shared" si="34"/>
        <v>265.61788177751134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5.8844550686257389</v>
      </c>
      <c r="AB20" s="21">
        <f>EXP(-LN(2)/2)*AB19+(1-EXP(-LN(2)/2))/(LN(2)/2)*V20*Y20*VLOOKUP('Données projet'!$B$9,Paramètres!$A$1:$I$89,3,0)*0.475*44/12</f>
        <v>4.305195565019317</v>
      </c>
      <c r="AC20" s="22">
        <f t="shared" si="3"/>
        <v>10.189650633645055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4.0628205128205126</v>
      </c>
      <c r="AI20" s="13">
        <f>IF('Données projet'!$A$62&gt;35,AI19+AH20-AQ19,IF(A20&lt;'Données projet'!$A$62,$AF$205^A20,IF(A20='Données projet'!$A$62,'Données projet'!$B$62,AI19+AH20-AQ19)))</f>
        <v>15.206795479203771</v>
      </c>
      <c r="AJ20" s="13">
        <f>AI20*VLOOKUP('Données projet'!$B$10,Paramètres!$A$1:$I$89,3,0)*VLOOKUP('Données projet'!$B$10,Paramètres!$A$1:$I$89,5,0)</f>
        <v>15.419690615912625</v>
      </c>
      <c r="AK20" s="13">
        <f t="shared" si="35"/>
        <v>5.1681572348420586</v>
      </c>
      <c r="AL20" s="20">
        <f t="shared" si="4"/>
        <v>35.857168340064412</v>
      </c>
      <c r="AM20" s="59">
        <f t="shared" si="5"/>
        <v>329.1905016733977</v>
      </c>
      <c r="AN20" s="59">
        <f ca="1">AVERAGE(OFFSET($AM$3,0,0,'Données projet'!$E$10+1,1))-AVERAGE(OFFSET($H$3,0,0,'Données projet'!$E$10+1,1))</f>
        <v>263.15518481854753</v>
      </c>
      <c r="AO20" s="59">
        <f t="shared" si="36"/>
        <v>210.80755370263819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4.1500000000000004</v>
      </c>
      <c r="BD20" s="12">
        <f>IF('Données projet'!$A$88&gt;35,BD19+BC20-BL19,IF(A20&lt;'Données projet'!$A$88,$BA$205^A20,IF(A20='Données projet'!$A$88,'Données projet'!$B$88,BD19+BC20-BL19)))</f>
        <v>42.777596386505074</v>
      </c>
      <c r="BE20" s="13">
        <f>BD20*VLOOKUP('Données projet'!$B$11,Paramètres!$A$1:$I$89,3,0)*VLOOKUP('Données projet'!$B$11,Paramètres!$A$1:$I$89,5,0)</f>
        <v>34.701186188732919</v>
      </c>
      <c r="BF20" s="13">
        <f t="shared" si="37"/>
        <v>10.582793123910482</v>
      </c>
      <c r="BG20" s="20">
        <f t="shared" si="7"/>
        <v>78.869597302853919</v>
      </c>
      <c r="BH20" s="59">
        <f t="shared" si="8"/>
        <v>372.20293063618726</v>
      </c>
      <c r="BI20" s="59">
        <f ca="1">AVERAGE(OFFSET($BH$3,0,0,'Données projet'!$E$11+1,1))-AVERAGE(OFFSET($H$3,0,0,'Données projet'!$E$11+1,1))</f>
        <v>203.21935660591021</v>
      </c>
      <c r="BJ20" s="59">
        <f t="shared" si="38"/>
        <v>180.54762778843178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2.9235042735042733</v>
      </c>
      <c r="BY20" s="12">
        <f>IF('Données projet'!$A$114&gt;35,BY19+BX20-CG19,IF(A20&lt;'Données projet'!$A$114,$BV$205^A20,IF(A20='Données projet'!$A$114,'Données projet'!$B$114,BY19+BX20-CG19)))</f>
        <v>12.619655315413629</v>
      </c>
      <c r="BZ20" s="13">
        <f>BY20*VLOOKUP('Données projet'!$B$12,Paramètres!$A$1:$I$89,3,0)*VLOOKUP('Données projet'!$B$12,Paramètres!$A$1:$I$89,5,0)</f>
        <v>13.583796981511231</v>
      </c>
      <c r="CA20" s="13">
        <f t="shared" si="39"/>
        <v>4.6205064561168125</v>
      </c>
      <c r="CB20" s="20">
        <f t="shared" si="10"/>
        <v>31.705828487202169</v>
      </c>
      <c r="CC20" s="59">
        <f t="shared" si="11"/>
        <v>325.03916182053547</v>
      </c>
      <c r="CD20" s="59">
        <f ca="1">AVERAGE(OFFSET($CC$3,0,0,'Données projet'!$E$12+1,1))-AVERAGE(OFFSET($H$3,0,0,'Données projet'!$E$12+1,1))</f>
        <v>211.18501783767226</v>
      </c>
      <c r="CE20" s="59">
        <f t="shared" si="40"/>
        <v>147.98306963466246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2.9235042735042733</v>
      </c>
      <c r="CT20" s="12">
        <f>IF('Données projet'!$A$140&gt;35,CT19+CS20-DB19,IF(A20&lt;'Données projet'!$A$140,$CQ$205^A20,IF(A20='Données projet'!$A$140,'Données projet'!$B$140,CT19+CS20-DB19)))</f>
        <v>12.619655315413629</v>
      </c>
      <c r="CU20" s="17">
        <f>CT20*VLOOKUP('Données projet'!$B$13,Paramètres!$A$1:$I$89,3,0)*VLOOKUP('Données projet'!$B$13,Paramètres!$A$1:$I$89,5,0)</f>
        <v>13.583796981511231</v>
      </c>
      <c r="CV20" s="13">
        <f t="shared" si="41"/>
        <v>4.6205064561168125</v>
      </c>
      <c r="CW20" s="20">
        <f t="shared" si="13"/>
        <v>31.705828487202169</v>
      </c>
      <c r="CX20" s="59">
        <f t="shared" si="14"/>
        <v>325.03916182053547</v>
      </c>
      <c r="CY20" s="59">
        <f ca="1">AVERAGE(OFFSET($CX$3,0,0,'Données projet'!$E$13+1,1))-AVERAGE(OFFSET($H$3,0,0,'Données projet'!$E$13+1,1))</f>
        <v>211.18501783767226</v>
      </c>
      <c r="CZ20" s="59">
        <f t="shared" si="42"/>
        <v>147.98306963466246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18.447692307692307</v>
      </c>
      <c r="N21" s="13">
        <f>IF('Données projet'!$A$36&gt;35,N20+M21-V20,IF(A21&lt;'Données projet'!$A$36,$K$205^A21,IF(A21='Données projet'!$A$36,'Données projet'!$B$36,N20+M21-V20)))</f>
        <v>151.15230769230772</v>
      </c>
      <c r="O21" s="13">
        <f>N21*VLOOKUP('Données projet'!$B$9,Paramètres!$A$1:$I$89,3,0)*VLOOKUP('Données projet'!$B$9,Paramètres!$A$1:$I$89,5,0)</f>
        <v>90.389080000000021</v>
      </c>
      <c r="P21" s="13">
        <f t="shared" si="33"/>
        <v>24.659038148983246</v>
      </c>
      <c r="Q21" s="20">
        <f t="shared" si="2"/>
        <v>200.37547244281248</v>
      </c>
      <c r="R21" s="59">
        <f t="shared" si="0"/>
        <v>493.70880577614582</v>
      </c>
      <c r="S21" s="59">
        <f ca="1">AVERAGE(OFFSET($R$3,0,0,'Données projet'!$E$9+1,1))-AVERAGE(OFFSET($H$3,0,0,'Données projet'!$E$9+1,1))</f>
        <v>182.25704762953387</v>
      </c>
      <c r="T21" s="59">
        <f t="shared" si="34"/>
        <v>265.61788177751134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5.7235443353241253</v>
      </c>
      <c r="AB21" s="21">
        <f>EXP(-LN(2)/2)*AB20+(1-EXP(-LN(2)/2))/(LN(2)/2)*V21*Y21*VLOOKUP('Données projet'!$B$9,Paramètres!$A$1:$I$89,3,0)*0.475*44/12</f>
        <v>3.0442329783594091</v>
      </c>
      <c r="AC21" s="22">
        <f t="shared" si="3"/>
        <v>8.7677773136835349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4.0628205128205126</v>
      </c>
      <c r="AI21" s="13">
        <f>IF('Données projet'!$A$62&gt;35,AI20+AH21-AQ20,IF(A21&lt;'Données projet'!$A$62,$AF$205^A21,IF(A21='Données projet'!$A$62,'Données projet'!$B$62,AI20+AH21-AQ20)))</f>
        <v>17.847168942782186</v>
      </c>
      <c r="AJ21" s="13">
        <f>AI21*VLOOKUP('Données projet'!$B$10,Paramètres!$A$1:$I$89,3,0)*VLOOKUP('Données projet'!$B$10,Paramètres!$A$1:$I$89,5,0)</f>
        <v>18.097029307981138</v>
      </c>
      <c r="AK21" s="13">
        <f t="shared" si="35"/>
        <v>5.9535206738890976</v>
      </c>
      <c r="AL21" s="20">
        <f t="shared" si="4"/>
        <v>41.888041218423993</v>
      </c>
      <c r="AM21" s="59">
        <f t="shared" si="5"/>
        <v>335.22137455175732</v>
      </c>
      <c r="AN21" s="59">
        <f ca="1">AVERAGE(OFFSET($AM$3,0,0,'Données projet'!$E$10+1,1))-AVERAGE(OFFSET($H$3,0,0,'Données projet'!$E$10+1,1))</f>
        <v>263.15518481854753</v>
      </c>
      <c r="AO21" s="59">
        <f t="shared" si="36"/>
        <v>210.80755370263819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4.1500000000000004</v>
      </c>
      <c r="BD21" s="12">
        <f>IF('Données projet'!$A$88&gt;35,BD20+BC21-BL20,IF(A21&lt;'Données projet'!$A$88,$BA$205^A21,IF(A21='Données projet'!$A$88,'Données projet'!$B$88,BD20+BC21-BL20)))</f>
        <v>53.354405252377298</v>
      </c>
      <c r="BE21" s="13">
        <f>BD21*VLOOKUP('Données projet'!$B$11,Paramètres!$A$1:$I$89,3,0)*VLOOKUP('Données projet'!$B$11,Paramètres!$A$1:$I$89,5,0)</f>
        <v>43.281093540728463</v>
      </c>
      <c r="BF21" s="13">
        <f t="shared" si="37"/>
        <v>12.864270887479437</v>
      </c>
      <c r="BG21" s="20">
        <f t="shared" si="7"/>
        <v>97.786509712462092</v>
      </c>
      <c r="BH21" s="59">
        <f t="shared" si="8"/>
        <v>391.11984304579539</v>
      </c>
      <c r="BI21" s="59">
        <f ca="1">AVERAGE(OFFSET($BH$3,0,0,'Données projet'!$E$11+1,1))-AVERAGE(OFFSET($H$3,0,0,'Données projet'!$E$11+1,1))</f>
        <v>203.21935660591021</v>
      </c>
      <c r="BJ21" s="59">
        <f t="shared" si="38"/>
        <v>180.54762778843178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2.9235042735042733</v>
      </c>
      <c r="BY21" s="12">
        <f>IF('Données projet'!$A$114&gt;35,BY20+BX21-CG20,IF(A21&lt;'Données projet'!$A$114,$BV$205^A21,IF(A21='Données projet'!$A$114,'Données projet'!$B$114,BY20+BX21-CG20)))</f>
        <v>14.649236575865659</v>
      </c>
      <c r="BZ21" s="13">
        <f>BY21*VLOOKUP('Données projet'!$B$12,Paramètres!$A$1:$I$89,3,0)*VLOOKUP('Données projet'!$B$12,Paramètres!$A$1:$I$89,5,0)</f>
        <v>15.768438250261795</v>
      </c>
      <c r="CA21" s="13">
        <f t="shared" si="39"/>
        <v>5.2713049834747956</v>
      </c>
      <c r="CB21" s="20">
        <f t="shared" si="10"/>
        <v>36.644219465424563</v>
      </c>
      <c r="CC21" s="59">
        <f t="shared" si="11"/>
        <v>329.97755279875787</v>
      </c>
      <c r="CD21" s="59">
        <f ca="1">AVERAGE(OFFSET($CC$3,0,0,'Données projet'!$E$12+1,1))-AVERAGE(OFFSET($H$3,0,0,'Données projet'!$E$12+1,1))</f>
        <v>211.18501783767226</v>
      </c>
      <c r="CE21" s="59">
        <f t="shared" si="40"/>
        <v>147.98306963466246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2.9235042735042733</v>
      </c>
      <c r="CT21" s="12">
        <f>IF('Données projet'!$A$140&gt;35,CT20+CS21-DB20,IF(A21&lt;'Données projet'!$A$140,$CQ$205^A21,IF(A21='Données projet'!$A$140,'Données projet'!$B$140,CT20+CS21-DB20)))</f>
        <v>14.649236575865659</v>
      </c>
      <c r="CU21" s="17">
        <f>CT21*VLOOKUP('Données projet'!$B$13,Paramètres!$A$1:$I$89,3,0)*VLOOKUP('Données projet'!$B$13,Paramètres!$A$1:$I$89,5,0)</f>
        <v>15.768438250261795</v>
      </c>
      <c r="CV21" s="13">
        <f t="shared" si="41"/>
        <v>5.2713049834747956</v>
      </c>
      <c r="CW21" s="20">
        <f t="shared" si="13"/>
        <v>36.644219465424563</v>
      </c>
      <c r="CX21" s="59">
        <f t="shared" si="14"/>
        <v>329.97755279875787</v>
      </c>
      <c r="CY21" s="59">
        <f ca="1">AVERAGE(OFFSET($CX$3,0,0,'Données projet'!$E$13+1,1))-AVERAGE(OFFSET($H$3,0,0,'Données projet'!$E$13+1,1))</f>
        <v>211.18501783767226</v>
      </c>
      <c r="CZ21" s="59">
        <f t="shared" si="42"/>
        <v>147.98306963466246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169.6</v>
      </c>
      <c r="L22" s="12">
        <f>VLOOKUP(A22,'Données projet'!$A$35:$I$55,9,0)</f>
        <v>18.447692307692307</v>
      </c>
      <c r="M22" s="12">
        <f t="array" ref="M22">INDEX(L:L,MIN(IF(ISNUMBER(L22:L218),ROW(L22:L218),"")))</f>
        <v>18.447692307692307</v>
      </c>
      <c r="N22" s="13">
        <f>IF('Données projet'!$A$36&gt;35,N21+M22-V21,IF(A22&lt;'Données projet'!$A$36,$K$205^A22,IF(A22='Données projet'!$A$36,'Données projet'!$B$36,N21+M22-V21)))</f>
        <v>169.60000000000002</v>
      </c>
      <c r="O22" s="13">
        <f>N22*VLOOKUP('Données projet'!$B$9,Paramètres!$A$1:$I$89,3,0)*VLOOKUP('Données projet'!$B$9,Paramètres!$A$1:$I$89,5,0)</f>
        <v>101.42080000000003</v>
      </c>
      <c r="P22" s="13">
        <f t="shared" si="33"/>
        <v>27.300205128881199</v>
      </c>
      <c r="Q22" s="20">
        <f t="shared" si="2"/>
        <v>224.18908393280142</v>
      </c>
      <c r="R22" s="59">
        <f t="shared" si="0"/>
        <v>517.52241726613477</v>
      </c>
      <c r="S22" s="59">
        <f ca="1">AVERAGE(OFFSET($R$3,0,0,'Données projet'!$E$9+1,1))-AVERAGE(OFFSET($H$3,0,0,'Données projet'!$E$9+1,1))</f>
        <v>182.25704762953387</v>
      </c>
      <c r="T22" s="59">
        <f t="shared" si="34"/>
        <v>265.61788177751134</v>
      </c>
      <c r="U22" s="15">
        <f>IF(ISNA(VLOOKUP(A22,'Données projet'!$A$35:$I$55,3,0)),0,VLOOKUP(A22,'Données projet'!$A$35:$I$55,3,0))</f>
        <v>2</v>
      </c>
      <c r="V22" s="15">
        <f>IF(ISNA(VLOOKUP(A22,'Données projet'!$A$35:$I$55,4,0)),0,VLOOKUP(A22,'Données projet'!$A$35:$I$55,4,0))</f>
        <v>54.907692307692301</v>
      </c>
      <c r="W22" s="16">
        <f>IF(ISNA(VLOOKUP(A22,'Données projet'!$A$35:$I$55,5,0)),0%,VLOOKUP(A22,'Données projet'!$A$35:$I$55,5,0)*VLOOKUP('Données projet'!$B$9,Paramètres!$A$1:$I$89,7,0))</f>
        <v>4.5000000000000005E-2</v>
      </c>
      <c r="X22" s="16">
        <f>IF(ISNA(VLOOKUP(A22,'Données projet'!$A$35:$I$55,6,0)),0%,VLOOKUP(A22,'Données projet'!$A$35:$I$55,6,0)*VLOOKUP('Données projet'!$B$9,Paramètres!$A$1:$I$89,7,0))</f>
        <v>0.20250000000000001</v>
      </c>
      <c r="Y22" s="16">
        <f>IF(ISNA(VLOOKUP(A22,'Données projet'!$A$35:$I$55,7,0)),0%,VLOOKUP(A22,'Données projet'!$A$35:$I$55,7,0))</f>
        <v>0.45</v>
      </c>
      <c r="Z22" s="21">
        <f>EXP(-LN(2)/35)*Z21+(1-EXP(-LN(2)/35))/(LN(2)/35)*V22*W22*VLOOKUP('Données projet'!$B$9,Paramètres!$A$1:$I$89,3,0)*0.475*44/12</f>
        <v>1.9600865361659794</v>
      </c>
      <c r="AA22" s="21">
        <f>EXP(-LN(2)/25)*AA21+(1-EXP(-LN(2)/25))/(LN(2)/25)*Calculateur!V22*Calculateur!X22*VLOOKUP('Données projet'!$B$9,Paramètres!$A$1:$I$89,3,0)*0.475*44/12</f>
        <v>14.352693893283643</v>
      </c>
      <c r="AB22" s="21">
        <f>EXP(-LN(2)/2)*AB21+(1-EXP(-LN(2)/2))/(LN(2)/2)*V22*Y22*VLOOKUP('Données projet'!$B$9,Paramètres!$A$1:$I$89,3,0)*0.475*44/12</f>
        <v>18.88207725177956</v>
      </c>
      <c r="AC22" s="22">
        <f t="shared" si="3"/>
        <v>35.19485768122918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4.0628205128205126</v>
      </c>
      <c r="AI22" s="13">
        <f>IF('Données projet'!$A$62&gt;35,AI21+AH22-AQ21,IF(A22&lt;'Données projet'!$A$62,$AF$205^A22,IF(A22='Données projet'!$A$62,'Données projet'!$B$62,AI21+AH22-AQ21)))</f>
        <v>20.945993500590358</v>
      </c>
      <c r="AJ22" s="13">
        <f>AI22*VLOOKUP('Données projet'!$B$10,Paramètres!$A$1:$I$89,3,0)*VLOOKUP('Données projet'!$B$10,Paramètres!$A$1:$I$89,5,0)</f>
        <v>21.239237409598623</v>
      </c>
      <c r="AK22" s="13">
        <f t="shared" si="35"/>
        <v>6.8582295011208343</v>
      </c>
      <c r="AL22" s="20">
        <f t="shared" si="4"/>
        <v>48.936421536169718</v>
      </c>
      <c r="AM22" s="59">
        <f t="shared" si="5"/>
        <v>342.269754869503</v>
      </c>
      <c r="AN22" s="59">
        <f ca="1">AVERAGE(OFFSET($AM$3,0,0,'Données projet'!$E$10+1,1))-AVERAGE(OFFSET($H$3,0,0,'Données projet'!$E$10+1,1))</f>
        <v>263.15518481854753</v>
      </c>
      <c r="AO22" s="59">
        <f t="shared" si="36"/>
        <v>210.80755370263819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4.1500000000000004</v>
      </c>
      <c r="BD22" s="12">
        <f>IF('Données projet'!$A$88&gt;35,BD21+BC22-BL21,IF(A22&lt;'Données projet'!$A$88,$BA$205^A22,IF(A22='Données projet'!$A$88,'Données projet'!$B$88,BD21+BC22-BL21)))</f>
        <v>66.54634201777975</v>
      </c>
      <c r="BE22" s="13">
        <f>BD22*VLOOKUP('Données projet'!$B$11,Paramètres!$A$1:$I$89,3,0)*VLOOKUP('Données projet'!$B$11,Paramètres!$A$1:$I$89,5,0)</f>
        <v>53.982392644822937</v>
      </c>
      <c r="BF22" s="13">
        <f t="shared" si="37"/>
        <v>15.637598082924665</v>
      </c>
      <c r="BG22" s="20">
        <f t="shared" si="7"/>
        <v>121.2548171841604</v>
      </c>
      <c r="BH22" s="59">
        <f t="shared" si="8"/>
        <v>414.58815051749372</v>
      </c>
      <c r="BI22" s="59">
        <f ca="1">AVERAGE(OFFSET($BH$3,0,0,'Données projet'!$E$11+1,1))-AVERAGE(OFFSET($H$3,0,0,'Données projet'!$E$11+1,1))</f>
        <v>203.21935660591021</v>
      </c>
      <c r="BJ22" s="59">
        <f t="shared" si="38"/>
        <v>180.54762778843178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2.9235042735042733</v>
      </c>
      <c r="BY22" s="12">
        <f>IF('Données projet'!$A$114&gt;35,BY21+BX22-CG21,IF(A22&lt;'Données projet'!$A$114,$BV$205^A22,IF(A22='Données projet'!$A$114,'Données projet'!$B$114,BY21+BX22-CG21)))</f>
        <v>17.005229294461625</v>
      </c>
      <c r="BZ22" s="13">
        <f>BY22*VLOOKUP('Données projet'!$B$12,Paramètres!$A$1:$I$89,3,0)*VLOOKUP('Données projet'!$B$12,Paramètres!$A$1:$I$89,5,0)</f>
        <v>18.304428812558491</v>
      </c>
      <c r="CA22" s="13">
        <f t="shared" si="39"/>
        <v>6.0137685105971697</v>
      </c>
      <c r="CB22" s="20">
        <f t="shared" si="10"/>
        <v>42.354193671162776</v>
      </c>
      <c r="CC22" s="59">
        <f t="shared" si="11"/>
        <v>335.68752700449608</v>
      </c>
      <c r="CD22" s="59">
        <f ca="1">AVERAGE(OFFSET($CC$3,0,0,'Données projet'!$E$12+1,1))-AVERAGE(OFFSET($H$3,0,0,'Données projet'!$E$12+1,1))</f>
        <v>211.18501783767226</v>
      </c>
      <c r="CE22" s="59">
        <f t="shared" si="40"/>
        <v>147.98306963466246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2.9235042735042733</v>
      </c>
      <c r="CT22" s="12">
        <f>IF('Données projet'!$A$140&gt;35,CT21+CS22-DB21,IF(A22&lt;'Données projet'!$A$140,$CQ$205^A22,IF(A22='Données projet'!$A$140,'Données projet'!$B$140,CT21+CS22-DB21)))</f>
        <v>17.005229294461625</v>
      </c>
      <c r="CU22" s="17">
        <f>CT22*VLOOKUP('Données projet'!$B$13,Paramètres!$A$1:$I$89,3,0)*VLOOKUP('Données projet'!$B$13,Paramètres!$A$1:$I$89,5,0)</f>
        <v>18.304428812558491</v>
      </c>
      <c r="CV22" s="13">
        <f t="shared" si="41"/>
        <v>6.0137685105971697</v>
      </c>
      <c r="CW22" s="20">
        <f t="shared" si="13"/>
        <v>42.354193671162776</v>
      </c>
      <c r="CX22" s="59">
        <f t="shared" si="14"/>
        <v>335.68752700449608</v>
      </c>
      <c r="CY22" s="59">
        <f ca="1">AVERAGE(OFFSET($CX$3,0,0,'Données projet'!$E$13+1,1))-AVERAGE(OFFSET($H$3,0,0,'Données projet'!$E$13+1,1))</f>
        <v>211.18501783767226</v>
      </c>
      <c r="CZ22" s="59">
        <f t="shared" si="42"/>
        <v>147.98306963466246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17.520512820512817</v>
      </c>
      <c r="N23" s="13">
        <f>IF('Données projet'!$A$36&gt;35,N22+M23-V22,IF(A23&lt;'Données projet'!$A$36,$K$205^A23,IF(A23='Données projet'!$A$36,'Données projet'!$B$36,N22+M23-V22)))</f>
        <v>132.21282051282054</v>
      </c>
      <c r="O23" s="13">
        <f>N23*VLOOKUP('Données projet'!$B$9,Paramètres!$A$1:$I$89,3,0)*VLOOKUP('Données projet'!$B$9,Paramètres!$A$1:$I$89,5,0)</f>
        <v>79.063266666666692</v>
      </c>
      <c r="P23" s="13">
        <f t="shared" si="33"/>
        <v>21.907991192432455</v>
      </c>
      <c r="Q23" s="20">
        <f t="shared" si="2"/>
        <v>175.85827410459771</v>
      </c>
      <c r="R23" s="59">
        <f t="shared" si="0"/>
        <v>469.191607437931</v>
      </c>
      <c r="S23" s="59">
        <f ca="1">AVERAGE(OFFSET($R$3,0,0,'Données projet'!$E$9+1,1))-AVERAGE(OFFSET($H$3,0,0,'Données projet'!$E$9+1,1))</f>
        <v>182.25704762953387</v>
      </c>
      <c r="T23" s="59">
        <f t="shared" si="34"/>
        <v>265.61788177751134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1.9216504347265024</v>
      </c>
      <c r="AA23" s="21">
        <f>EXP(-LN(2)/25)*AA22+(1-EXP(-LN(2)/25))/(LN(2)/25)*Calculateur!V23*Calculateur!X23*VLOOKUP('Données projet'!$B$9,Paramètres!$A$1:$I$89,3,0)*0.475*44/12</f>
        <v>13.960218723996434</v>
      </c>
      <c r="AB23" s="21">
        <f>EXP(-LN(2)/2)*AB22+(1-EXP(-LN(2)/2))/(LN(2)/2)*V23*Y23*VLOOKUP('Données projet'!$B$9,Paramètres!$A$1:$I$89,3,0)*0.475*44/12</f>
        <v>13.351644867621577</v>
      </c>
      <c r="AC23" s="22">
        <f t="shared" si="3"/>
        <v>29.233514026344512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4.0628205128205126</v>
      </c>
      <c r="AI23" s="13">
        <f>IF('Données projet'!$A$62&gt;35,AI22+AH23-AQ22,IF(A23&lt;'Données projet'!$A$62,$AF$205^A23,IF(A23='Données projet'!$A$62,'Données projet'!$B$62,AI22+AH23-AQ22)))</f>
        <v>24.582870545650774</v>
      </c>
      <c r="AJ23" s="13">
        <f>AI23*VLOOKUP('Données projet'!$B$10,Paramètres!$A$1:$I$89,3,0)*VLOOKUP('Données projet'!$B$10,Paramètres!$A$1:$I$89,5,0)</f>
        <v>24.927030733289886</v>
      </c>
      <c r="AK23" s="13">
        <f t="shared" si="35"/>
        <v>7.900419678784556</v>
      </c>
      <c r="AL23" s="20">
        <f t="shared" si="4"/>
        <v>57.174476134362976</v>
      </c>
      <c r="AM23" s="59">
        <f t="shared" si="5"/>
        <v>350.50780946769629</v>
      </c>
      <c r="AN23" s="59">
        <f ca="1">AVERAGE(OFFSET($AM$3,0,0,'Données projet'!$E$10+1,1))-AVERAGE(OFFSET($H$3,0,0,'Données projet'!$E$10+1,1))</f>
        <v>263.15518481854753</v>
      </c>
      <c r="AO23" s="59">
        <f t="shared" si="36"/>
        <v>210.80755370263819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83</v>
      </c>
      <c r="BB23" s="12">
        <f>VLOOKUP(A23,'Données projet'!$A$87:$I$107,9,0)</f>
        <v>4.1500000000000004</v>
      </c>
      <c r="BC23" s="12">
        <f t="array" ref="BC23">INDEX(BB:BB,MIN(IF(ISNUMBER(BB23:BB219),ROW(BB23:BB219),"")))</f>
        <v>4.1500000000000004</v>
      </c>
      <c r="BD23" s="12">
        <f>IF('Données projet'!$A$88&gt;35,BD22+BC23-BL22,IF(A23&lt;'Données projet'!$A$88,$BA$205^A23,IF(A23='Données projet'!$A$88,'Données projet'!$B$88,BD22+BC23-BL22)))</f>
        <v>83</v>
      </c>
      <c r="BE23" s="13">
        <f>BD23*VLOOKUP('Données projet'!$B$11,Paramètres!$A$1:$I$89,3,0)*VLOOKUP('Données projet'!$B$11,Paramètres!$A$1:$I$89,5,0)</f>
        <v>67.329600000000013</v>
      </c>
      <c r="BF23" s="13">
        <f t="shared" si="37"/>
        <v>19.008809433660961</v>
      </c>
      <c r="BG23" s="20">
        <f t="shared" si="7"/>
        <v>150.37272976362621</v>
      </c>
      <c r="BH23" s="59">
        <f t="shared" si="8"/>
        <v>443.7060630969595</v>
      </c>
      <c r="BI23" s="59">
        <f ca="1">AVERAGE(OFFSET($BH$3,0,0,'Données projet'!$E$11+1,1))-AVERAGE(OFFSET($H$3,0,0,'Données projet'!$E$11+1,1))</f>
        <v>203.21935660591021</v>
      </c>
      <c r="BJ23" s="59">
        <f t="shared" si="38"/>
        <v>180.54762778843178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18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0.1075</v>
      </c>
      <c r="BO23" s="16">
        <f>IF(ISNA(VLOOKUP(A23,'Données projet'!$A$87:$I$107,7,0)),0%,VLOOKUP(A23,'Données projet'!$A$87:$I$107,7,0))</f>
        <v>0.25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1.7283936560348121</v>
      </c>
      <c r="BR23" s="21">
        <f>EXP(-LN(2)/2)*BR22+(1-EXP(-LN(2)/2))/(LN(2)/2)*BL23*BO23*VLOOKUP('Données projet'!$B$11,Paramètres!$A$1:$I$89,3,0)*0.475*44/12</f>
        <v>3.4442506490755087</v>
      </c>
      <c r="BS23" s="22">
        <f t="shared" si="9"/>
        <v>5.172644305110321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2.9235042735042733</v>
      </c>
      <c r="BY23" s="12">
        <f>IF('Données projet'!$A$114&gt;35,BY22+BX23-CG22,IF(A23&lt;'Données projet'!$A$114,$BV$205^A23,IF(A23='Données projet'!$A$114,'Données projet'!$B$114,BY22+BX23-CG22)))</f>
        <v>19.740129245617538</v>
      </c>
      <c r="BZ23" s="13">
        <f>BY23*VLOOKUP('Données projet'!$B$12,Paramètres!$A$1:$I$89,3,0)*VLOOKUP('Données projet'!$B$12,Paramètres!$A$1:$I$89,5,0)</f>
        <v>21.248275119982718</v>
      </c>
      <c r="CA23" s="13">
        <f t="shared" si="39"/>
        <v>6.860808056529903</v>
      </c>
      <c r="CB23" s="20">
        <f t="shared" si="10"/>
        <v>48.956653199092813</v>
      </c>
      <c r="CC23" s="59">
        <f t="shared" si="11"/>
        <v>342.28998653242616</v>
      </c>
      <c r="CD23" s="59">
        <f ca="1">AVERAGE(OFFSET($CC$3,0,0,'Données projet'!$E$12+1,1))-AVERAGE(OFFSET($H$3,0,0,'Données projet'!$E$12+1,1))</f>
        <v>211.18501783767226</v>
      </c>
      <c r="CE23" s="59">
        <f t="shared" si="40"/>
        <v>147.98306963466246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2.9235042735042733</v>
      </c>
      <c r="CT23" s="12">
        <f>IF('Données projet'!$A$140&gt;35,CT22+CS23-DB22,IF(A23&lt;'Données projet'!$A$140,$CQ$205^A23,IF(A23='Données projet'!$A$140,'Données projet'!$B$140,CT22+CS23-DB22)))</f>
        <v>19.740129245617538</v>
      </c>
      <c r="CU23" s="17">
        <f>CT23*VLOOKUP('Données projet'!$B$13,Paramètres!$A$1:$I$89,3,0)*VLOOKUP('Données projet'!$B$13,Paramètres!$A$1:$I$89,5,0)</f>
        <v>21.248275119982718</v>
      </c>
      <c r="CV23" s="13">
        <f t="shared" si="41"/>
        <v>6.860808056529903</v>
      </c>
      <c r="CW23" s="20">
        <f t="shared" si="13"/>
        <v>48.956653199092813</v>
      </c>
      <c r="CX23" s="59">
        <f t="shared" si="14"/>
        <v>342.28998653242616</v>
      </c>
      <c r="CY23" s="59">
        <f ca="1">AVERAGE(OFFSET($CX$3,0,0,'Données projet'!$E$13+1,1))-AVERAGE(OFFSET($H$3,0,0,'Données projet'!$E$13+1,1))</f>
        <v>211.18501783767226</v>
      </c>
      <c r="CZ23" s="59">
        <f t="shared" si="42"/>
        <v>147.98306963466246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17.520512820512817</v>
      </c>
      <c r="N24" s="13">
        <f>IF('Données projet'!$A$36&gt;35,N23+M24-V23,IF(A24&lt;'Données projet'!$A$36,$K$205^A24,IF(A24='Données projet'!$A$36,'Données projet'!$B$36,N23+M24-V23)))</f>
        <v>149.73333333333335</v>
      </c>
      <c r="O24" s="13">
        <f>N24*VLOOKUP('Données projet'!$B$9,Paramètres!$A$1:$I$89,3,0)*VLOOKUP('Données projet'!$B$9,Paramètres!$A$1:$I$89,5,0)</f>
        <v>89.540533333333343</v>
      </c>
      <c r="P24" s="13">
        <f t="shared" si="33"/>
        <v>24.454379710376543</v>
      </c>
      <c r="Q24" s="20">
        <f t="shared" si="2"/>
        <v>198.54114021779469</v>
      </c>
      <c r="R24" s="59">
        <f t="shared" si="0"/>
        <v>491.87447355112801</v>
      </c>
      <c r="S24" s="59">
        <f ca="1">AVERAGE(OFFSET($R$3,0,0,'Données projet'!$E$9+1,1))-AVERAGE(OFFSET($H$3,0,0,'Données projet'!$E$9+1,1))</f>
        <v>182.25704762953387</v>
      </c>
      <c r="T24" s="59">
        <f t="shared" si="34"/>
        <v>265.61788177751134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1.8839680417925466</v>
      </c>
      <c r="AA24" s="21">
        <f>EXP(-LN(2)/25)*AA23+(1-EXP(-LN(2)/25))/(LN(2)/25)*Calculateur!V24*Calculateur!X24*VLOOKUP('Données projet'!$B$9,Paramètres!$A$1:$I$89,3,0)*0.475*44/12</f>
        <v>13.578475808852755</v>
      </c>
      <c r="AB24" s="21">
        <f>EXP(-LN(2)/2)*AB23+(1-EXP(-LN(2)/2))/(LN(2)/2)*V24*Y24*VLOOKUP('Données projet'!$B$9,Paramètres!$A$1:$I$89,3,0)*0.475*44/12</f>
        <v>9.4410386258897816</v>
      </c>
      <c r="AC24" s="22">
        <f t="shared" si="3"/>
        <v>24.903482476535082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4.0628205128205126</v>
      </c>
      <c r="AI24" s="13">
        <f>IF('Données projet'!$A$62&gt;35,AI23+AH24-AQ23,IF(A24&lt;'Données projet'!$A$62,$AF$205^A24,IF(A24='Données projet'!$A$62,'Données projet'!$B$62,AI23+AH24-AQ23)))</f>
        <v>28.851222752799568</v>
      </c>
      <c r="AJ24" s="13">
        <f>AI24*VLOOKUP('Données projet'!$B$10,Paramètres!$A$1:$I$89,3,0)*VLOOKUP('Données projet'!$B$10,Paramètres!$A$1:$I$89,5,0)</f>
        <v>29.255139871338766</v>
      </c>
      <c r="AK24" s="13">
        <f t="shared" si="35"/>
        <v>9.1009831459745705</v>
      </c>
      <c r="AL24" s="20">
        <f t="shared" si="4"/>
        <v>66.803580921820739</v>
      </c>
      <c r="AM24" s="59">
        <f t="shared" si="5"/>
        <v>360.13691425515407</v>
      </c>
      <c r="AN24" s="59">
        <f ca="1">AVERAGE(OFFSET($AM$3,0,0,'Données projet'!$E$10+1,1))-AVERAGE(OFFSET($H$3,0,0,'Données projet'!$E$10+1,1))</f>
        <v>263.15518481854753</v>
      </c>
      <c r="AO24" s="59">
        <f t="shared" si="36"/>
        <v>210.80755370263819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7</v>
      </c>
      <c r="BD24" s="12">
        <f>IF('Données projet'!$A$88&gt;35,BD23+BC24-BL23,IF(A24&lt;'Données projet'!$A$88,$BA$205^A24,IF(A24='Données projet'!$A$88,'Données projet'!$B$88,BD23+BC24-BL23)))</f>
        <v>72</v>
      </c>
      <c r="BE24" s="13">
        <f>BD24*VLOOKUP('Données projet'!$B$11,Paramètres!$A$1:$I$89,3,0)*VLOOKUP('Données projet'!$B$11,Paramètres!$A$1:$I$89,5,0)</f>
        <v>58.406399999999998</v>
      </c>
      <c r="BF24" s="13">
        <f t="shared" si="37"/>
        <v>16.764727871227809</v>
      </c>
      <c r="BG24" s="20">
        <f t="shared" si="7"/>
        <v>130.92304770905511</v>
      </c>
      <c r="BH24" s="59">
        <f t="shared" si="8"/>
        <v>424.2563810423884</v>
      </c>
      <c r="BI24" s="59">
        <f ca="1">AVERAGE(OFFSET($BH$3,0,0,'Données projet'!$E$11+1,1))-AVERAGE(OFFSET($H$3,0,0,'Données projet'!$E$11+1,1))</f>
        <v>203.21935660591021</v>
      </c>
      <c r="BJ24" s="59">
        <f t="shared" si="38"/>
        <v>180.54762778843178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1.681130640618268</v>
      </c>
      <c r="BR24" s="21">
        <f>EXP(-LN(2)/2)*BR23+(1-EXP(-LN(2)/2))/(LN(2)/2)*BL24*BO24*VLOOKUP('Données projet'!$B$11,Paramètres!$A$1:$I$89,3,0)*0.475*44/12</f>
        <v>2.4354529900674602</v>
      </c>
      <c r="BS24" s="22">
        <f t="shared" si="9"/>
        <v>4.116583630685728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2.9235042735042733</v>
      </c>
      <c r="BY24" s="12">
        <f>IF('Données projet'!$A$114&gt;35,BY23+BX24-CG23,IF(A24&lt;'Données projet'!$A$114,$BV$205^A24,IF(A24='Données projet'!$A$114,'Données projet'!$B$114,BY23+BX24-CG23)))</f>
        <v>22.91487494147438</v>
      </c>
      <c r="BZ24" s="13">
        <f>BY24*VLOOKUP('Données projet'!$B$12,Paramètres!$A$1:$I$89,3,0)*VLOOKUP('Données projet'!$B$12,Paramètres!$A$1:$I$89,5,0)</f>
        <v>24.665571387003023</v>
      </c>
      <c r="CA24" s="13">
        <f t="shared" si="39"/>
        <v>7.8271531578909208</v>
      </c>
      <c r="CB24" s="20">
        <f t="shared" si="10"/>
        <v>56.591495249023616</v>
      </c>
      <c r="CC24" s="59">
        <f t="shared" si="11"/>
        <v>349.92482858235695</v>
      </c>
      <c r="CD24" s="59">
        <f ca="1">AVERAGE(OFFSET($CC$3,0,0,'Données projet'!$E$12+1,1))-AVERAGE(OFFSET($H$3,0,0,'Données projet'!$E$12+1,1))</f>
        <v>211.18501783767226</v>
      </c>
      <c r="CE24" s="59">
        <f t="shared" si="40"/>
        <v>147.98306963466246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2.9235042735042733</v>
      </c>
      <c r="CT24" s="12">
        <f>IF('Données projet'!$A$140&gt;35,CT23+CS24-DB23,IF(A24&lt;'Données projet'!$A$140,$CQ$205^A24,IF(A24='Données projet'!$A$140,'Données projet'!$B$140,CT23+CS24-DB23)))</f>
        <v>22.91487494147438</v>
      </c>
      <c r="CU24" s="17">
        <f>CT24*VLOOKUP('Données projet'!$B$13,Paramètres!$A$1:$I$89,3,0)*VLOOKUP('Données projet'!$B$13,Paramètres!$A$1:$I$89,5,0)</f>
        <v>24.665571387003023</v>
      </c>
      <c r="CV24" s="13">
        <f t="shared" si="41"/>
        <v>7.8271531578909208</v>
      </c>
      <c r="CW24" s="20">
        <f t="shared" si="13"/>
        <v>56.591495249023616</v>
      </c>
      <c r="CX24" s="59">
        <f t="shared" si="14"/>
        <v>349.92482858235695</v>
      </c>
      <c r="CY24" s="59">
        <f ca="1">AVERAGE(OFFSET($CX$3,0,0,'Données projet'!$E$13+1,1))-AVERAGE(OFFSET($H$3,0,0,'Données projet'!$E$13+1,1))</f>
        <v>211.18501783767226</v>
      </c>
      <c r="CZ24" s="59">
        <f t="shared" si="42"/>
        <v>147.98306963466246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17.520512820512817</v>
      </c>
      <c r="N25" s="13">
        <f>IF('Données projet'!$A$36&gt;35,N24+M25-V24,IF(A25&lt;'Données projet'!$A$36,$K$205^A25,IF(A25='Données projet'!$A$36,'Données projet'!$B$36,N24+M25-V24)))</f>
        <v>167.25384615384615</v>
      </c>
      <c r="O25" s="13">
        <f>N25*VLOOKUP('Données projet'!$B$9,Paramètres!$A$1:$I$89,3,0)*VLOOKUP('Données projet'!$B$9,Paramètres!$A$1:$I$89,5,0)</f>
        <v>100.01780000000001</v>
      </c>
      <c r="P25" s="13">
        <f t="shared" si="33"/>
        <v>26.966238108966941</v>
      </c>
      <c r="Q25" s="20">
        <f t="shared" si="2"/>
        <v>221.16386637311743</v>
      </c>
      <c r="R25" s="59">
        <f t="shared" si="0"/>
        <v>514.49719970645071</v>
      </c>
      <c r="S25" s="59">
        <f ca="1">AVERAGE(OFFSET($R$3,0,0,'Données projet'!$E$9+1,1))-AVERAGE(OFFSET($H$3,0,0,'Données projet'!$E$9+1,1))</f>
        <v>182.25704762953387</v>
      </c>
      <c r="T25" s="59">
        <f t="shared" si="34"/>
        <v>265.61788177751134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1.8470245776000354</v>
      </c>
      <c r="AA25" s="21">
        <f>EXP(-LN(2)/25)*AA24+(1-EXP(-LN(2)/25))/(LN(2)/25)*Calculateur!V25*Calculateur!X25*VLOOKUP('Données projet'!$B$9,Paramètres!$A$1:$I$89,3,0)*0.475*44/12</f>
        <v>13.207171673798667</v>
      </c>
      <c r="AB25" s="21">
        <f>EXP(-LN(2)/2)*AB24+(1-EXP(-LN(2)/2))/(LN(2)/2)*V25*Y25*VLOOKUP('Données projet'!$B$9,Paramètres!$A$1:$I$89,3,0)*0.475*44/12</f>
        <v>6.6758224338107892</v>
      </c>
      <c r="AC25" s="22">
        <f t="shared" si="3"/>
        <v>21.73001868520949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4.0628205128205126</v>
      </c>
      <c r="AI25" s="13">
        <f>IF('Données projet'!$A$62&gt;35,AI24+AH25-AQ24,IF(A25&lt;'Données projet'!$A$62,$AF$205^A25,IF(A25='Données projet'!$A$62,'Données projet'!$B$62,AI24+AH25-AQ24)))</f>
        <v>33.860693883812012</v>
      </c>
      <c r="AJ25" s="13">
        <f>AI25*VLOOKUP('Données projet'!$B$10,Paramètres!$A$1:$I$89,3,0)*VLOOKUP('Données projet'!$B$10,Paramètres!$A$1:$I$89,5,0)</f>
        <v>34.334743598185383</v>
      </c>
      <c r="AK25" s="13">
        <f t="shared" si="35"/>
        <v>10.48398662234813</v>
      </c>
      <c r="AL25" s="20">
        <f t="shared" si="4"/>
        <v>78.059288467429198</v>
      </c>
      <c r="AM25" s="59">
        <f t="shared" si="5"/>
        <v>371.39262180076253</v>
      </c>
      <c r="AN25" s="59">
        <f ca="1">AVERAGE(OFFSET($AM$3,0,0,'Données projet'!$E$10+1,1))-AVERAGE(OFFSET($H$3,0,0,'Données projet'!$E$10+1,1))</f>
        <v>263.15518481854753</v>
      </c>
      <c r="AO25" s="59">
        <f t="shared" si="36"/>
        <v>210.80755370263819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7</v>
      </c>
      <c r="BD25" s="12">
        <f>IF('Données projet'!$A$88&gt;35,BD24+BC25-BL24,IF(A25&lt;'Données projet'!$A$88,$BA$205^A25,IF(A25='Données projet'!$A$88,'Données projet'!$B$88,BD24+BC25-BL24)))</f>
        <v>79</v>
      </c>
      <c r="BE25" s="13">
        <f>BD25*VLOOKUP('Données projet'!$B$11,Paramètres!$A$1:$I$89,3,0)*VLOOKUP('Données projet'!$B$11,Paramètres!$A$1:$I$89,5,0)</f>
        <v>64.084800000000001</v>
      </c>
      <c r="BF25" s="13">
        <f t="shared" si="37"/>
        <v>18.197042620605469</v>
      </c>
      <c r="BG25" s="20">
        <f t="shared" si="7"/>
        <v>143.30754256422119</v>
      </c>
      <c r="BH25" s="59">
        <f t="shared" si="8"/>
        <v>436.64087589755451</v>
      </c>
      <c r="BI25" s="59">
        <f ca="1">AVERAGE(OFFSET($BH$3,0,0,'Données projet'!$E$11+1,1))-AVERAGE(OFFSET($H$3,0,0,'Données projet'!$E$11+1,1))</f>
        <v>203.21935660591021</v>
      </c>
      <c r="BJ25" s="59">
        <f t="shared" si="38"/>
        <v>180.54762778843178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1.6351600348437434</v>
      </c>
      <c r="BR25" s="21">
        <f>EXP(-LN(2)/2)*BR24+(1-EXP(-LN(2)/2))/(LN(2)/2)*BL25*BO25*VLOOKUP('Données projet'!$B$11,Paramètres!$A$1:$I$89,3,0)*0.475*44/12</f>
        <v>1.7221253245377546</v>
      </c>
      <c r="BS25" s="22">
        <f t="shared" si="9"/>
        <v>3.357285359381498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2.9235042735042733</v>
      </c>
      <c r="BY25" s="12">
        <f>IF('Données projet'!$A$114&gt;35,BY24+BX25-CG24,IF(A25&lt;'Données projet'!$A$114,$BV$205^A25,IF(A25='Données projet'!$A$114,'Données projet'!$B$114,BY24+BX25-CG24)))</f>
        <v>26.600205452048144</v>
      </c>
      <c r="BZ25" s="13">
        <f>BY25*VLOOKUP('Données projet'!$B$12,Paramètres!$A$1:$I$89,3,0)*VLOOKUP('Données projet'!$B$12,Paramètres!$A$1:$I$89,5,0)</f>
        <v>28.632461148584621</v>
      </c>
      <c r="CA25" s="13">
        <f t="shared" si="39"/>
        <v>8.9296080071460899</v>
      </c>
      <c r="CB25" s="20">
        <f t="shared" si="10"/>
        <v>65.420603779564317</v>
      </c>
      <c r="CC25" s="59">
        <f t="shared" si="11"/>
        <v>358.75393711289763</v>
      </c>
      <c r="CD25" s="59">
        <f ca="1">AVERAGE(OFFSET($CC$3,0,0,'Données projet'!$E$12+1,1))-AVERAGE(OFFSET($H$3,0,0,'Données projet'!$E$12+1,1))</f>
        <v>211.18501783767226</v>
      </c>
      <c r="CE25" s="59">
        <f t="shared" si="40"/>
        <v>147.98306963466246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2.9235042735042733</v>
      </c>
      <c r="CT25" s="12">
        <f>IF('Données projet'!$A$140&gt;35,CT24+CS25-DB24,IF(A25&lt;'Données projet'!$A$140,$CQ$205^A25,IF(A25='Données projet'!$A$140,'Données projet'!$B$140,CT24+CS25-DB24)))</f>
        <v>26.600205452048144</v>
      </c>
      <c r="CU25" s="17">
        <f>CT25*VLOOKUP('Données projet'!$B$13,Paramètres!$A$1:$I$89,3,0)*VLOOKUP('Données projet'!$B$13,Paramètres!$A$1:$I$89,5,0)</f>
        <v>28.632461148584621</v>
      </c>
      <c r="CV25" s="13">
        <f t="shared" si="41"/>
        <v>8.9296080071460899</v>
      </c>
      <c r="CW25" s="20">
        <f t="shared" si="13"/>
        <v>65.420603779564317</v>
      </c>
      <c r="CX25" s="59">
        <f t="shared" si="14"/>
        <v>358.75393711289763</v>
      </c>
      <c r="CY25" s="59">
        <f ca="1">AVERAGE(OFFSET($CX$3,0,0,'Données projet'!$E$13+1,1))-AVERAGE(OFFSET($H$3,0,0,'Données projet'!$E$13+1,1))</f>
        <v>211.18501783767226</v>
      </c>
      <c r="CZ25" s="59">
        <f t="shared" si="42"/>
        <v>147.98306963466246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17.520512820512817</v>
      </c>
      <c r="N26" s="13">
        <f>IF('Données projet'!$A$36&gt;35,N25+M26-V25,IF(A26&lt;'Données projet'!$A$36,$K$205^A26,IF(A26='Données projet'!$A$36,'Données projet'!$B$36,N25+M26-V25)))</f>
        <v>184.77435897435896</v>
      </c>
      <c r="O26" s="13">
        <f>N26*VLOOKUP('Données projet'!$B$9,Paramètres!$A$1:$I$89,3,0)*VLOOKUP('Données projet'!$B$9,Paramètres!$A$1:$I$89,5,0)</f>
        <v>110.49506666666666</v>
      </c>
      <c r="P26" s="13">
        <f t="shared" si="33"/>
        <v>29.447595639110826</v>
      </c>
      <c r="Q26" s="20">
        <f t="shared" si="2"/>
        <v>243.73347018256243</v>
      </c>
      <c r="R26" s="59">
        <f t="shared" si="0"/>
        <v>537.0668035158958</v>
      </c>
      <c r="S26" s="59">
        <f ca="1">AVERAGE(OFFSET($R$3,0,0,'Données projet'!$E$9+1,1))-AVERAGE(OFFSET($H$3,0,0,'Données projet'!$E$9+1,1))</f>
        <v>182.25704762953387</v>
      </c>
      <c r="T26" s="59">
        <f t="shared" si="34"/>
        <v>265.61788177751134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1.810805552207051</v>
      </c>
      <c r="AA26" s="21">
        <f>EXP(-LN(2)/25)*AA25+(1-EXP(-LN(2)/25))/(LN(2)/25)*Calculateur!V26*Calculateur!X26*VLOOKUP('Données projet'!$B$9,Paramètres!$A$1:$I$89,3,0)*0.475*44/12</f>
        <v>12.84602086984367</v>
      </c>
      <c r="AB26" s="21">
        <f>EXP(-LN(2)/2)*AB25+(1-EXP(-LN(2)/2))/(LN(2)/2)*V26*Y26*VLOOKUP('Données projet'!$B$9,Paramètres!$A$1:$I$89,3,0)*0.475*44/12</f>
        <v>4.7205193129448908</v>
      </c>
      <c r="AC26" s="22">
        <f t="shared" si="3"/>
        <v>19.377345734995611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4.0628205128205126</v>
      </c>
      <c r="AI26" s="13">
        <f>IF('Données projet'!$A$62&gt;35,AI25+AH26-AQ25,IF(A26&lt;'Données projet'!$A$62,$AF$205^A26,IF(A26='Données projet'!$A$62,'Données projet'!$B$62,AI25+AH26-AQ25)))</f>
        <v>39.739965273463824</v>
      </c>
      <c r="AJ26" s="13">
        <f>AI26*VLOOKUP('Données projet'!$B$10,Paramètres!$A$1:$I$89,3,0)*VLOOKUP('Données projet'!$B$10,Paramètres!$A$1:$I$89,5,0)</f>
        <v>40.29632478729232</v>
      </c>
      <c r="AK26" s="13">
        <f t="shared" si="35"/>
        <v>12.077154054085931</v>
      </c>
      <c r="AL26" s="20">
        <f t="shared" si="4"/>
        <v>91.217142315400451</v>
      </c>
      <c r="AM26" s="59">
        <f t="shared" si="5"/>
        <v>384.55047564873377</v>
      </c>
      <c r="AN26" s="59">
        <f ca="1">AVERAGE(OFFSET($AM$3,0,0,'Données projet'!$E$10+1,1))-AVERAGE(OFFSET($H$3,0,0,'Données projet'!$E$10+1,1))</f>
        <v>263.15518481854753</v>
      </c>
      <c r="AO26" s="59">
        <f t="shared" si="36"/>
        <v>210.80755370263819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7</v>
      </c>
      <c r="BD26" s="12">
        <f>IF('Données projet'!$A$88&gt;35,BD25+BC26-BL25,IF(A26&lt;'Données projet'!$A$88,$BA$205^A26,IF(A26='Données projet'!$A$88,'Données projet'!$B$88,BD25+BC26-BL25)))</f>
        <v>86</v>
      </c>
      <c r="BE26" s="13">
        <f>BD26*VLOOKUP('Données projet'!$B$11,Paramètres!$A$1:$I$89,3,0)*VLOOKUP('Données projet'!$B$11,Paramètres!$A$1:$I$89,5,0)</f>
        <v>69.763199999999998</v>
      </c>
      <c r="BF26" s="13">
        <f t="shared" si="37"/>
        <v>19.614640193079413</v>
      </c>
      <c r="BG26" s="20">
        <f t="shared" si="7"/>
        <v>155.66640500294662</v>
      </c>
      <c r="BH26" s="59">
        <f t="shared" si="8"/>
        <v>448.99973833627996</v>
      </c>
      <c r="BI26" s="59">
        <f ca="1">AVERAGE(OFFSET($BH$3,0,0,'Données projet'!$E$11+1,1))-AVERAGE(OFFSET($H$3,0,0,'Données projet'!$E$11+1,1))</f>
        <v>203.21935660591021</v>
      </c>
      <c r="BJ26" s="59">
        <f t="shared" si="38"/>
        <v>180.54762778843178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1.5904464977016122</v>
      </c>
      <c r="BR26" s="21">
        <f>EXP(-LN(2)/2)*BR25+(1-EXP(-LN(2)/2))/(LN(2)/2)*BL26*BO26*VLOOKUP('Données projet'!$B$11,Paramètres!$A$1:$I$89,3,0)*0.475*44/12</f>
        <v>1.2177264950337303</v>
      </c>
      <c r="BS26" s="22">
        <f t="shared" si="9"/>
        <v>2.8081729927353427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2.9235042735042733</v>
      </c>
      <c r="BY26" s="12">
        <f>IF('Données projet'!$A$114&gt;35,BY25+BX26-CG25,IF(A26&lt;'Données projet'!$A$114,$BV$205^A26,IF(A26='Données projet'!$A$114,'Données projet'!$B$114,BY25+BX26-CG25)))</f>
        <v>30.878236599516239</v>
      </c>
      <c r="BZ26" s="13">
        <f>BY26*VLOOKUP('Données projet'!$B$12,Paramètres!$A$1:$I$89,3,0)*VLOOKUP('Données projet'!$B$12,Paramètres!$A$1:$I$89,5,0)</f>
        <v>33.23733387571928</v>
      </c>
      <c r="CA26" s="13">
        <f t="shared" si="39"/>
        <v>10.187343667972057</v>
      </c>
      <c r="CB26" s="20">
        <f t="shared" si="10"/>
        <v>75.631313388595743</v>
      </c>
      <c r="CC26" s="59">
        <f t="shared" si="11"/>
        <v>368.96464672192906</v>
      </c>
      <c r="CD26" s="59">
        <f ca="1">AVERAGE(OFFSET($CC$3,0,0,'Données projet'!$E$12+1,1))-AVERAGE(OFFSET($H$3,0,0,'Données projet'!$E$12+1,1))</f>
        <v>211.18501783767226</v>
      </c>
      <c r="CE26" s="59">
        <f t="shared" si="40"/>
        <v>147.98306963466246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2.9235042735042733</v>
      </c>
      <c r="CT26" s="12">
        <f>IF('Données projet'!$A$140&gt;35,CT25+CS26-DB25,IF(A26&lt;'Données projet'!$A$140,$CQ$205^A26,IF(A26='Données projet'!$A$140,'Données projet'!$B$140,CT25+CS26-DB25)))</f>
        <v>30.878236599516239</v>
      </c>
      <c r="CU26" s="17">
        <f>CT26*VLOOKUP('Données projet'!$B$13,Paramètres!$A$1:$I$89,3,0)*VLOOKUP('Données projet'!$B$13,Paramètres!$A$1:$I$89,5,0)</f>
        <v>33.23733387571928</v>
      </c>
      <c r="CV26" s="13">
        <f t="shared" si="41"/>
        <v>10.187343667972057</v>
      </c>
      <c r="CW26" s="20">
        <f t="shared" si="13"/>
        <v>75.631313388595743</v>
      </c>
      <c r="CX26" s="59">
        <f t="shared" si="14"/>
        <v>368.96464672192906</v>
      </c>
      <c r="CY26" s="59">
        <f ca="1">AVERAGE(OFFSET($CX$3,0,0,'Données projet'!$E$13+1,1))-AVERAGE(OFFSET($H$3,0,0,'Données projet'!$E$13+1,1))</f>
        <v>211.18501783767226</v>
      </c>
      <c r="CZ26" s="59">
        <f t="shared" si="42"/>
        <v>147.98306963466246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17.520512820512817</v>
      </c>
      <c r="N27" s="13">
        <f>IF('Données projet'!$A$36&gt;35,N26+M27-V26,IF(A27&lt;'Données projet'!$A$36,$K$205^A27,IF(A27='Données projet'!$A$36,'Données projet'!$B$36,N26+M27-V26)))</f>
        <v>202.29487179487177</v>
      </c>
      <c r="O27" s="13">
        <f>N27*VLOOKUP('Données projet'!$B$9,Paramètres!$A$1:$I$89,3,0)*VLOOKUP('Données projet'!$B$9,Paramètres!$A$1:$I$89,5,0)</f>
        <v>120.97233333333334</v>
      </c>
      <c r="P27" s="13">
        <f t="shared" si="33"/>
        <v>31.901673452036796</v>
      </c>
      <c r="Q27" s="20">
        <f t="shared" si="2"/>
        <v>266.25556181785299</v>
      </c>
      <c r="R27" s="59">
        <f t="shared" si="0"/>
        <v>559.58889515118631</v>
      </c>
      <c r="S27" s="59">
        <f ca="1">AVERAGE(OFFSET($R$3,0,0,'Données projet'!$E$9+1,1))-AVERAGE(OFFSET($H$3,0,0,'Données projet'!$E$9+1,1))</f>
        <v>182.25704762953387</v>
      </c>
      <c r="T27" s="59">
        <f t="shared" si="34"/>
        <v>265.61788177751134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1.7752967598105989</v>
      </c>
      <c r="AA27" s="21">
        <f>EXP(-LN(2)/25)*AA26+(1-EXP(-LN(2)/25))/(LN(2)/25)*Calculateur!V27*Calculateur!X27*VLOOKUP('Données projet'!$B$9,Paramètres!$A$1:$I$89,3,0)*0.475*44/12</f>
        <v>12.494745753614918</v>
      </c>
      <c r="AB27" s="21">
        <f>EXP(-LN(2)/2)*AB26+(1-EXP(-LN(2)/2))/(LN(2)/2)*V27*Y27*VLOOKUP('Données projet'!$B$9,Paramètres!$A$1:$I$89,3,0)*0.475*44/12</f>
        <v>3.3379112169053946</v>
      </c>
      <c r="AC27" s="22">
        <f t="shared" si="3"/>
        <v>17.607953730330912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4.0628205128205126</v>
      </c>
      <c r="AI27" s="13">
        <f>IF('Données projet'!$A$62&gt;35,AI26+AH27-AQ26,IF(A27&lt;'Données projet'!$A$62,$AF$205^A27,IF(A27='Données projet'!$A$62,'Données projet'!$B$62,AI26+AH27-AQ26)))</f>
        <v>46.640061345320483</v>
      </c>
      <c r="AJ27" s="13">
        <f>AI27*VLOOKUP('Données projet'!$B$10,Paramètres!$A$1:$I$89,3,0)*VLOOKUP('Données projet'!$B$10,Paramètres!$A$1:$I$89,5,0)</f>
        <v>47.293022204154973</v>
      </c>
      <c r="AK27" s="13">
        <f t="shared" si="35"/>
        <v>13.912422373299071</v>
      </c>
      <c r="AL27" s="20">
        <f t="shared" si="4"/>
        <v>106.5994826390658</v>
      </c>
      <c r="AM27" s="59">
        <f t="shared" si="5"/>
        <v>399.93281597239911</v>
      </c>
      <c r="AN27" s="59">
        <f ca="1">AVERAGE(OFFSET($AM$3,0,0,'Données projet'!$E$10+1,1))-AVERAGE(OFFSET($H$3,0,0,'Données projet'!$E$10+1,1))</f>
        <v>263.15518481854753</v>
      </c>
      <c r="AO27" s="59">
        <f t="shared" si="36"/>
        <v>210.80755370263819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7</v>
      </c>
      <c r="BD27" s="12">
        <f>IF('Données projet'!$A$88&gt;35,BD26+BC27-BL26,IF(A27&lt;'Données projet'!$A$88,$BA$205^A27,IF(A27='Données projet'!$A$88,'Données projet'!$B$88,BD26+BC27-BL26)))</f>
        <v>93</v>
      </c>
      <c r="BE27" s="13">
        <f>BD27*VLOOKUP('Données projet'!$B$11,Paramètres!$A$1:$I$89,3,0)*VLOOKUP('Données projet'!$B$11,Paramètres!$A$1:$I$89,5,0)</f>
        <v>75.441600000000008</v>
      </c>
      <c r="BF27" s="13">
        <f t="shared" si="37"/>
        <v>21.018854688556068</v>
      </c>
      <c r="BG27" s="20">
        <f t="shared" si="7"/>
        <v>168.00195858256848</v>
      </c>
      <c r="BH27" s="59">
        <f t="shared" si="8"/>
        <v>461.33529191590179</v>
      </c>
      <c r="BI27" s="59">
        <f ca="1">AVERAGE(OFFSET($BH$3,0,0,'Données projet'!$E$11+1,1))-AVERAGE(OFFSET($H$3,0,0,'Données projet'!$E$11+1,1))</f>
        <v>203.21935660591021</v>
      </c>
      <c r="BJ27" s="59">
        <f t="shared" si="38"/>
        <v>180.54762778843178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1.5469556545840153</v>
      </c>
      <c r="BR27" s="21">
        <f>EXP(-LN(2)/2)*BR26+(1-EXP(-LN(2)/2))/(LN(2)/2)*BL27*BO27*VLOOKUP('Données projet'!$B$11,Paramètres!$A$1:$I$89,3,0)*0.475*44/12</f>
        <v>0.8610626622688774</v>
      </c>
      <c r="BS27" s="22">
        <f t="shared" si="9"/>
        <v>2.4080183168528926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2.9235042735042733</v>
      </c>
      <c r="BY27" s="12">
        <f>IF('Données projet'!$A$114&gt;35,BY26+BX27-CG26,IF(A27&lt;'Données projet'!$A$114,$BV$205^A27,IF(A27='Données projet'!$A$114,'Données projet'!$B$114,BY26+BX27-CG26)))</f>
        <v>35.844290647096855</v>
      </c>
      <c r="BZ27" s="13">
        <f>BY27*VLOOKUP('Données projet'!$B$12,Paramètres!$A$1:$I$89,3,0)*VLOOKUP('Données projet'!$B$12,Paramètres!$A$1:$I$89,5,0)</f>
        <v>38.582794452535055</v>
      </c>
      <c r="CA27" s="13">
        <f t="shared" si="39"/>
        <v>11.622231449165159</v>
      </c>
      <c r="CB27" s="20">
        <f t="shared" si="10"/>
        <v>87.440420112127867</v>
      </c>
      <c r="CC27" s="59">
        <f t="shared" si="11"/>
        <v>380.77375344546118</v>
      </c>
      <c r="CD27" s="59">
        <f ca="1">AVERAGE(OFFSET($CC$3,0,0,'Données projet'!$E$12+1,1))-AVERAGE(OFFSET($H$3,0,0,'Données projet'!$E$12+1,1))</f>
        <v>211.18501783767226</v>
      </c>
      <c r="CE27" s="59">
        <f t="shared" si="40"/>
        <v>147.98306963466246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2.9235042735042733</v>
      </c>
      <c r="CT27" s="12">
        <f>IF('Données projet'!$A$140&gt;35,CT26+CS27-DB26,IF(A27&lt;'Données projet'!$A$140,$CQ$205^A27,IF(A27='Données projet'!$A$140,'Données projet'!$B$140,CT26+CS27-DB26)))</f>
        <v>35.844290647096855</v>
      </c>
      <c r="CU27" s="17">
        <f>CT27*VLOOKUP('Données projet'!$B$13,Paramètres!$A$1:$I$89,3,0)*VLOOKUP('Données projet'!$B$13,Paramètres!$A$1:$I$89,5,0)</f>
        <v>38.582794452535055</v>
      </c>
      <c r="CV27" s="13">
        <f t="shared" si="41"/>
        <v>11.622231449165159</v>
      </c>
      <c r="CW27" s="20">
        <f t="shared" si="13"/>
        <v>87.440420112127867</v>
      </c>
      <c r="CX27" s="59">
        <f t="shared" si="14"/>
        <v>380.77375344546118</v>
      </c>
      <c r="CY27" s="59">
        <f ca="1">AVERAGE(OFFSET($CX$3,0,0,'Données projet'!$E$13+1,1))-AVERAGE(OFFSET($H$3,0,0,'Données projet'!$E$13+1,1))</f>
        <v>211.18501783767226</v>
      </c>
      <c r="CZ27" s="59">
        <f t="shared" si="42"/>
        <v>147.98306963466246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219.8153846153846</v>
      </c>
      <c r="L28" s="12">
        <f>VLOOKUP(A28,'Données projet'!$A$35:$I$55,9,0)</f>
        <v>17.520512820512817</v>
      </c>
      <c r="M28" s="12">
        <f t="array" ref="M28">INDEX(L:L,MIN(IF(ISNUMBER(L28:L224),ROW(L28:L224),"")))</f>
        <v>17.520512820512817</v>
      </c>
      <c r="N28" s="13">
        <f>IF('Données projet'!$A$36&gt;35,N27+M28-V27,IF(A28&lt;'Données projet'!$A$36,$K$205^A28,IF(A28='Données projet'!$A$36,'Données projet'!$B$36,N27+M28-V27)))</f>
        <v>219.81538461538457</v>
      </c>
      <c r="O28" s="13">
        <f>N28*VLOOKUP('Données projet'!$B$9,Paramètres!$A$1:$I$89,3,0)*VLOOKUP('Données projet'!$B$9,Paramètres!$A$1:$I$89,5,0)</f>
        <v>131.4496</v>
      </c>
      <c r="P28" s="13">
        <f t="shared" si="33"/>
        <v>34.331102847209856</v>
      </c>
      <c r="Q28" s="20">
        <f t="shared" si="2"/>
        <v>288.73472412555719</v>
      </c>
      <c r="R28" s="59">
        <f t="shared" si="0"/>
        <v>582.06805745889051</v>
      </c>
      <c r="S28" s="59">
        <f ca="1">AVERAGE(OFFSET($R$3,0,0,'Données projet'!$E$9+1,1))-AVERAGE(OFFSET($H$3,0,0,'Données projet'!$E$9+1,1))</f>
        <v>182.25704762953387</v>
      </c>
      <c r="T28" s="59">
        <f t="shared" si="34"/>
        <v>265.61788177751134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52.9</v>
      </c>
      <c r="W28" s="16">
        <f>IF(ISNA(VLOOKUP(A28,'Données projet'!$A$35:$I$55,5,0)),0%,VLOOKUP(A28,'Données projet'!$A$35:$I$55,5,0)*VLOOKUP('Données projet'!$B$9,Paramètres!$A$1:$I$89,7,0))</f>
        <v>9.0000000000000011E-2</v>
      </c>
      <c r="X28" s="16">
        <f>IF(ISNA(VLOOKUP(A28,'Données projet'!$A$35:$I$55,6,0)),0%,VLOOKUP(A28,'Données projet'!$A$35:$I$55,6,0)*VLOOKUP('Données projet'!$B$9,Paramètres!$A$1:$I$89,7,0))</f>
        <v>0.18000000000000002</v>
      </c>
      <c r="Y28" s="16">
        <f>IF(ISNA(VLOOKUP(A28,'Données projet'!$A$35:$I$55,7,0)),0%,VLOOKUP(A28,'Données projet'!$A$35:$I$55,7,0))</f>
        <v>0.4</v>
      </c>
      <c r="Z28" s="21">
        <f>EXP(-LN(2)/35)*Z27+(1-EXP(-LN(2)/35))/(LN(2)/35)*V28*W28*VLOOKUP('Données projet'!$B$9,Paramètres!$A$1:$I$89,3,0)*0.475*44/12</f>
        <v>5.517316749838713</v>
      </c>
      <c r="AA28" s="21">
        <f>EXP(-LN(2)/25)*AA27+(1-EXP(-LN(2)/25))/(LN(2)/25)*Calculateur!V28*Calculateur!X28*VLOOKUP('Données projet'!$B$9,Paramètres!$A$1:$I$89,3,0)*0.475*44/12</f>
        <v>19.676999570146744</v>
      </c>
      <c r="AB28" s="21">
        <f>EXP(-LN(2)/2)*AB27+(1-EXP(-LN(2)/2))/(LN(2)/2)*V28*Y28*VLOOKUP('Données projet'!$B$9,Paramètres!$A$1:$I$89,3,0)*0.475*44/12</f>
        <v>16.687164835037137</v>
      </c>
      <c r="AC28" s="22">
        <f t="shared" si="3"/>
        <v>41.881481155022598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4.0628205128205126</v>
      </c>
      <c r="AI28" s="13">
        <f>IF('Données projet'!$A$62&gt;35,AI27+AH28-AQ27,IF(A28&lt;'Données projet'!$A$62,$AF$205^A28,IF(A28='Données projet'!$A$62,'Données projet'!$B$62,AI27+AH28-AQ27)))</f>
        <v>54.738229068051083</v>
      </c>
      <c r="AJ28" s="13">
        <f>AI28*VLOOKUP('Données projet'!$B$10,Paramètres!$A$1:$I$89,3,0)*VLOOKUP('Données projet'!$B$10,Paramètres!$A$1:$I$89,5,0)</f>
        <v>55.504564275003808</v>
      </c>
      <c r="AK28" s="13">
        <f t="shared" si="35"/>
        <v>16.026581711739372</v>
      </c>
      <c r="AL28" s="20">
        <f t="shared" si="4"/>
        <v>124.58341259357769</v>
      </c>
      <c r="AM28" s="59">
        <f t="shared" si="5"/>
        <v>417.91674592691101</v>
      </c>
      <c r="AN28" s="59">
        <f ca="1">AVERAGE(OFFSET($AM$3,0,0,'Données projet'!$E$10+1,1))-AVERAGE(OFFSET($H$3,0,0,'Données projet'!$E$10+1,1))</f>
        <v>263.15518481854753</v>
      </c>
      <c r="AO28" s="59">
        <f t="shared" si="36"/>
        <v>210.80755370263819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7</v>
      </c>
      <c r="BD28" s="12">
        <f>IF('Données projet'!$A$88&gt;35,BD27+BC28-BL27,IF(A28&lt;'Données projet'!$A$88,$BA$205^A28,IF(A28='Données projet'!$A$88,'Données projet'!$B$88,BD27+BC28-BL27)))</f>
        <v>100</v>
      </c>
      <c r="BE28" s="13">
        <f>BD28*VLOOKUP('Données projet'!$B$11,Paramètres!$A$1:$I$89,3,0)*VLOOKUP('Données projet'!$B$11,Paramètres!$A$1:$I$89,5,0)</f>
        <v>81.12</v>
      </c>
      <c r="BF28" s="13">
        <f t="shared" si="37"/>
        <v>22.410807975569174</v>
      </c>
      <c r="BG28" s="20">
        <f t="shared" si="7"/>
        <v>180.31615722411632</v>
      </c>
      <c r="BH28" s="59">
        <f t="shared" si="8"/>
        <v>473.64949055744967</v>
      </c>
      <c r="BI28" s="59">
        <f ca="1">AVERAGE(OFFSET($BH$3,0,0,'Données projet'!$E$11+1,1))-AVERAGE(OFFSET($H$3,0,0,'Données projet'!$E$11+1,1))</f>
        <v>203.21935660591021</v>
      </c>
      <c r="BJ28" s="59">
        <f t="shared" si="38"/>
        <v>180.54762778843178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1.5046540708585532</v>
      </c>
      <c r="BR28" s="21">
        <f>EXP(-LN(2)/2)*BR27+(1-EXP(-LN(2)/2))/(LN(2)/2)*BL28*BO28*VLOOKUP('Données projet'!$B$11,Paramètres!$A$1:$I$89,3,0)*0.475*44/12</f>
        <v>0.60886324751686516</v>
      </c>
      <c r="BS28" s="22">
        <f t="shared" si="9"/>
        <v>2.1135173183754183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2.9235042735042733</v>
      </c>
      <c r="BY28" s="12">
        <f>IF('Données projet'!$A$114&gt;35,BY27+BX28-CG27,IF(A28&lt;'Données projet'!$A$114,$BV$205^A28,IF(A28='Données projet'!$A$114,'Données projet'!$B$114,BY27+BX28-CG27)))</f>
        <v>41.609020251295185</v>
      </c>
      <c r="BZ28" s="13">
        <f>BY28*VLOOKUP('Données projet'!$B$12,Paramètres!$A$1:$I$89,3,0)*VLOOKUP('Données projet'!$B$12,Paramètres!$A$1:$I$89,5,0)</f>
        <v>44.787949398494135</v>
      </c>
      <c r="CA28" s="13">
        <f t="shared" si="39"/>
        <v>13.259223234279354</v>
      </c>
      <c r="CB28" s="20">
        <f t="shared" si="10"/>
        <v>101.09882566874715</v>
      </c>
      <c r="CC28" s="59">
        <f t="shared" si="11"/>
        <v>394.43215900208048</v>
      </c>
      <c r="CD28" s="59">
        <f ca="1">AVERAGE(OFFSET($CC$3,0,0,'Données projet'!$E$12+1,1))-AVERAGE(OFFSET($H$3,0,0,'Données projet'!$E$12+1,1))</f>
        <v>211.18501783767226</v>
      </c>
      <c r="CE28" s="59">
        <f t="shared" si="40"/>
        <v>147.98306963466246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2.9235042735042733</v>
      </c>
      <c r="CT28" s="12">
        <f>IF('Données projet'!$A$140&gt;35,CT27+CS28-DB27,IF(A28&lt;'Données projet'!$A$140,$CQ$205^A28,IF(A28='Données projet'!$A$140,'Données projet'!$B$140,CT27+CS28-DB27)))</f>
        <v>41.609020251295185</v>
      </c>
      <c r="CU28" s="17">
        <f>CT28*VLOOKUP('Données projet'!$B$13,Paramètres!$A$1:$I$89,3,0)*VLOOKUP('Données projet'!$B$13,Paramètres!$A$1:$I$89,5,0)</f>
        <v>44.787949398494135</v>
      </c>
      <c r="CV28" s="13">
        <f t="shared" si="41"/>
        <v>13.259223234279354</v>
      </c>
      <c r="CW28" s="20">
        <f t="shared" si="13"/>
        <v>101.09882566874715</v>
      </c>
      <c r="CX28" s="59">
        <f t="shared" si="14"/>
        <v>394.43215900208048</v>
      </c>
      <c r="CY28" s="59">
        <f ca="1">AVERAGE(OFFSET($CX$3,0,0,'Données projet'!$E$13+1,1))-AVERAGE(OFFSET($H$3,0,0,'Données projet'!$E$13+1,1))</f>
        <v>211.18501783767226</v>
      </c>
      <c r="CZ28" s="59">
        <f t="shared" si="42"/>
        <v>147.98306963466246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16.509890109890112</v>
      </c>
      <c r="N29" s="13">
        <f>IF('Données projet'!$A$36&gt;35,N28+M29-V28,IF(A29&lt;'Données projet'!$A$36,$K$205^A29,IF(A29='Données projet'!$A$36,'Données projet'!$B$36,N28+M29-V28)))</f>
        <v>183.42527472527468</v>
      </c>
      <c r="O29" s="13">
        <f>N29*VLOOKUP('Données projet'!$B$9,Paramètres!$A$1:$I$89,3,0)*VLOOKUP('Données projet'!$B$9,Paramètres!$A$1:$I$89,5,0)</f>
        <v>109.68831428571427</v>
      </c>
      <c r="P29" s="13">
        <f t="shared" si="33"/>
        <v>29.257536864157686</v>
      </c>
      <c r="Q29" s="20">
        <f t="shared" si="2"/>
        <v>241.99735741936033</v>
      </c>
      <c r="R29" s="59">
        <f t="shared" si="0"/>
        <v>535.33069075269361</v>
      </c>
      <c r="S29" s="59">
        <f ca="1">AVERAGE(OFFSET($R$3,0,0,'Données projet'!$E$9+1,1))-AVERAGE(OFFSET($H$3,0,0,'Données projet'!$E$9+1,1))</f>
        <v>182.25704762953387</v>
      </c>
      <c r="T29" s="59">
        <f t="shared" si="34"/>
        <v>265.61788177751134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5.4091255336053043</v>
      </c>
      <c r="AA29" s="21">
        <f>EXP(-LN(2)/25)*AA28+(1-EXP(-LN(2)/25))/(LN(2)/25)*Calculateur!V29*Calculateur!X29*VLOOKUP('Données projet'!$B$9,Paramètres!$A$1:$I$89,3,0)*0.475*44/12</f>
        <v>19.138930982132646</v>
      </c>
      <c r="AB29" s="21">
        <f>EXP(-LN(2)/2)*AB28+(1-EXP(-LN(2)/2))/(LN(2)/2)*V29*Y29*VLOOKUP('Données projet'!$B$9,Paramètres!$A$1:$I$89,3,0)*0.475*44/12</f>
        <v>11.799607413632456</v>
      </c>
      <c r="AC29" s="22">
        <f t="shared" si="3"/>
        <v>36.347663929370405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4.0628205128205126</v>
      </c>
      <c r="AI29" s="13">
        <f>IF('Données projet'!$A$62&gt;35,AI28+AH29-AQ28,IF(A29&lt;'Données projet'!$A$62,$AF$205^A29,IF(A29='Données projet'!$A$62,'Données projet'!$B$62,AI28+AH29-AQ28)))</f>
        <v>64.242491006222849</v>
      </c>
      <c r="AJ29" s="13">
        <f>AI29*VLOOKUP('Données projet'!$B$10,Paramètres!$A$1:$I$89,3,0)*VLOOKUP('Données projet'!$B$10,Paramètres!$A$1:$I$89,5,0)</f>
        <v>65.141885880309971</v>
      </c>
      <c r="AK29" s="13">
        <f t="shared" si="35"/>
        <v>18.462012902656809</v>
      </c>
      <c r="AL29" s="20">
        <f t="shared" si="4"/>
        <v>145.61012371366715</v>
      </c>
      <c r="AM29" s="59">
        <f t="shared" si="5"/>
        <v>438.94345704700049</v>
      </c>
      <c r="AN29" s="59">
        <f ca="1">AVERAGE(OFFSET($AM$3,0,0,'Données projet'!$E$10+1,1))-AVERAGE(OFFSET($H$3,0,0,'Données projet'!$E$10+1,1))</f>
        <v>263.15518481854753</v>
      </c>
      <c r="AO29" s="59">
        <f t="shared" si="36"/>
        <v>210.80755370263819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7</v>
      </c>
      <c r="BD29" s="12">
        <f>IF('Données projet'!$A$88&gt;35,BD28+BC29-BL28,IF(A29&lt;'Données projet'!$A$88,$BA$205^A29,IF(A29='Données projet'!$A$88,'Données projet'!$B$88,BD28+BC29-BL28)))</f>
        <v>107</v>
      </c>
      <c r="BE29" s="13">
        <f>BD29*VLOOKUP('Données projet'!$B$11,Paramètres!$A$1:$I$89,3,0)*VLOOKUP('Données projet'!$B$11,Paramètres!$A$1:$I$89,5,0)</f>
        <v>86.798400000000001</v>
      </c>
      <c r="BF29" s="13">
        <f t="shared" si="37"/>
        <v>23.791455965948352</v>
      </c>
      <c r="BG29" s="20">
        <f t="shared" si="7"/>
        <v>192.61066580735999</v>
      </c>
      <c r="BH29" s="59">
        <f t="shared" si="8"/>
        <v>485.94399914069334</v>
      </c>
      <c r="BI29" s="59">
        <f ca="1">AVERAGE(OFFSET($BH$3,0,0,'Données projet'!$E$11+1,1))-AVERAGE(OFFSET($H$3,0,0,'Données projet'!$E$11+1,1))</f>
        <v>203.21935660591021</v>
      </c>
      <c r="BJ29" s="59">
        <f t="shared" si="38"/>
        <v>180.54762778843178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1.4635092261646074</v>
      </c>
      <c r="BR29" s="21">
        <f>EXP(-LN(2)/2)*BR28+(1-EXP(-LN(2)/2))/(LN(2)/2)*BL29*BO29*VLOOKUP('Données projet'!$B$11,Paramètres!$A$1:$I$89,3,0)*0.475*44/12</f>
        <v>0.4305313311344387</v>
      </c>
      <c r="BS29" s="22">
        <f t="shared" si="9"/>
        <v>1.8940405572990462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2.9235042735042733</v>
      </c>
      <c r="BY29" s="12">
        <f>IF('Données projet'!$A$114&gt;35,BY28+BX29-CG28,IF(A29&lt;'Données projet'!$A$114,$BV$205^A29,IF(A29='Données projet'!$A$114,'Données projet'!$B$114,BY28+BX29-CG28)))</f>
        <v>48.30087400300993</v>
      </c>
      <c r="BZ29" s="13">
        <f>BY29*VLOOKUP('Données projet'!$B$12,Paramètres!$A$1:$I$89,3,0)*VLOOKUP('Données projet'!$B$12,Paramètres!$A$1:$I$89,5,0)</f>
        <v>51.99106077683988</v>
      </c>
      <c r="CA29" s="13">
        <f t="shared" si="39"/>
        <v>15.126785380709476</v>
      </c>
      <c r="CB29" s="20">
        <f t="shared" si="10"/>
        <v>116.89691539106512</v>
      </c>
      <c r="CC29" s="59">
        <f t="shared" si="11"/>
        <v>410.23024872439845</v>
      </c>
      <c r="CD29" s="59">
        <f ca="1">AVERAGE(OFFSET($CC$3,0,0,'Données projet'!$E$12+1,1))-AVERAGE(OFFSET($H$3,0,0,'Données projet'!$E$12+1,1))</f>
        <v>211.18501783767226</v>
      </c>
      <c r="CE29" s="59">
        <f t="shared" si="40"/>
        <v>147.98306963466246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2.9235042735042733</v>
      </c>
      <c r="CT29" s="12">
        <f>IF('Données projet'!$A$140&gt;35,CT28+CS29-DB28,IF(A29&lt;'Données projet'!$A$140,$CQ$205^A29,IF(A29='Données projet'!$A$140,'Données projet'!$B$140,CT28+CS29-DB28)))</f>
        <v>48.30087400300993</v>
      </c>
      <c r="CU29" s="17">
        <f>CT29*VLOOKUP('Données projet'!$B$13,Paramètres!$A$1:$I$89,3,0)*VLOOKUP('Données projet'!$B$13,Paramètres!$A$1:$I$89,5,0)</f>
        <v>51.99106077683988</v>
      </c>
      <c r="CV29" s="13">
        <f t="shared" si="41"/>
        <v>15.126785380709476</v>
      </c>
      <c r="CW29" s="20">
        <f t="shared" si="13"/>
        <v>116.89691539106512</v>
      </c>
      <c r="CX29" s="59">
        <f t="shared" si="14"/>
        <v>410.23024872439845</v>
      </c>
      <c r="CY29" s="59">
        <f ca="1">AVERAGE(OFFSET($CX$3,0,0,'Données projet'!$E$13+1,1))-AVERAGE(OFFSET($H$3,0,0,'Données projet'!$E$13+1,1))</f>
        <v>211.18501783767226</v>
      </c>
      <c r="CZ29" s="59">
        <f t="shared" si="42"/>
        <v>147.98306963466246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16.509890109890112</v>
      </c>
      <c r="N30" s="13">
        <f>IF('Données projet'!$A$36&gt;35,N29+M30-V29,IF(A30&lt;'Données projet'!$A$36,$K$205^A30,IF(A30='Données projet'!$A$36,'Données projet'!$B$36,N29+M30-V29)))</f>
        <v>199.93516483516478</v>
      </c>
      <c r="O30" s="13">
        <f>N30*VLOOKUP('Données projet'!$B$9,Paramètres!$A$1:$I$89,3,0)*VLOOKUP('Données projet'!$B$9,Paramètres!$A$1:$I$89,5,0)</f>
        <v>119.56122857142856</v>
      </c>
      <c r="P30" s="13">
        <f t="shared" si="33"/>
        <v>31.572641256590096</v>
      </c>
      <c r="Q30" s="20">
        <f t="shared" si="2"/>
        <v>263.22482328379914</v>
      </c>
      <c r="R30" s="59">
        <f t="shared" si="0"/>
        <v>556.55815661713245</v>
      </c>
      <c r="S30" s="59">
        <f ca="1">AVERAGE(OFFSET($R$3,0,0,'Données projet'!$E$9+1,1))-AVERAGE(OFFSET($H$3,0,0,'Données projet'!$E$9+1,1))</f>
        <v>182.25704762953387</v>
      </c>
      <c r="T30" s="59">
        <f t="shared" si="34"/>
        <v>265.61788177751134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5.3030558811321065</v>
      </c>
      <c r="AA30" s="21">
        <f>EXP(-LN(2)/25)*AA29+(1-EXP(-LN(2)/25))/(LN(2)/25)*Calculateur!V30*Calculateur!X30*VLOOKUP('Données projet'!$B$9,Paramètres!$A$1:$I$89,3,0)*0.475*44/12</f>
        <v>18.615575907953591</v>
      </c>
      <c r="AB30" s="21">
        <f>EXP(-LN(2)/2)*AB29+(1-EXP(-LN(2)/2))/(LN(2)/2)*V30*Y30*VLOOKUP('Données projet'!$B$9,Paramètres!$A$1:$I$89,3,0)*0.475*44/12</f>
        <v>8.3435824175185704</v>
      </c>
      <c r="AC30" s="22">
        <f t="shared" si="3"/>
        <v>32.26221420660427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4.0628205128205126</v>
      </c>
      <c r="AI30" s="13">
        <f>IF('Données projet'!$A$62&gt;35,AI29+AH30-AQ29,IF(A30&lt;'Données projet'!$A$62,$AF$205^A30,IF(A30='Données projet'!$A$62,'Données projet'!$B$62,AI29+AH30-AQ29)))</f>
        <v>75.396988922564091</v>
      </c>
      <c r="AJ30" s="13">
        <f>AI30*VLOOKUP('Données projet'!$B$10,Paramètres!$A$1:$I$89,3,0)*VLOOKUP('Données projet'!$B$10,Paramètres!$A$1:$I$89,5,0)</f>
        <v>76.452546767480001</v>
      </c>
      <c r="AK30" s="13">
        <f t="shared" si="35"/>
        <v>21.267537054904178</v>
      </c>
      <c r="AL30" s="20">
        <f t="shared" si="4"/>
        <v>170.19581265731912</v>
      </c>
      <c r="AM30" s="59">
        <f t="shared" si="5"/>
        <v>463.52914599065241</v>
      </c>
      <c r="AN30" s="59">
        <f ca="1">AVERAGE(OFFSET($AM$3,0,0,'Données projet'!$E$10+1,1))-AVERAGE(OFFSET($H$3,0,0,'Données projet'!$E$10+1,1))</f>
        <v>263.15518481854753</v>
      </c>
      <c r="AO30" s="59">
        <f t="shared" si="36"/>
        <v>210.80755370263819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7</v>
      </c>
      <c r="BD30" s="12">
        <f>IF('Données projet'!$A$88&gt;35,BD29+BC30-BL29,IF(A30&lt;'Données projet'!$A$88,$BA$205^A30,IF(A30='Données projet'!$A$88,'Données projet'!$B$88,BD29+BC30-BL29)))</f>
        <v>114</v>
      </c>
      <c r="BE30" s="13">
        <f>BD30*VLOOKUP('Données projet'!$B$11,Paramètres!$A$1:$I$89,3,0)*VLOOKUP('Données projet'!$B$11,Paramètres!$A$1:$I$89,5,0)</f>
        <v>92.476800000000011</v>
      </c>
      <c r="BF30" s="13">
        <f t="shared" si="37"/>
        <v>25.161622425346422</v>
      </c>
      <c r="BG30" s="20">
        <f t="shared" si="7"/>
        <v>204.88691905747837</v>
      </c>
      <c r="BH30" s="59">
        <f t="shared" si="8"/>
        <v>498.22025239081165</v>
      </c>
      <c r="BI30" s="59">
        <f ca="1">AVERAGE(OFFSET($BH$3,0,0,'Données projet'!$E$11+1,1))-AVERAGE(OFFSET($H$3,0,0,'Données projet'!$E$11+1,1))</f>
        <v>203.21935660591021</v>
      </c>
      <c r="BJ30" s="59">
        <f t="shared" si="38"/>
        <v>180.54762778843178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1.423489489412531</v>
      </c>
      <c r="BR30" s="21">
        <f>EXP(-LN(2)/2)*BR29+(1-EXP(-LN(2)/2))/(LN(2)/2)*BL30*BO30*VLOOKUP('Données projet'!$B$11,Paramètres!$A$1:$I$89,3,0)*0.475*44/12</f>
        <v>0.30443162375843258</v>
      </c>
      <c r="BS30" s="22">
        <f t="shared" si="9"/>
        <v>1.7279211131709635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2.9235042735042733</v>
      </c>
      <c r="BY30" s="12">
        <f>IF('Données projet'!$A$114&gt;35,BY29+BX30-CG29,IF(A30&lt;'Données projet'!$A$114,$BV$205^A30,IF(A30='Données projet'!$A$114,'Données projet'!$B$114,BY29+BX30-CG29)))</f>
        <v>56.068958494210662</v>
      </c>
      <c r="BZ30" s="13">
        <f>BY30*VLOOKUP('Données projet'!$B$12,Paramètres!$A$1:$I$89,3,0)*VLOOKUP('Données projet'!$B$12,Paramètres!$A$1:$I$89,5,0)</f>
        <v>60.352626923168359</v>
      </c>
      <c r="CA30" s="13">
        <f t="shared" si="39"/>
        <v>17.257393733478565</v>
      </c>
      <c r="CB30" s="20">
        <f t="shared" si="10"/>
        <v>135.17078597699336</v>
      </c>
      <c r="CC30" s="59">
        <f t="shared" si="11"/>
        <v>428.5041193103267</v>
      </c>
      <c r="CD30" s="59">
        <f ca="1">AVERAGE(OFFSET($CC$3,0,0,'Données projet'!$E$12+1,1))-AVERAGE(OFFSET($H$3,0,0,'Données projet'!$E$12+1,1))</f>
        <v>211.18501783767226</v>
      </c>
      <c r="CE30" s="59">
        <f t="shared" si="40"/>
        <v>147.98306963466246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2.9235042735042733</v>
      </c>
      <c r="CT30" s="12">
        <f>IF('Données projet'!$A$140&gt;35,CT29+CS30-DB29,IF(A30&lt;'Données projet'!$A$140,$CQ$205^A30,IF(A30='Données projet'!$A$140,'Données projet'!$B$140,CT29+CS30-DB29)))</f>
        <v>56.068958494210662</v>
      </c>
      <c r="CU30" s="17">
        <f>CT30*VLOOKUP('Données projet'!$B$13,Paramètres!$A$1:$I$89,3,0)*VLOOKUP('Données projet'!$B$13,Paramètres!$A$1:$I$89,5,0)</f>
        <v>60.352626923168359</v>
      </c>
      <c r="CV30" s="13">
        <f t="shared" si="41"/>
        <v>17.257393733478565</v>
      </c>
      <c r="CW30" s="20">
        <f t="shared" si="13"/>
        <v>135.17078597699336</v>
      </c>
      <c r="CX30" s="59">
        <f t="shared" si="14"/>
        <v>428.5041193103267</v>
      </c>
      <c r="CY30" s="59">
        <f ca="1">AVERAGE(OFFSET($CX$3,0,0,'Données projet'!$E$13+1,1))-AVERAGE(OFFSET($H$3,0,0,'Données projet'!$E$13+1,1))</f>
        <v>211.18501783767226</v>
      </c>
      <c r="CZ30" s="59">
        <f t="shared" si="42"/>
        <v>147.98306963466246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16.509890109890112</v>
      </c>
      <c r="N31" s="13">
        <f>IF('Données projet'!$A$36&gt;35,N30+M31-V30,IF(A31&lt;'Données projet'!$A$36,$K$205^A31,IF(A31='Données projet'!$A$36,'Données projet'!$B$36,N30+M31-V30)))</f>
        <v>216.44505494505489</v>
      </c>
      <c r="O31" s="13">
        <f>N31*VLOOKUP('Données projet'!$B$9,Paramètres!$A$1:$I$89,3,0)*VLOOKUP('Données projet'!$B$9,Paramètres!$A$1:$I$89,5,0)</f>
        <v>129.43414285714283</v>
      </c>
      <c r="P31" s="13">
        <f t="shared" si="33"/>
        <v>33.865573183196446</v>
      </c>
      <c r="Q31" s="20">
        <f t="shared" si="2"/>
        <v>284.4136721035909</v>
      </c>
      <c r="R31" s="59">
        <f t="shared" si="0"/>
        <v>577.74700543692416</v>
      </c>
      <c r="S31" s="59">
        <f ca="1">AVERAGE(OFFSET($R$3,0,0,'Données projet'!$E$9+1,1))-AVERAGE(OFFSET($H$3,0,0,'Données projet'!$E$9+1,1))</f>
        <v>182.25704762953387</v>
      </c>
      <c r="T31" s="59">
        <f t="shared" si="34"/>
        <v>265.61788177751134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5.1990661898478088</v>
      </c>
      <c r="AA31" s="21">
        <f>EXP(-LN(2)/25)*AA30+(1-EXP(-LN(2)/25))/(LN(2)/25)*Calculateur!V31*Calculateur!X31*VLOOKUP('Données projet'!$B$9,Paramètres!$A$1:$I$89,3,0)*0.475*44/12</f>
        <v>18.106532005800009</v>
      </c>
      <c r="AB31" s="21">
        <f>EXP(-LN(2)/2)*AB30+(1-EXP(-LN(2)/2))/(LN(2)/2)*V31*Y31*VLOOKUP('Données projet'!$B$9,Paramètres!$A$1:$I$89,3,0)*0.475*44/12</f>
        <v>5.899803706816229</v>
      </c>
      <c r="AC31" s="22">
        <f t="shared" si="3"/>
        <v>29.205401902464047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4.0628205128205126</v>
      </c>
      <c r="AI31" s="13">
        <f>IF('Données projet'!$A$62&gt;35,AI30+AH31-AQ30,IF(A31&lt;'Données projet'!$A$62,$AF$205^A31,IF(A31='Données projet'!$A$62,'Données projet'!$B$62,AI30+AH31-AQ30)))</f>
        <v>88.488255196060223</v>
      </c>
      <c r="AJ31" s="13">
        <f>AI31*VLOOKUP('Données projet'!$B$10,Paramètres!$A$1:$I$89,3,0)*VLOOKUP('Données projet'!$B$10,Paramètres!$A$1:$I$89,5,0)</f>
        <v>89.72709076880507</v>
      </c>
      <c r="AK31" s="13">
        <f t="shared" si="35"/>
        <v>24.499394230010086</v>
      </c>
      <c r="AL31" s="20">
        <f t="shared" si="4"/>
        <v>198.94446137293639</v>
      </c>
      <c r="AM31" s="59">
        <f t="shared" si="5"/>
        <v>492.27779470626967</v>
      </c>
      <c r="AN31" s="59">
        <f ca="1">AVERAGE(OFFSET($AM$3,0,0,'Données projet'!$E$10+1,1))-AVERAGE(OFFSET($H$3,0,0,'Données projet'!$E$10+1,1))</f>
        <v>263.15518481854753</v>
      </c>
      <c r="AO31" s="59">
        <f t="shared" si="36"/>
        <v>210.80755370263819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7</v>
      </c>
      <c r="BD31" s="12">
        <f>IF('Données projet'!$A$88&gt;35,BD30+BC31-BL30,IF(A31&lt;'Données projet'!$A$88,$BA$205^A31,IF(A31='Données projet'!$A$88,'Données projet'!$B$88,BD30+BC31-BL30)))</f>
        <v>121</v>
      </c>
      <c r="BE31" s="13">
        <f>BD31*VLOOKUP('Données projet'!$B$11,Paramètres!$A$1:$I$89,3,0)*VLOOKUP('Données projet'!$B$11,Paramètres!$A$1:$I$89,5,0)</f>
        <v>98.155200000000008</v>
      </c>
      <c r="BF31" s="13">
        <f t="shared" si="37"/>
        <v>26.522024238465775</v>
      </c>
      <c r="BG31" s="20">
        <f t="shared" si="7"/>
        <v>217.14616554866123</v>
      </c>
      <c r="BH31" s="59">
        <f t="shared" si="8"/>
        <v>510.47949888199457</v>
      </c>
      <c r="BI31" s="59">
        <f ca="1">AVERAGE(OFFSET($BH$3,0,0,'Données projet'!$E$11+1,1))-AVERAGE(OFFSET($H$3,0,0,'Données projet'!$E$11+1,1))</f>
        <v>203.21935660591021</v>
      </c>
      <c r="BJ31" s="59">
        <f t="shared" si="38"/>
        <v>180.54762778843178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1.3845640944664865</v>
      </c>
      <c r="BR31" s="21">
        <f>EXP(-LN(2)/2)*BR30+(1-EXP(-LN(2)/2))/(LN(2)/2)*BL31*BO31*VLOOKUP('Données projet'!$B$11,Paramètres!$A$1:$I$89,3,0)*0.475*44/12</f>
        <v>0.21526566556721935</v>
      </c>
      <c r="BS31" s="22">
        <f t="shared" si="9"/>
        <v>1.5998297600337059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2.9235042735042733</v>
      </c>
      <c r="BY31" s="12">
        <f>IF('Données projet'!$A$114&gt;35,BY30+BX31-CG30,IF(A31&lt;'Données projet'!$A$114,$BV$205^A31,IF(A31='Données projet'!$A$114,'Données projet'!$B$114,BY30+BX31-CG30)))</f>
        <v>65.086360682202411</v>
      </c>
      <c r="BZ31" s="13">
        <f>BY31*VLOOKUP('Données projet'!$B$12,Paramètres!$A$1:$I$89,3,0)*VLOOKUP('Données projet'!$B$12,Paramètres!$A$1:$I$89,5,0)</f>
        <v>70.058958638322665</v>
      </c>
      <c r="CA31" s="13">
        <f t="shared" si="39"/>
        <v>19.688098361737783</v>
      </c>
      <c r="CB31" s="20">
        <f t="shared" si="10"/>
        <v>156.30945760843863</v>
      </c>
      <c r="CC31" s="59">
        <f t="shared" si="11"/>
        <v>449.64279094177198</v>
      </c>
      <c r="CD31" s="59">
        <f ca="1">AVERAGE(OFFSET($CC$3,0,0,'Données projet'!$E$12+1,1))-AVERAGE(OFFSET($H$3,0,0,'Données projet'!$E$12+1,1))</f>
        <v>211.18501783767226</v>
      </c>
      <c r="CE31" s="59">
        <f t="shared" si="40"/>
        <v>147.98306963466246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2.9235042735042733</v>
      </c>
      <c r="CT31" s="12">
        <f>IF('Données projet'!$A$140&gt;35,CT30+CS31-DB30,IF(A31&lt;'Données projet'!$A$140,$CQ$205^A31,IF(A31='Données projet'!$A$140,'Données projet'!$B$140,CT30+CS31-DB30)))</f>
        <v>65.086360682202411</v>
      </c>
      <c r="CU31" s="17">
        <f>CT31*VLOOKUP('Données projet'!$B$13,Paramètres!$A$1:$I$89,3,0)*VLOOKUP('Données projet'!$B$13,Paramètres!$A$1:$I$89,5,0)</f>
        <v>70.058958638322665</v>
      </c>
      <c r="CV31" s="13">
        <f t="shared" si="41"/>
        <v>19.688098361737783</v>
      </c>
      <c r="CW31" s="20">
        <f t="shared" si="13"/>
        <v>156.30945760843863</v>
      </c>
      <c r="CX31" s="59">
        <f t="shared" si="14"/>
        <v>449.64279094177198</v>
      </c>
      <c r="CY31" s="59">
        <f ca="1">AVERAGE(OFFSET($CX$3,0,0,'Données projet'!$E$13+1,1))-AVERAGE(OFFSET($H$3,0,0,'Données projet'!$E$13+1,1))</f>
        <v>211.18501783767226</v>
      </c>
      <c r="CZ31" s="59">
        <f t="shared" si="42"/>
        <v>147.98306963466246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16.509890109890112</v>
      </c>
      <c r="N32" s="13">
        <f>IF('Données projet'!$A$36&gt;35,N31+M32-V31,IF(A32&lt;'Données projet'!$A$36,$K$205^A32,IF(A32='Données projet'!$A$36,'Données projet'!$B$36,N31+M32-V31)))</f>
        <v>232.954945054945</v>
      </c>
      <c r="O32" s="13">
        <f>N32*VLOOKUP('Données projet'!$B$9,Paramètres!$A$1:$I$89,3,0)*VLOOKUP('Données projet'!$B$9,Paramètres!$A$1:$I$89,5,0)</f>
        <v>139.3070571428571</v>
      </c>
      <c r="P32" s="13">
        <f t="shared" si="33"/>
        <v>36.138216203973165</v>
      </c>
      <c r="Q32" s="20">
        <f t="shared" si="2"/>
        <v>305.56718441239605</v>
      </c>
      <c r="R32" s="59">
        <f t="shared" si="0"/>
        <v>598.9005177457293</v>
      </c>
      <c r="S32" s="59">
        <f ca="1">AVERAGE(OFFSET($R$3,0,0,'Données projet'!$E$9+1,1))-AVERAGE(OFFSET($H$3,0,0,'Données projet'!$E$9+1,1))</f>
        <v>182.25704762953387</v>
      </c>
      <c r="T32" s="59">
        <f t="shared" si="34"/>
        <v>265.61788177751134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5.097115672982147</v>
      </c>
      <c r="AA32" s="21">
        <f>EXP(-LN(2)/25)*AA31+(1-EXP(-LN(2)/25))/(LN(2)/25)*Calculateur!V32*Calculateur!X32*VLOOKUP('Données projet'!$B$9,Paramètres!$A$1:$I$89,3,0)*0.475*44/12</f>
        <v>17.611407935920273</v>
      </c>
      <c r="AB32" s="21">
        <f>EXP(-LN(2)/2)*AB31+(1-EXP(-LN(2)/2))/(LN(2)/2)*V32*Y32*VLOOKUP('Données projet'!$B$9,Paramètres!$A$1:$I$89,3,0)*0.475*44/12</f>
        <v>4.1717912087592852</v>
      </c>
      <c r="AC32" s="22">
        <f t="shared" si="3"/>
        <v>26.880314817661702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4.0628205128205126</v>
      </c>
      <c r="AI32" s="13">
        <f>IF('Données projet'!$A$62&gt;35,AI31+AH32-AQ31,IF(A32&lt;'Données projet'!$A$62,$AF$205^A32,IF(A32='Données projet'!$A$62,'Données projet'!$B$62,AI31+AH32-AQ31)))</f>
        <v>103.85257315361756</v>
      </c>
      <c r="AJ32" s="13">
        <f>AI32*VLOOKUP('Données projet'!$B$10,Paramètres!$A$1:$I$89,3,0)*VLOOKUP('Données projet'!$B$10,Paramètres!$A$1:$I$89,5,0)</f>
        <v>105.30650917776822</v>
      </c>
      <c r="AK32" s="13">
        <f t="shared" si="35"/>
        <v>28.222370840964146</v>
      </c>
      <c r="AL32" s="20">
        <f t="shared" si="4"/>
        <v>232.56279936595885</v>
      </c>
      <c r="AM32" s="59">
        <f t="shared" si="5"/>
        <v>525.89613269929214</v>
      </c>
      <c r="AN32" s="59">
        <f ca="1">AVERAGE(OFFSET($AM$3,0,0,'Données projet'!$E$10+1,1))-AVERAGE(OFFSET($H$3,0,0,'Données projet'!$E$10+1,1))</f>
        <v>263.15518481854753</v>
      </c>
      <c r="AO32" s="59">
        <f t="shared" si="36"/>
        <v>210.80755370263819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7</v>
      </c>
      <c r="BD32" s="12">
        <f>IF('Données projet'!$A$88&gt;35,BD31+BC32-BL31,IF(A32&lt;'Données projet'!$A$88,$BA$205^A32,IF(A32='Données projet'!$A$88,'Données projet'!$B$88,BD31+BC32-BL31)))</f>
        <v>128</v>
      </c>
      <c r="BE32" s="13">
        <f>BD32*VLOOKUP('Données projet'!$B$11,Paramètres!$A$1:$I$89,3,0)*VLOOKUP('Données projet'!$B$11,Paramètres!$A$1:$I$89,5,0)</f>
        <v>103.8336</v>
      </c>
      <c r="BF32" s="13">
        <f t="shared" si="37"/>
        <v>27.873290659436211</v>
      </c>
      <c r="BG32" s="20">
        <f t="shared" si="7"/>
        <v>229.38950123185143</v>
      </c>
      <c r="BH32" s="59">
        <f t="shared" si="8"/>
        <v>522.72283456518471</v>
      </c>
      <c r="BI32" s="59">
        <f ca="1">AVERAGE(OFFSET($BH$3,0,0,'Données projet'!$E$11+1,1))-AVERAGE(OFFSET($H$3,0,0,'Données projet'!$E$11+1,1))</f>
        <v>203.21935660591021</v>
      </c>
      <c r="BJ32" s="59">
        <f t="shared" si="38"/>
        <v>180.54762778843178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1.3467031164922392</v>
      </c>
      <c r="BR32" s="21">
        <f>EXP(-LN(2)/2)*BR31+(1-EXP(-LN(2)/2))/(LN(2)/2)*BL32*BO32*VLOOKUP('Données projet'!$B$11,Paramètres!$A$1:$I$89,3,0)*0.475*44/12</f>
        <v>0.15221581187921629</v>
      </c>
      <c r="BS32" s="22">
        <f t="shared" si="9"/>
        <v>1.4989189283714555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2.9235042735042733</v>
      </c>
      <c r="BY32" s="12">
        <f>IF('Données projet'!$A$114&gt;35,BY31+BX32-CG31,IF(A32&lt;'Données projet'!$A$114,$BV$205^A32,IF(A32='Données projet'!$A$114,'Données projet'!$B$114,BY31+BX32-CG31)))</f>
        <v>75.55400457975604</v>
      </c>
      <c r="BZ32" s="13">
        <f>BY32*VLOOKUP('Données projet'!$B$12,Paramètres!$A$1:$I$89,3,0)*VLOOKUP('Données projet'!$B$12,Paramètres!$A$1:$I$89,5,0)</f>
        <v>81.326330529649397</v>
      </c>
      <c r="CA32" s="13">
        <f t="shared" si="39"/>
        <v>22.461167838425933</v>
      </c>
      <c r="CB32" s="20">
        <f t="shared" si="10"/>
        <v>180.76322632439783</v>
      </c>
      <c r="CC32" s="59">
        <f t="shared" si="11"/>
        <v>474.09655965773118</v>
      </c>
      <c r="CD32" s="59">
        <f ca="1">AVERAGE(OFFSET($CC$3,0,0,'Données projet'!$E$12+1,1))-AVERAGE(OFFSET($H$3,0,0,'Données projet'!$E$12+1,1))</f>
        <v>211.18501783767226</v>
      </c>
      <c r="CE32" s="59">
        <f t="shared" si="40"/>
        <v>147.98306963466246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2.9235042735042733</v>
      </c>
      <c r="CT32" s="12">
        <f>IF('Données projet'!$A$140&gt;35,CT31+CS32-DB31,IF(A32&lt;'Données projet'!$A$140,$CQ$205^A32,IF(A32='Données projet'!$A$140,'Données projet'!$B$140,CT31+CS32-DB31)))</f>
        <v>75.55400457975604</v>
      </c>
      <c r="CU32" s="17">
        <f>CT32*VLOOKUP('Données projet'!$B$13,Paramètres!$A$1:$I$89,3,0)*VLOOKUP('Données projet'!$B$13,Paramètres!$A$1:$I$89,5,0)</f>
        <v>81.326330529649397</v>
      </c>
      <c r="CV32" s="13">
        <f t="shared" si="41"/>
        <v>22.461167838425933</v>
      </c>
      <c r="CW32" s="20">
        <f t="shared" si="13"/>
        <v>180.76322632439783</v>
      </c>
      <c r="CX32" s="59">
        <f t="shared" si="14"/>
        <v>474.09655965773118</v>
      </c>
      <c r="CY32" s="59">
        <f ca="1">AVERAGE(OFFSET($CX$3,0,0,'Données projet'!$E$13+1,1))-AVERAGE(OFFSET($H$3,0,0,'Données projet'!$E$13+1,1))</f>
        <v>211.18501783767226</v>
      </c>
      <c r="CZ32" s="59">
        <f t="shared" si="42"/>
        <v>147.98306963466246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16.509890109890112</v>
      </c>
      <c r="N33" s="13">
        <f>IF('Données projet'!$A$36&gt;35,N32+M33-V32,IF(A33&lt;'Données projet'!$A$36,$K$205^A33,IF(A33='Données projet'!$A$36,'Données projet'!$B$36,N32+M33-V32)))</f>
        <v>249.46483516483511</v>
      </c>
      <c r="O33" s="13">
        <f>N33*VLOOKUP('Données projet'!$B$9,Paramètres!$A$1:$I$89,3,0)*VLOOKUP('Données projet'!$B$9,Paramètres!$A$1:$I$89,5,0)</f>
        <v>149.17997142857141</v>
      </c>
      <c r="P33" s="13">
        <f t="shared" si="33"/>
        <v>38.392171771867616</v>
      </c>
      <c r="Q33" s="20">
        <f t="shared" si="2"/>
        <v>326.68814940743124</v>
      </c>
      <c r="R33" s="59">
        <f t="shared" si="0"/>
        <v>620.02148274076455</v>
      </c>
      <c r="S33" s="59">
        <f ca="1">AVERAGE(OFFSET($R$3,0,0,'Données projet'!$E$9+1,1))-AVERAGE(OFFSET($H$3,0,0,'Données projet'!$E$9+1,1))</f>
        <v>182.25704762953387</v>
      </c>
      <c r="T33" s="59">
        <f t="shared" si="34"/>
        <v>265.61788177751134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4.9971643435685458</v>
      </c>
      <c r="AA33" s="21">
        <f>EXP(-LN(2)/25)*AA32+(1-EXP(-LN(2)/25))/(LN(2)/25)*Calculateur!V33*Calculateur!X33*VLOOKUP('Données projet'!$B$9,Paramètres!$A$1:$I$89,3,0)*0.475*44/12</f>
        <v>17.129823059768842</v>
      </c>
      <c r="AB33" s="21">
        <f>EXP(-LN(2)/2)*AB32+(1-EXP(-LN(2)/2))/(LN(2)/2)*V33*Y33*VLOOKUP('Données projet'!$B$9,Paramètres!$A$1:$I$89,3,0)*0.475*44/12</f>
        <v>2.9499018534081145</v>
      </c>
      <c r="AC33" s="22">
        <f t="shared" si="3"/>
        <v>25.076889256745503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121.88461538461537</v>
      </c>
      <c r="AG33" s="12">
        <f>VLOOKUP(A33,'Données projet'!$A$61:$I$81,9,0)</f>
        <v>4.0628205128205126</v>
      </c>
      <c r="AH33" s="12">
        <f t="array" ref="AH33">INDEX(AG:AG,MIN(IF(ISNUMBER(AG33:AG229),ROW(AG33:AG229),"")))</f>
        <v>4.0628205128205126</v>
      </c>
      <c r="AI33" s="13">
        <f>IF('Données projet'!$A$62&gt;35,AI32+AH33-AQ32,IF(A33&lt;'Données projet'!$A$62,$AF$205^A33,IF(A33='Données projet'!$A$62,'Données projet'!$B$62,AI32+AH33-AQ32)))</f>
        <v>121.88461538461537</v>
      </c>
      <c r="AJ33" s="13">
        <f>AI33*VLOOKUP('Données projet'!$B$10,Paramètres!$A$1:$I$89,3,0)*VLOOKUP('Données projet'!$B$10,Paramètres!$A$1:$I$89,5,0)</f>
        <v>123.59099999999999</v>
      </c>
      <c r="AK33" s="13">
        <f t="shared" si="35"/>
        <v>32.511098372760657</v>
      </c>
      <c r="AL33" s="20">
        <f t="shared" si="4"/>
        <v>271.87782133255809</v>
      </c>
      <c r="AM33" s="59">
        <f t="shared" si="5"/>
        <v>565.2111546658914</v>
      </c>
      <c r="AN33" s="59">
        <f ca="1">AVERAGE(OFFSET($AM$3,0,0,'Données projet'!$E$10+1,1))-AVERAGE(OFFSET($H$3,0,0,'Données projet'!$E$10+1,1))</f>
        <v>263.15518481854753</v>
      </c>
      <c r="AO33" s="59">
        <f t="shared" si="36"/>
        <v>210.80755370263819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135</v>
      </c>
      <c r="BB33" s="12">
        <f>VLOOKUP(A33,'Données projet'!$A$87:$I$107,9,0)</f>
        <v>7</v>
      </c>
      <c r="BC33" s="12">
        <f t="array" ref="BC33">INDEX(BB:BB,MIN(IF(ISNUMBER(BB33:BB229),ROW(BB33:BB229),"")))</f>
        <v>7</v>
      </c>
      <c r="BD33" s="12">
        <f>IF('Données projet'!$A$88&gt;35,BD32+BC33-BL32,IF(A33&lt;'Données projet'!$A$88,$BA$205^A33,IF(A33='Données projet'!$A$88,'Données projet'!$B$88,BD32+BC33-BL32)))</f>
        <v>135</v>
      </c>
      <c r="BE33" s="13">
        <f>BD33*VLOOKUP('Données projet'!$B$11,Paramètres!$A$1:$I$89,3,0)*VLOOKUP('Données projet'!$B$11,Paramètres!$A$1:$I$89,5,0)</f>
        <v>109.51200000000001</v>
      </c>
      <c r="BF33" s="13">
        <f t="shared" si="37"/>
        <v>29.215978230632555</v>
      </c>
      <c r="BG33" s="20">
        <f t="shared" si="7"/>
        <v>241.61789541835174</v>
      </c>
      <c r="BH33" s="59">
        <f t="shared" si="8"/>
        <v>534.95122875168499</v>
      </c>
      <c r="BI33" s="59">
        <f ca="1">AVERAGE(OFFSET($BH$3,0,0,'Données projet'!$E$11+1,1))-AVERAGE(OFFSET($H$3,0,0,'Données projet'!$E$11+1,1))</f>
        <v>203.21935660591021</v>
      </c>
      <c r="BJ33" s="59">
        <f t="shared" si="38"/>
        <v>180.54762778843178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26</v>
      </c>
      <c r="BM33" s="16">
        <f>IF(ISNA(VLOOKUP(A33,'Données projet'!$A$87:$I$107,5,0)),0%,VLOOKUP(A33,'Données projet'!$A$87:$I$107,5,0)*VLOOKUP('Données projet'!$B$11,Paramètres!$A$1:$I$89,7,0))</f>
        <v>4.3000000000000003E-2</v>
      </c>
      <c r="BN33" s="16">
        <f>IF(ISNA(VLOOKUP(A33,'Données projet'!$A$87:$I$107,6,0)),0%,VLOOKUP(A33,'Données projet'!$A$87:$I$107,6,0)*VLOOKUP('Données projet'!$B$11,Paramètres!$A$1:$I$89,7,0))</f>
        <v>0.19350000000000001</v>
      </c>
      <c r="BO33" s="16">
        <f>IF(ISNA(VLOOKUP(A33,'Données projet'!$A$87:$I$107,7,0)),0%,VLOOKUP(A33,'Données projet'!$A$87:$I$107,7,0))</f>
        <v>0.45</v>
      </c>
      <c r="BP33" s="21">
        <f>EXP(-LN(2)/35)*BP32+(1-EXP(-LN(2)/35))/(LN(2)/35)*BL33*BM33*VLOOKUP('Données projet'!$B$11,Paramètres!$A$1:$I$89,3,0)*0.475*44/12</f>
        <v>1.0025749653586304</v>
      </c>
      <c r="BQ33" s="21">
        <f>EXP(-LN(2)/25)*BQ32+(1-EXP(-LN(2)/25))/(LN(2)/25)*Calculateur!BL33*Calculateur!BN33*VLOOKUP('Données projet'!$B$11,Paramètres!$A$1:$I$89,3,0)*0.475*44/12</f>
        <v>5.8037009546422311</v>
      </c>
      <c r="BR33" s="21">
        <f>EXP(-LN(2)/2)*BR32+(1-EXP(-LN(2)/2))/(LN(2)/2)*BL33*BO33*VLOOKUP('Données projet'!$B$11,Paramètres!$A$1:$I$89,3,0)*0.475*44/12</f>
        <v>9.0626845203799338</v>
      </c>
      <c r="BS33" s="22">
        <f t="shared" si="9"/>
        <v>15.868960440380796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87.705128205128204</v>
      </c>
      <c r="BW33" s="12">
        <f>VLOOKUP(A33,'Données projet'!$A$113:$I$133,9,0)</f>
        <v>2.9235042735042733</v>
      </c>
      <c r="BX33" s="12">
        <f t="array" ref="BX33">INDEX(BW:BW,MIN(IF(ISNUMBER(BW33:BW229),ROW(BW33:BW229),"")))</f>
        <v>2.9235042735042733</v>
      </c>
      <c r="BY33" s="12">
        <f>IF('Données projet'!$A$114&gt;35,BY32+BX33-CG32,IF(A33&lt;'Données projet'!$A$114,$BV$205^A33,IF(A33='Données projet'!$A$114,'Données projet'!$B$114,BY32+BX33-CG32)))</f>
        <v>87.705128205128204</v>
      </c>
      <c r="BZ33" s="13">
        <f>BY33*VLOOKUP('Données projet'!$B$12,Paramètres!$A$1:$I$89,3,0)*VLOOKUP('Données projet'!$B$12,Paramètres!$A$1:$I$89,5,0)</f>
        <v>94.405799999999999</v>
      </c>
      <c r="CA33" s="13">
        <f t="shared" si="39"/>
        <v>25.624824266745868</v>
      </c>
      <c r="CB33" s="20">
        <f t="shared" si="10"/>
        <v>209.05333726458238</v>
      </c>
      <c r="CC33" s="59">
        <f t="shared" si="11"/>
        <v>502.38667059791567</v>
      </c>
      <c r="CD33" s="59">
        <f ca="1">AVERAGE(OFFSET($CC$3,0,0,'Données projet'!$E$12+1,1))-AVERAGE(OFFSET($H$3,0,0,'Données projet'!$E$12+1,1))</f>
        <v>211.18501783767226</v>
      </c>
      <c r="CE33" s="59">
        <f t="shared" si="40"/>
        <v>147.98306963466246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87.705128205128204</v>
      </c>
      <c r="CR33" s="12">
        <f>VLOOKUP(A33,'Données projet'!$A$139:$I$159,9,0)</f>
        <v>2.9235042735042733</v>
      </c>
      <c r="CS33" s="12">
        <f t="array" ref="CS33">INDEX(CR:CR,MIN(IF(ISNUMBER(CR33:CR229),ROW(CR33:CR229),"")))</f>
        <v>2.9235042735042733</v>
      </c>
      <c r="CT33" s="12">
        <f>IF('Données projet'!$A$140&gt;35,CT32+CS33-DB32,IF(A33&lt;'Données projet'!$A$140,$CQ$205^A33,IF(A33='Données projet'!$A$140,'Données projet'!$B$140,CT32+CS33-DB32)))</f>
        <v>87.705128205128204</v>
      </c>
      <c r="CU33" s="17">
        <f>CT33*VLOOKUP('Données projet'!$B$13,Paramètres!$A$1:$I$89,3,0)*VLOOKUP('Données projet'!$B$13,Paramètres!$A$1:$I$89,5,0)</f>
        <v>94.405799999999999</v>
      </c>
      <c r="CV33" s="13">
        <f t="shared" si="41"/>
        <v>25.624824266745868</v>
      </c>
      <c r="CW33" s="20">
        <f t="shared" si="13"/>
        <v>209.05333726458238</v>
      </c>
      <c r="CX33" s="59">
        <f t="shared" si="14"/>
        <v>502.38667059791567</v>
      </c>
      <c r="CY33" s="59">
        <f ca="1">AVERAGE(OFFSET($CX$3,0,0,'Données projet'!$E$13+1,1))-AVERAGE(OFFSET($H$3,0,0,'Données projet'!$E$13+1,1))</f>
        <v>211.18501783767226</v>
      </c>
      <c r="CZ33" s="59">
        <f t="shared" si="42"/>
        <v>147.98306963466246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16.509890109890112</v>
      </c>
      <c r="N34" s="13">
        <f>IF('Données projet'!$A$36&gt;35,N33+M34-V33,IF(A34&lt;'Données projet'!$A$36,$K$205^A34,IF(A34='Données projet'!$A$36,'Données projet'!$B$36,N33+M34-V33)))</f>
        <v>265.97472527472524</v>
      </c>
      <c r="O34" s="13">
        <f>N34*VLOOKUP('Données projet'!$B$9,Paramètres!$A$1:$I$89,3,0)*VLOOKUP('Données projet'!$B$9,Paramètres!$A$1:$I$89,5,0)</f>
        <v>159.05288571428571</v>
      </c>
      <c r="P34" s="13">
        <f t="shared" si="33"/>
        <v>40.628817376911122</v>
      </c>
      <c r="Q34" s="20">
        <f t="shared" si="2"/>
        <v>347.77896621716781</v>
      </c>
      <c r="R34" s="59">
        <f t="shared" si="0"/>
        <v>641.11229955050112</v>
      </c>
      <c r="S34" s="59">
        <f ca="1">AVERAGE(OFFSET($R$3,0,0,'Données projet'!$E$9+1,1))-AVERAGE(OFFSET($H$3,0,0,'Données projet'!$E$9+1,1))</f>
        <v>182.25704762953387</v>
      </c>
      <c r="T34" s="59">
        <f t="shared" si="34"/>
        <v>265.61788177751134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4.899172998760454</v>
      </c>
      <c r="AA34" s="21">
        <f>EXP(-LN(2)/25)*AA33+(1-EXP(-LN(2)/25))/(LN(2)/25)*Calculateur!V34*Calculateur!X34*VLOOKUP('Données projet'!$B$9,Paramètres!$A$1:$I$89,3,0)*0.475*44/12</f>
        <v>16.661407147381219</v>
      </c>
      <c r="AB34" s="21">
        <f>EXP(-LN(2)/2)*AB33+(1-EXP(-LN(2)/2))/(LN(2)/2)*V34*Y34*VLOOKUP('Données projet'!$B$9,Paramètres!$A$1:$I$89,3,0)*0.475*44/12</f>
        <v>2.0858956043796426</v>
      </c>
      <c r="AC34" s="22">
        <f t="shared" si="3"/>
        <v>23.646475750521319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8.0564102564102562</v>
      </c>
      <c r="AI34" s="13">
        <f>IF('Données projet'!$A$62&gt;35,AI33+AH34-AQ33,IF(A34&lt;'Données projet'!$A$62,$AF$205^A34,IF(A34='Données projet'!$A$62,'Données projet'!$B$62,AI33+AH34-AQ33)))</f>
        <v>129.94102564102562</v>
      </c>
      <c r="AJ34" s="13">
        <f>AI34*VLOOKUP('Données projet'!$B$10,Paramètres!$A$1:$I$89,3,0)*VLOOKUP('Données projet'!$B$10,Paramètres!$A$1:$I$89,5,0)</f>
        <v>131.7602</v>
      </c>
      <c r="AK34" s="13">
        <f t="shared" si="35"/>
        <v>34.402770960054035</v>
      </c>
      <c r="AL34" s="20">
        <f t="shared" si="4"/>
        <v>289.40050775542738</v>
      </c>
      <c r="AM34" s="59">
        <f t="shared" si="5"/>
        <v>582.73384108876076</v>
      </c>
      <c r="AN34" s="59">
        <f ca="1">AVERAGE(OFFSET($AM$3,0,0,'Données projet'!$E$10+1,1))-AVERAGE(OFFSET($H$3,0,0,'Données projet'!$E$10+1,1))</f>
        <v>263.15518481854753</v>
      </c>
      <c r="AO34" s="59">
        <f t="shared" si="36"/>
        <v>210.80755370263819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7.2</v>
      </c>
      <c r="BD34" s="12">
        <f>IF('Données projet'!$A$88&gt;35,BD33+BC34-BL33,IF(A34&lt;'Données projet'!$A$88,$BA$205^A34,IF(A34='Données projet'!$A$88,'Données projet'!$B$88,BD33+BC34-BL33)))</f>
        <v>116.19999999999999</v>
      </c>
      <c r="BE34" s="13">
        <f>BD34*VLOOKUP('Données projet'!$B$11,Paramètres!$A$1:$I$89,3,0)*VLOOKUP('Données projet'!$B$11,Paramètres!$A$1:$I$89,5,0)</f>
        <v>94.261440000000007</v>
      </c>
      <c r="BF34" s="13">
        <f t="shared" si="37"/>
        <v>25.590198175407465</v>
      </c>
      <c r="BG34" s="20">
        <f t="shared" si="7"/>
        <v>208.74160315550134</v>
      </c>
      <c r="BH34" s="59">
        <f t="shared" si="8"/>
        <v>502.07493648883462</v>
      </c>
      <c r="BI34" s="59">
        <f ca="1">AVERAGE(OFFSET($BH$3,0,0,'Données projet'!$E$11+1,1))-AVERAGE(OFFSET($H$3,0,0,'Données projet'!$E$11+1,1))</f>
        <v>203.21935660591021</v>
      </c>
      <c r="BJ34" s="59">
        <f t="shared" si="38"/>
        <v>180.54762778843178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0.9829150817982949</v>
      </c>
      <c r="BQ34" s="21">
        <f>EXP(-LN(2)/25)*BQ33+(1-EXP(-LN(2)/25))/(LN(2)/25)*Calculateur!BL34*Calculateur!BN34*VLOOKUP('Données projet'!$B$11,Paramètres!$A$1:$I$89,3,0)*0.475*44/12</f>
        <v>5.6449984468341707</v>
      </c>
      <c r="BR34" s="21">
        <f>EXP(-LN(2)/2)*BR33+(1-EXP(-LN(2)/2))/(LN(2)/2)*BL34*BO34*VLOOKUP('Données projet'!$B$11,Paramètres!$A$1:$I$89,3,0)*0.475*44/12</f>
        <v>6.4082856801150054</v>
      </c>
      <c r="BS34" s="22">
        <f t="shared" si="9"/>
        <v>13.036199208747471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5.3369963369963358</v>
      </c>
      <c r="BY34" s="12">
        <f>IF('Données projet'!$A$114&gt;35,BY33+BX34-CG33,IF(A34&lt;'Données projet'!$A$114,$BV$205^A34,IF(A34='Données projet'!$A$114,'Données projet'!$B$114,BY33+BX34-CG33)))</f>
        <v>93.04212454212454</v>
      </c>
      <c r="BZ34" s="13">
        <f>BY34*VLOOKUP('Données projet'!$B$12,Paramètres!$A$1:$I$89,3,0)*VLOOKUP('Données projet'!$B$12,Paramètres!$A$1:$I$89,5,0)</f>
        <v>100.15054285714285</v>
      </c>
      <c r="CA34" s="13">
        <f t="shared" si="39"/>
        <v>26.997859167564272</v>
      </c>
      <c r="CB34" s="20">
        <f t="shared" si="10"/>
        <v>221.45013352636488</v>
      </c>
      <c r="CC34" s="59">
        <f t="shared" si="11"/>
        <v>514.78346685969814</v>
      </c>
      <c r="CD34" s="59">
        <f ca="1">AVERAGE(OFFSET($CC$3,0,0,'Données projet'!$E$12+1,1))-AVERAGE(OFFSET($H$3,0,0,'Données projet'!$E$12+1,1))</f>
        <v>211.18501783767226</v>
      </c>
      <c r="CE34" s="59">
        <f t="shared" si="40"/>
        <v>147.98306963466246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5.3369963369963358</v>
      </c>
      <c r="CT34" s="12">
        <f>IF('Données projet'!$A$140&gt;35,CT33+CS34-DB33,IF(A34&lt;'Données projet'!$A$140,$CQ$205^A34,IF(A34='Données projet'!$A$140,'Données projet'!$B$140,CT33+CS34-DB33)))</f>
        <v>93.04212454212454</v>
      </c>
      <c r="CU34" s="17">
        <f>CT34*VLOOKUP('Données projet'!$B$13,Paramètres!$A$1:$I$89,3,0)*VLOOKUP('Données projet'!$B$13,Paramètres!$A$1:$I$89,5,0)</f>
        <v>100.15054285714285</v>
      </c>
      <c r="CV34" s="13">
        <f t="shared" si="41"/>
        <v>26.997859167564272</v>
      </c>
      <c r="CW34" s="20">
        <f t="shared" si="13"/>
        <v>221.45013352636488</v>
      </c>
      <c r="CX34" s="59">
        <f t="shared" si="14"/>
        <v>514.78346685969814</v>
      </c>
      <c r="CY34" s="59">
        <f ca="1">AVERAGE(OFFSET($CX$3,0,0,'Données projet'!$E$13+1,1))-AVERAGE(OFFSET($H$3,0,0,'Données projet'!$E$13+1,1))</f>
        <v>211.18501783767226</v>
      </c>
      <c r="CZ34" s="59">
        <f t="shared" si="42"/>
        <v>147.98306963466246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282.48461538461538</v>
      </c>
      <c r="L35" s="12">
        <f>VLOOKUP(A35,'Données projet'!$A$35:$I$55,9,0)</f>
        <v>16.509890109890112</v>
      </c>
      <c r="M35" s="12">
        <f t="array" ref="M35">INDEX(L:L,MIN(IF(ISNUMBER(L35:L231),ROW(L35:L231),"")))</f>
        <v>16.509890109890112</v>
      </c>
      <c r="N35" s="13">
        <f>IF('Données projet'!$A$36&gt;35,N34+M35-V34,IF(A35&lt;'Données projet'!$A$36,$K$205^A35,IF(A35='Données projet'!$A$36,'Données projet'!$B$36,N34+M35-V34)))</f>
        <v>282.48461538461538</v>
      </c>
      <c r="O35" s="13">
        <f>N35*VLOOKUP('Données projet'!$B$9,Paramètres!$A$1:$I$89,3,0)*VLOOKUP('Données projet'!$B$9,Paramètres!$A$1:$I$89,5,0)</f>
        <v>168.92580000000001</v>
      </c>
      <c r="P35" s="13">
        <f t="shared" si="33"/>
        <v>42.849349834036097</v>
      </c>
      <c r="Q35" s="20">
        <f t="shared" ref="Q35:Q66" si="53">(O35+P35)*0.475*44/12</f>
        <v>368.84171929427953</v>
      </c>
      <c r="R35" s="59">
        <f t="shared" si="0"/>
        <v>662.17505262761279</v>
      </c>
      <c r="S35" s="59">
        <f ca="1">AVERAGE(OFFSET($R$3,0,0,'Données projet'!$E$9+1,1))-AVERAGE(OFFSET($H$3,0,0,'Données projet'!$E$9+1,1))</f>
        <v>182.25704762953387</v>
      </c>
      <c r="T35" s="59">
        <f t="shared" si="34"/>
        <v>265.61788177751134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63.899999999999991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4.8031032044552306</v>
      </c>
      <c r="AA35" s="21">
        <f>EXP(-LN(2)/25)*AA34+(1-EXP(-LN(2)/25))/(LN(2)/25)*Calculateur!V35*Calculateur!X35*VLOOKUP('Données projet'!$B$9,Paramètres!$A$1:$I$89,3,0)*0.475*44/12</f>
        <v>16.205800092750756</v>
      </c>
      <c r="AB35" s="21">
        <f>EXP(-LN(2)/2)*AB34+(1-EXP(-LN(2)/2))/(LN(2)/2)*V35*Y35*VLOOKUP('Données projet'!$B$9,Paramètres!$A$1:$I$89,3,0)*0.475*44/12</f>
        <v>1.4749509267040573</v>
      </c>
      <c r="AC35" s="22">
        <f t="shared" si="3"/>
        <v>22.483854223910043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8.0564102564102562</v>
      </c>
      <c r="AI35" s="13">
        <f>IF('Données projet'!$A$62&gt;35,AI34+AH35-AQ34,IF(A35&lt;'Données projet'!$A$62,$AF$205^A35,IF(A35='Données projet'!$A$62,'Données projet'!$B$62,AI34+AH35-AQ34)))</f>
        <v>137.99743589743588</v>
      </c>
      <c r="AJ35" s="13">
        <f>AI35*VLOOKUP('Données projet'!$B$10,Paramètres!$A$1:$I$89,3,0)*VLOOKUP('Données projet'!$B$10,Paramètres!$A$1:$I$89,5,0)</f>
        <v>139.92939999999999</v>
      </c>
      <c r="AK35" s="13">
        <f t="shared" si="35"/>
        <v>36.280831551634627</v>
      </c>
      <c r="AL35" s="20">
        <f t="shared" si="4"/>
        <v>306.89948661909699</v>
      </c>
      <c r="AM35" s="59">
        <f t="shared" si="5"/>
        <v>600.2328199524303</v>
      </c>
      <c r="AN35" s="59">
        <f ca="1">AVERAGE(OFFSET($AM$3,0,0,'Données projet'!$E$10+1,1))-AVERAGE(OFFSET($H$3,0,0,'Données projet'!$E$10+1,1))</f>
        <v>263.15518481854753</v>
      </c>
      <c r="AO35" s="59">
        <f t="shared" si="36"/>
        <v>210.80755370263819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7.2</v>
      </c>
      <c r="BD35" s="12">
        <f>IF('Données projet'!$A$88&gt;35,BD34+BC35-BL34,IF(A35&lt;'Données projet'!$A$88,$BA$205^A35,IF(A35='Données projet'!$A$88,'Données projet'!$B$88,BD34+BC35-BL34)))</f>
        <v>123.39999999999999</v>
      </c>
      <c r="BE35" s="13">
        <f>BD35*VLOOKUP('Données projet'!$B$11,Paramètres!$A$1:$I$89,3,0)*VLOOKUP('Données projet'!$B$11,Paramètres!$A$1:$I$89,5,0)</f>
        <v>100.10207999999999</v>
      </c>
      <c r="BF35" s="13">
        <f t="shared" si="37"/>
        <v>26.986315256436303</v>
      </c>
      <c r="BG35" s="20">
        <f t="shared" si="7"/>
        <v>221.34562173829318</v>
      </c>
      <c r="BH35" s="59">
        <f t="shared" si="8"/>
        <v>514.67895507162643</v>
      </c>
      <c r="BI35" s="59">
        <f ca="1">AVERAGE(OFFSET($BH$3,0,0,'Données projet'!$E$11+1,1))-AVERAGE(OFFSET($H$3,0,0,'Données projet'!$E$11+1,1))</f>
        <v>203.21935660591021</v>
      </c>
      <c r="BJ35" s="59">
        <f t="shared" si="38"/>
        <v>180.54762778843178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0.96364071656323269</v>
      </c>
      <c r="BQ35" s="21">
        <f>EXP(-LN(2)/25)*BQ34+(1-EXP(-LN(2)/25))/(LN(2)/25)*Calculateur!BL35*Calculateur!BN35*VLOOKUP('Données projet'!$B$11,Paramètres!$A$1:$I$89,3,0)*0.475*44/12</f>
        <v>5.4906356674479238</v>
      </c>
      <c r="BR35" s="21">
        <f>EXP(-LN(2)/2)*BR34+(1-EXP(-LN(2)/2))/(LN(2)/2)*BL35*BO35*VLOOKUP('Données projet'!$B$11,Paramètres!$A$1:$I$89,3,0)*0.475*44/12</f>
        <v>4.5313422601899678</v>
      </c>
      <c r="BS35" s="22">
        <f t="shared" si="9"/>
        <v>10.985618644201125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5.3369963369963358</v>
      </c>
      <c r="BY35" s="12">
        <f>IF('Données projet'!$A$114&gt;35,BY34+BX35-CG34,IF(A35&lt;'Données projet'!$A$114,$BV$205^A35,IF(A35='Données projet'!$A$114,'Données projet'!$B$114,BY34+BX35-CG34)))</f>
        <v>98.379120879120876</v>
      </c>
      <c r="BZ35" s="13">
        <f>BY35*VLOOKUP('Données projet'!$B$12,Paramètres!$A$1:$I$89,3,0)*VLOOKUP('Données projet'!$B$12,Paramètres!$A$1:$I$89,5,0)</f>
        <v>105.89528571428571</v>
      </c>
      <c r="CA35" s="13">
        <f t="shared" si="39"/>
        <v>28.361751794073548</v>
      </c>
      <c r="CB35" s="20">
        <f t="shared" si="10"/>
        <v>233.83100699372565</v>
      </c>
      <c r="CC35" s="59">
        <f t="shared" si="11"/>
        <v>527.16434032705899</v>
      </c>
      <c r="CD35" s="59">
        <f ca="1">AVERAGE(OFFSET($CC$3,0,0,'Données projet'!$E$12+1,1))-AVERAGE(OFFSET($H$3,0,0,'Données projet'!$E$12+1,1))</f>
        <v>211.18501783767226</v>
      </c>
      <c r="CE35" s="59">
        <f t="shared" si="40"/>
        <v>147.98306963466246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5.3369963369963358</v>
      </c>
      <c r="CT35" s="12">
        <f>IF('Données projet'!$A$140&gt;35,CT34+CS35-DB34,IF(A35&lt;'Données projet'!$A$140,$CQ$205^A35,IF(A35='Données projet'!$A$140,'Données projet'!$B$140,CT34+CS35-DB34)))</f>
        <v>98.379120879120876</v>
      </c>
      <c r="CU35" s="17">
        <f>CT35*VLOOKUP('Données projet'!$B$13,Paramètres!$A$1:$I$89,3,0)*VLOOKUP('Données projet'!$B$13,Paramètres!$A$1:$I$89,5,0)</f>
        <v>105.89528571428571</v>
      </c>
      <c r="CV35" s="13">
        <f t="shared" si="41"/>
        <v>28.361751794073548</v>
      </c>
      <c r="CW35" s="20">
        <f t="shared" si="13"/>
        <v>233.83100699372565</v>
      </c>
      <c r="CX35" s="59">
        <f t="shared" si="14"/>
        <v>527.16434032705899</v>
      </c>
      <c r="CY35" s="59">
        <f ca="1">AVERAGE(OFFSET($CX$3,0,0,'Données projet'!$E$13+1,1))-AVERAGE(OFFSET($H$3,0,0,'Données projet'!$E$13+1,1))</f>
        <v>211.18501783767226</v>
      </c>
      <c r="CZ35" s="59">
        <f t="shared" si="42"/>
        <v>147.98306963466246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14.915976331360945</v>
      </c>
      <c r="N36" s="13">
        <f>IF('Données projet'!$A$36&gt;35,N35+M36-V35,IF(A36&lt;'Données projet'!$A$36,$K$205^A36,IF(A36='Données projet'!$A$36,'Données projet'!$B$36,N35+M36-V35)))</f>
        <v>233.50059171597633</v>
      </c>
      <c r="O36" s="13">
        <f>N36*VLOOKUP('Données projet'!$B$9,Paramètres!$A$1:$I$89,3,0)*VLOOKUP('Données projet'!$B$9,Paramètres!$A$1:$I$89,5,0)</f>
        <v>139.63335384615385</v>
      </c>
      <c r="P36" s="13">
        <f t="shared" si="33"/>
        <v>36.212999194991468</v>
      </c>
      <c r="Q36" s="20">
        <f t="shared" si="53"/>
        <v>306.26573154666147</v>
      </c>
      <c r="R36" s="59">
        <f t="shared" si="0"/>
        <v>599.59906487999478</v>
      </c>
      <c r="S36" s="59">
        <f ca="1">AVERAGE(OFFSET($R$3,0,0,'Données projet'!$E$9+1,1))-AVERAGE(OFFSET($H$3,0,0,'Données projet'!$E$9+1,1))</f>
        <v>182.25704762953387</v>
      </c>
      <c r="T36" s="59">
        <f t="shared" si="34"/>
        <v>265.61788177751134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4.708917280219544</v>
      </c>
      <c r="AA36" s="21">
        <f>EXP(-LN(2)/25)*AA35+(1-EXP(-LN(2)/25))/(LN(2)/25)*Calculateur!V36*Calculateur!X36*VLOOKUP('Données projet'!$B$9,Paramètres!$A$1:$I$89,3,0)*0.475*44/12</f>
        <v>15.762651636988499</v>
      </c>
      <c r="AB36" s="21">
        <f>EXP(-LN(2)/2)*AB35+(1-EXP(-LN(2)/2))/(LN(2)/2)*V36*Y36*VLOOKUP('Données projet'!$B$9,Paramètres!$A$1:$I$89,3,0)*0.475*44/12</f>
        <v>1.0429478021898213</v>
      </c>
      <c r="AC36" s="22">
        <f t="shared" si="3"/>
        <v>21.514516719397864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8.0564102564102562</v>
      </c>
      <c r="AI36" s="13">
        <f>IF('Données projet'!$A$62&gt;35,AI35+AH36-AQ35,IF(A36&lt;'Données projet'!$A$62,$AF$205^A36,IF(A36='Données projet'!$A$62,'Données projet'!$B$62,AI35+AH36-AQ35)))</f>
        <v>146.05384615384614</v>
      </c>
      <c r="AJ36" s="13">
        <f>AI36*VLOOKUP('Données projet'!$B$10,Paramètres!$A$1:$I$89,3,0)*VLOOKUP('Données projet'!$B$10,Paramètres!$A$1:$I$89,5,0)</f>
        <v>148.09859999999998</v>
      </c>
      <c r="AK36" s="13">
        <f t="shared" si="35"/>
        <v>38.146165355224731</v>
      </c>
      <c r="AL36" s="20">
        <f t="shared" si="4"/>
        <v>324.37629966034967</v>
      </c>
      <c r="AM36" s="59">
        <f t="shared" si="5"/>
        <v>617.70963299368304</v>
      </c>
      <c r="AN36" s="59">
        <f ca="1">AVERAGE(OFFSET($AM$3,0,0,'Données projet'!$E$10+1,1))-AVERAGE(OFFSET($H$3,0,0,'Données projet'!$E$10+1,1))</f>
        <v>263.15518481854753</v>
      </c>
      <c r="AO36" s="59">
        <f t="shared" si="36"/>
        <v>210.80755370263819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7.2</v>
      </c>
      <c r="BD36" s="12">
        <f>IF('Données projet'!$A$88&gt;35,BD35+BC36-BL35,IF(A36&lt;'Données projet'!$A$88,$BA$205^A36,IF(A36='Données projet'!$A$88,'Données projet'!$B$88,BD35+BC36-BL35)))</f>
        <v>130.6</v>
      </c>
      <c r="BE36" s="13">
        <f>BD36*VLOOKUP('Données projet'!$B$11,Paramètres!$A$1:$I$89,3,0)*VLOOKUP('Données projet'!$B$11,Paramètres!$A$1:$I$89,5,0)</f>
        <v>105.94272000000001</v>
      </c>
      <c r="BF36" s="13">
        <f t="shared" si="37"/>
        <v>28.372976970554706</v>
      </c>
      <c r="BG36" s="20">
        <f t="shared" si="7"/>
        <v>233.93317222371613</v>
      </c>
      <c r="BH36" s="59">
        <f t="shared" si="8"/>
        <v>527.26650555704941</v>
      </c>
      <c r="BI36" s="59">
        <f ca="1">AVERAGE(OFFSET($BH$3,0,0,'Données projet'!$E$11+1,1))-AVERAGE(OFFSET($H$3,0,0,'Données projet'!$E$11+1,1))</f>
        <v>203.21935660591021</v>
      </c>
      <c r="BJ36" s="59">
        <f t="shared" si="38"/>
        <v>180.54762778843178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0.94474430987422808</v>
      </c>
      <c r="BQ36" s="21">
        <f>EXP(-LN(2)/25)*BQ35+(1-EXP(-LN(2)/25))/(LN(2)/25)*Calculateur!BL36*Calculateur!BN36*VLOOKUP('Données projet'!$B$11,Paramètres!$A$1:$I$89,3,0)*0.475*44/12</f>
        <v>5.3404939463815797</v>
      </c>
      <c r="BR36" s="21">
        <f>EXP(-LN(2)/2)*BR35+(1-EXP(-LN(2)/2))/(LN(2)/2)*BL36*BO36*VLOOKUP('Données projet'!$B$11,Paramètres!$A$1:$I$89,3,0)*0.475*44/12</f>
        <v>3.2041428400575036</v>
      </c>
      <c r="BS36" s="22">
        <f t="shared" si="9"/>
        <v>9.4893810963133109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5.3369963369963358</v>
      </c>
      <c r="BY36" s="12">
        <f>IF('Données projet'!$A$114&gt;35,BY35+BX36-CG35,IF(A36&lt;'Données projet'!$A$114,$BV$205^A36,IF(A36='Données projet'!$A$114,'Données projet'!$B$114,BY35+BX36-CG35)))</f>
        <v>103.71611721611721</v>
      </c>
      <c r="BZ36" s="13">
        <f>BY36*VLOOKUP('Données projet'!$B$12,Paramètres!$A$1:$I$89,3,0)*VLOOKUP('Données projet'!$B$12,Paramètres!$A$1:$I$89,5,0)</f>
        <v>111.64002857142856</v>
      </c>
      <c r="CA36" s="13">
        <f t="shared" si="39"/>
        <v>29.717054649794633</v>
      </c>
      <c r="CB36" s="20">
        <f t="shared" si="10"/>
        <v>246.19691994363038</v>
      </c>
      <c r="CC36" s="59">
        <f t="shared" si="11"/>
        <v>539.53025327696366</v>
      </c>
      <c r="CD36" s="59">
        <f ca="1">AVERAGE(OFFSET($CC$3,0,0,'Données projet'!$E$12+1,1))-AVERAGE(OFFSET($H$3,0,0,'Données projet'!$E$12+1,1))</f>
        <v>211.18501783767226</v>
      </c>
      <c r="CE36" s="59">
        <f t="shared" si="40"/>
        <v>147.98306963466246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5.3369963369963358</v>
      </c>
      <c r="CT36" s="12">
        <f>IF('Données projet'!$A$140&gt;35,CT35+CS36-DB35,IF(A36&lt;'Données projet'!$A$140,$CQ$205^A36,IF(A36='Données projet'!$A$140,'Données projet'!$B$140,CT35+CS36-DB35)))</f>
        <v>103.71611721611721</v>
      </c>
      <c r="CU36" s="17">
        <f>CT36*VLOOKUP('Données projet'!$B$13,Paramètres!$A$1:$I$89,3,0)*VLOOKUP('Données projet'!$B$13,Paramètres!$A$1:$I$89,5,0)</f>
        <v>111.64002857142856</v>
      </c>
      <c r="CV36" s="13">
        <f t="shared" si="41"/>
        <v>29.717054649794633</v>
      </c>
      <c r="CW36" s="20">
        <f t="shared" si="13"/>
        <v>246.19691994363038</v>
      </c>
      <c r="CX36" s="59">
        <f t="shared" si="14"/>
        <v>539.53025327696366</v>
      </c>
      <c r="CY36" s="59">
        <f ca="1">AVERAGE(OFFSET($CX$3,0,0,'Données projet'!$E$13+1,1))-AVERAGE(OFFSET($H$3,0,0,'Données projet'!$E$13+1,1))</f>
        <v>211.18501783767226</v>
      </c>
      <c r="CZ36" s="59">
        <f t="shared" si="42"/>
        <v>147.98306963466246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14.915976331360945</v>
      </c>
      <c r="N37" s="13">
        <f>IF('Données projet'!$A$36&gt;35,N36+M37-V36,IF(A37&lt;'Données projet'!$A$36,$K$205^A37,IF(A37='Données projet'!$A$36,'Données projet'!$B$36,N36+M37-V36)))</f>
        <v>248.41656804733728</v>
      </c>
      <c r="O37" s="13">
        <f>N37*VLOOKUP('Données projet'!$B$9,Paramètres!$A$1:$I$89,3,0)*VLOOKUP('Données projet'!$B$9,Paramètres!$A$1:$I$89,5,0)</f>
        <v>148.55310769230772</v>
      </c>
      <c r="P37" s="13">
        <f t="shared" si="33"/>
        <v>38.249588893085004</v>
      </c>
      <c r="Q37" s="20">
        <f t="shared" si="53"/>
        <v>325.34802988622567</v>
      </c>
      <c r="R37" s="59">
        <f t="shared" si="0"/>
        <v>618.68136321955899</v>
      </c>
      <c r="S37" s="59">
        <f ca="1">AVERAGE(OFFSET($R$3,0,0,'Données projet'!$E$9+1,1))-AVERAGE(OFFSET($H$3,0,0,'Données projet'!$E$9+1,1))</f>
        <v>182.25704762953387</v>
      </c>
      <c r="T37" s="59">
        <f t="shared" si="34"/>
        <v>265.61788177751134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4.6165782845103776</v>
      </c>
      <c r="AA37" s="21">
        <f>EXP(-LN(2)/25)*AA36+(1-EXP(-LN(2)/25))/(LN(2)/25)*Calculateur!V37*Calculateur!X37*VLOOKUP('Données projet'!$B$9,Paramètres!$A$1:$I$89,3,0)*0.475*44/12</f>
        <v>15.331621099053224</v>
      </c>
      <c r="AB37" s="21">
        <f>EXP(-LN(2)/2)*AB36+(1-EXP(-LN(2)/2))/(LN(2)/2)*V37*Y37*VLOOKUP('Données projet'!$B$9,Paramètres!$A$1:$I$89,3,0)*0.475*44/12</f>
        <v>0.73747546335202863</v>
      </c>
      <c r="AC37" s="22">
        <f t="shared" si="3"/>
        <v>20.685674846915632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8.0564102564102562</v>
      </c>
      <c r="AI37" s="13">
        <f>IF('Données projet'!$A$62&gt;35,AI36+AH37-AQ36,IF(A37&lt;'Données projet'!$A$62,$AF$205^A37,IF(A37='Données projet'!$A$62,'Données projet'!$B$62,AI36+AH37-AQ36)))</f>
        <v>154.1102564102564</v>
      </c>
      <c r="AJ37" s="13">
        <f>AI37*VLOOKUP('Données projet'!$B$10,Paramètres!$A$1:$I$89,3,0)*VLOOKUP('Données projet'!$B$10,Paramètres!$A$1:$I$89,5,0)</f>
        <v>156.26779999999999</v>
      </c>
      <c r="AK37" s="13">
        <f t="shared" si="35"/>
        <v>39.999554405940785</v>
      </c>
      <c r="AL37" s="20">
        <f t="shared" si="4"/>
        <v>341.83230892368016</v>
      </c>
      <c r="AM37" s="59">
        <f t="shared" si="5"/>
        <v>635.16564225701347</v>
      </c>
      <c r="AN37" s="59">
        <f ca="1">AVERAGE(OFFSET($AM$3,0,0,'Données projet'!$E$10+1,1))-AVERAGE(OFFSET($H$3,0,0,'Données projet'!$E$10+1,1))</f>
        <v>263.15518481854753</v>
      </c>
      <c r="AO37" s="59">
        <f t="shared" si="36"/>
        <v>210.80755370263819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7.2</v>
      </c>
      <c r="BD37" s="12">
        <f>IF('Données projet'!$A$88&gt;35,BD36+BC37-BL36,IF(A37&lt;'Données projet'!$A$88,$BA$205^A37,IF(A37='Données projet'!$A$88,'Données projet'!$B$88,BD36+BC37-BL36)))</f>
        <v>137.79999999999998</v>
      </c>
      <c r="BE37" s="13">
        <f>BD37*VLOOKUP('Données projet'!$B$11,Paramètres!$A$1:$I$89,3,0)*VLOOKUP('Données projet'!$B$11,Paramètres!$A$1:$I$89,5,0)</f>
        <v>111.78335999999999</v>
      </c>
      <c r="BF37" s="13">
        <f t="shared" si="37"/>
        <v>29.750764011091608</v>
      </c>
      <c r="BG37" s="20">
        <f t="shared" si="7"/>
        <v>246.50526598598449</v>
      </c>
      <c r="BH37" s="59">
        <f t="shared" si="8"/>
        <v>539.83859931931784</v>
      </c>
      <c r="BI37" s="59">
        <f ca="1">AVERAGE(OFFSET($BH$3,0,0,'Données projet'!$E$11+1,1))-AVERAGE(OFFSET($H$3,0,0,'Données projet'!$E$11+1,1))</f>
        <v>203.21935660591021</v>
      </c>
      <c r="BJ37" s="59">
        <f t="shared" si="38"/>
        <v>180.54762778843178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0.92621845019472482</v>
      </c>
      <c r="BQ37" s="21">
        <f>EXP(-LN(2)/25)*BQ36+(1-EXP(-LN(2)/25))/(LN(2)/25)*Calculateur!BL37*Calculateur!BN37*VLOOKUP('Données projet'!$B$11,Paramètres!$A$1:$I$89,3,0)*0.475*44/12</f>
        <v>5.1944578585734043</v>
      </c>
      <c r="BR37" s="21">
        <f>EXP(-LN(2)/2)*BR36+(1-EXP(-LN(2)/2))/(LN(2)/2)*BL37*BO37*VLOOKUP('Données projet'!$B$11,Paramètres!$A$1:$I$89,3,0)*0.475*44/12</f>
        <v>2.2656711300949843</v>
      </c>
      <c r="BS37" s="22">
        <f t="shared" si="9"/>
        <v>8.3863474388631136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5.3369963369963358</v>
      </c>
      <c r="BY37" s="12">
        <f>IF('Données projet'!$A$114&gt;35,BY36+BX37-CG36,IF(A37&lt;'Données projet'!$A$114,$BV$205^A37,IF(A37='Données projet'!$A$114,'Données projet'!$B$114,BY36+BX37-CG36)))</f>
        <v>109.05311355311355</v>
      </c>
      <c r="BZ37" s="13">
        <f>BY37*VLOOKUP('Données projet'!$B$12,Paramètres!$A$1:$I$89,3,0)*VLOOKUP('Données projet'!$B$12,Paramètres!$A$1:$I$89,5,0)</f>
        <v>117.38477142857143</v>
      </c>
      <c r="CA37" s="13">
        <f t="shared" si="39"/>
        <v>31.064260165399627</v>
      </c>
      <c r="CB37" s="20">
        <f t="shared" si="10"/>
        <v>258.54873002616625</v>
      </c>
      <c r="CC37" s="59">
        <f t="shared" si="11"/>
        <v>551.88206335949963</v>
      </c>
      <c r="CD37" s="59">
        <f ca="1">AVERAGE(OFFSET($CC$3,0,0,'Données projet'!$E$12+1,1))-AVERAGE(OFFSET($H$3,0,0,'Données projet'!$E$12+1,1))</f>
        <v>211.18501783767226</v>
      </c>
      <c r="CE37" s="59">
        <f t="shared" si="40"/>
        <v>147.98306963466246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5.3369963369963358</v>
      </c>
      <c r="CT37" s="12">
        <f>IF('Données projet'!$A$140&gt;35,CT36+CS37-DB36,IF(A37&lt;'Données projet'!$A$140,$CQ$205^A37,IF(A37='Données projet'!$A$140,'Données projet'!$B$140,CT36+CS37-DB36)))</f>
        <v>109.05311355311355</v>
      </c>
      <c r="CU37" s="17">
        <f>CT37*VLOOKUP('Données projet'!$B$13,Paramètres!$A$1:$I$89,3,0)*VLOOKUP('Données projet'!$B$13,Paramètres!$A$1:$I$89,5,0)</f>
        <v>117.38477142857143</v>
      </c>
      <c r="CV37" s="13">
        <f t="shared" si="41"/>
        <v>31.064260165399627</v>
      </c>
      <c r="CW37" s="20">
        <f t="shared" si="13"/>
        <v>258.54873002616625</v>
      </c>
      <c r="CX37" s="59">
        <f t="shared" si="14"/>
        <v>551.88206335949963</v>
      </c>
      <c r="CY37" s="59">
        <f ca="1">AVERAGE(OFFSET($CX$3,0,0,'Données projet'!$E$13+1,1))-AVERAGE(OFFSET($H$3,0,0,'Données projet'!$E$13+1,1))</f>
        <v>211.18501783767226</v>
      </c>
      <c r="CZ37" s="59">
        <f t="shared" si="42"/>
        <v>147.98306963466246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14.915976331360945</v>
      </c>
      <c r="N38" s="13">
        <f>IF('Données projet'!$A$36&gt;35,N37+M38-V37,IF(A38&lt;'Données projet'!$A$36,$K$205^A38,IF(A38='Données projet'!$A$36,'Données projet'!$B$36,N37+M38-V37)))</f>
        <v>263.33254437869823</v>
      </c>
      <c r="O38" s="13">
        <f>N38*VLOOKUP('Données projet'!$B$9,Paramètres!$A$1:$I$89,3,0)*VLOOKUP('Données projet'!$B$9,Paramètres!$A$1:$I$89,5,0)</f>
        <v>157.47286153846156</v>
      </c>
      <c r="P38" s="13">
        <f t="shared" si="33"/>
        <v>40.271985193404134</v>
      </c>
      <c r="Q38" s="20">
        <f t="shared" si="53"/>
        <v>344.40560805799942</v>
      </c>
      <c r="R38" s="59">
        <f t="shared" si="0"/>
        <v>637.73894139133267</v>
      </c>
      <c r="S38" s="59">
        <f ca="1">AVERAGE(OFFSET($R$3,0,0,'Données projet'!$E$9+1,1))-AVERAGE(OFFSET($H$3,0,0,'Données projet'!$E$9+1,1))</f>
        <v>182.25704762953387</v>
      </c>
      <c r="T38" s="59">
        <f t="shared" si="34"/>
        <v>265.61788177751134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4.5260500001858421</v>
      </c>
      <c r="AA38" s="21">
        <f>EXP(-LN(2)/25)*AA37+(1-EXP(-LN(2)/25))/(LN(2)/25)*Calculateur!V38*Calculateur!X38*VLOOKUP('Données projet'!$B$9,Paramètres!$A$1:$I$89,3,0)*0.475*44/12</f>
        <v>14.912377113844702</v>
      </c>
      <c r="AB38" s="21">
        <f>EXP(-LN(2)/2)*AB37+(1-EXP(-LN(2)/2))/(LN(2)/2)*V38*Y38*VLOOKUP('Données projet'!$B$9,Paramètres!$A$1:$I$89,3,0)*0.475*44/12</f>
        <v>0.52147390109491065</v>
      </c>
      <c r="AC38" s="22">
        <f t="shared" si="3"/>
        <v>19.959901015125457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162.16666666666666</v>
      </c>
      <c r="AG38" s="12">
        <f>VLOOKUP(A38,'Données projet'!$A$61:$I$81,9,0)</f>
        <v>8.0564102564102562</v>
      </c>
      <c r="AH38" s="12">
        <f t="array" ref="AH38">INDEX(AG:AG,MIN(IF(ISNUMBER(AG38:AG234),ROW(AG38:AG234),"")))</f>
        <v>8.0564102564102562</v>
      </c>
      <c r="AI38" s="13">
        <f>IF('Données projet'!$A$62&gt;35,AI37+AH38-AQ37,IF(A38&lt;'Données projet'!$A$62,$AF$205^A38,IF(A38='Données projet'!$A$62,'Données projet'!$B$62,AI37+AH38-AQ37)))</f>
        <v>162.16666666666666</v>
      </c>
      <c r="AJ38" s="13">
        <f>AI38*VLOOKUP('Données projet'!$B$10,Paramètres!$A$1:$I$89,3,0)*VLOOKUP('Données projet'!$B$10,Paramètres!$A$1:$I$89,5,0)</f>
        <v>164.43700000000001</v>
      </c>
      <c r="AK38" s="13">
        <f t="shared" si="35"/>
        <v>41.841694355997333</v>
      </c>
      <c r="AL38" s="20">
        <f t="shared" si="4"/>
        <v>359.26872600336202</v>
      </c>
      <c r="AM38" s="59">
        <f t="shared" si="5"/>
        <v>652.60205933669533</v>
      </c>
      <c r="AN38" s="59">
        <f ca="1">AVERAGE(OFFSET($AM$3,0,0,'Données projet'!$E$10+1,1))-AVERAGE(OFFSET($H$3,0,0,'Données projet'!$E$10+1,1))</f>
        <v>263.15518481854753</v>
      </c>
      <c r="AO38" s="59">
        <f t="shared" si="36"/>
        <v>210.80755370263819</v>
      </c>
      <c r="AP38" s="15">
        <f>IF(ISNA(VLOOKUP(A38,'Données projet'!$A$61:$I$81,3,0)),0,VLOOKUP(A38,'Données projet'!$A$61:$I$81,3,0))</f>
        <v>1</v>
      </c>
      <c r="AQ38" s="15">
        <f>IF(ISNA(VLOOKUP(A38,'Données projet'!$A$61:$I$81,4,0)),0,VLOOKUP(A38,'Données projet'!$A$61:$I$81,4,0))</f>
        <v>60.602564102564102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7.2</v>
      </c>
      <c r="BD38" s="12">
        <f>IF('Données projet'!$A$88&gt;35,BD37+BC38-BL37,IF(A38&lt;'Données projet'!$A$88,$BA$205^A38,IF(A38='Données projet'!$A$88,'Données projet'!$B$88,BD37+BC38-BL37)))</f>
        <v>144.99999999999997</v>
      </c>
      <c r="BE38" s="13">
        <f>BD38*VLOOKUP('Données projet'!$B$11,Paramètres!$A$1:$I$89,3,0)*VLOOKUP('Données projet'!$B$11,Paramètres!$A$1:$I$89,5,0)</f>
        <v>117.624</v>
      </c>
      <c r="BF38" s="13">
        <f t="shared" si="37"/>
        <v>31.120192961985413</v>
      </c>
      <c r="BG38" s="20">
        <f t="shared" si="7"/>
        <v>259.06280274212457</v>
      </c>
      <c r="BH38" s="59">
        <f t="shared" si="8"/>
        <v>552.39613607545789</v>
      </c>
      <c r="BI38" s="59">
        <f ca="1">AVERAGE(OFFSET($BH$3,0,0,'Données projet'!$E$11+1,1))-AVERAGE(OFFSET($H$3,0,0,'Données projet'!$E$11+1,1))</f>
        <v>203.21935660591021</v>
      </c>
      <c r="BJ38" s="59">
        <f t="shared" si="38"/>
        <v>180.54762778843178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0.90805587132387799</v>
      </c>
      <c r="BQ38" s="21">
        <f>EXP(-LN(2)/25)*BQ37+(1-EXP(-LN(2)/25))/(LN(2)/25)*Calculateur!BL38*Calculateur!BN38*VLOOKUP('Données projet'!$B$11,Paramètres!$A$1:$I$89,3,0)*0.475*44/12</f>
        <v>5.052415135266048</v>
      </c>
      <c r="BR38" s="21">
        <f>EXP(-LN(2)/2)*BR37+(1-EXP(-LN(2)/2))/(LN(2)/2)*BL38*BO38*VLOOKUP('Données projet'!$B$11,Paramètres!$A$1:$I$89,3,0)*0.475*44/12</f>
        <v>1.602071420028752</v>
      </c>
      <c r="BS38" s="22">
        <f t="shared" si="9"/>
        <v>7.5625424266186778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5.3369963369963358</v>
      </c>
      <c r="BY38" s="12">
        <f>IF('Données projet'!$A$114&gt;35,BY37+BX38-CG37,IF(A38&lt;'Données projet'!$A$114,$BV$205^A38,IF(A38='Données projet'!$A$114,'Données projet'!$B$114,BY37+BX38-CG37)))</f>
        <v>114.39010989010988</v>
      </c>
      <c r="BZ38" s="13">
        <f>BY38*VLOOKUP('Données projet'!$B$12,Paramètres!$A$1:$I$89,3,0)*VLOOKUP('Données projet'!$B$12,Paramètres!$A$1:$I$89,5,0)</f>
        <v>123.12951428571428</v>
      </c>
      <c r="CA38" s="13">
        <f t="shared" si="39"/>
        <v>32.40380984999895</v>
      </c>
      <c r="CB38" s="20">
        <f t="shared" si="10"/>
        <v>270.88720620303383</v>
      </c>
      <c r="CC38" s="59">
        <f t="shared" si="11"/>
        <v>564.22053953636714</v>
      </c>
      <c r="CD38" s="59">
        <f ca="1">AVERAGE(OFFSET($CC$3,0,0,'Données projet'!$E$12+1,1))-AVERAGE(OFFSET($H$3,0,0,'Données projet'!$E$12+1,1))</f>
        <v>211.18501783767226</v>
      </c>
      <c r="CE38" s="59">
        <f t="shared" si="40"/>
        <v>147.98306963466246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5.3369963369963358</v>
      </c>
      <c r="CT38" s="12">
        <f>IF('Données projet'!$A$140&gt;35,CT37+CS38-DB37,IF(A38&lt;'Données projet'!$A$140,$CQ$205^A38,IF(A38='Données projet'!$A$140,'Données projet'!$B$140,CT37+CS38-DB37)))</f>
        <v>114.39010989010988</v>
      </c>
      <c r="CU38" s="17">
        <f>CT38*VLOOKUP('Données projet'!$B$13,Paramètres!$A$1:$I$89,3,0)*VLOOKUP('Données projet'!$B$13,Paramètres!$A$1:$I$89,5,0)</f>
        <v>123.12951428571428</v>
      </c>
      <c r="CV38" s="13">
        <f t="shared" si="41"/>
        <v>32.40380984999895</v>
      </c>
      <c r="CW38" s="20">
        <f t="shared" si="13"/>
        <v>270.88720620303383</v>
      </c>
      <c r="CX38" s="59">
        <f t="shared" si="14"/>
        <v>564.22053953636714</v>
      </c>
      <c r="CY38" s="59">
        <f ca="1">AVERAGE(OFFSET($CX$3,0,0,'Données projet'!$E$13+1,1))-AVERAGE(OFFSET($H$3,0,0,'Données projet'!$E$13+1,1))</f>
        <v>211.18501783767226</v>
      </c>
      <c r="CZ38" s="59">
        <f t="shared" si="42"/>
        <v>147.98306963466246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14.915976331360945</v>
      </c>
      <c r="N39" s="13">
        <f>IF('Données projet'!$A$36&gt;35,N38+M39-V38,IF(A39&lt;'Données projet'!$A$36,$K$205^A39,IF(A39='Données projet'!$A$36,'Données projet'!$B$36,N38+M39-V38)))</f>
        <v>278.24852071005915</v>
      </c>
      <c r="O39" s="13">
        <f>N39*VLOOKUP('Données projet'!$B$9,Paramètres!$A$1:$I$89,3,0)*VLOOKUP('Données projet'!$B$9,Paramètres!$A$1:$I$89,5,0)</f>
        <v>166.3926153846154</v>
      </c>
      <c r="P39" s="13">
        <f t="shared" si="33"/>
        <v>42.281083666900145</v>
      </c>
      <c r="Q39" s="20">
        <f t="shared" si="53"/>
        <v>363.44002584805622</v>
      </c>
      <c r="R39" s="59">
        <f t="shared" si="0"/>
        <v>656.77335918138954</v>
      </c>
      <c r="S39" s="59">
        <f ca="1">AVERAGE(OFFSET($R$3,0,0,'Données projet'!$E$9+1,1))-AVERAGE(OFFSET($H$3,0,0,'Données projet'!$E$9+1,1))</f>
        <v>182.25704762953387</v>
      </c>
      <c r="T39" s="59">
        <f t="shared" si="34"/>
        <v>265.61788177751134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4.4372969203001098</v>
      </c>
      <c r="AA39" s="21">
        <f>EXP(-LN(2)/25)*AA38+(1-EXP(-LN(2)/25))/(LN(2)/25)*Calculateur!V39*Calculateur!X39*VLOOKUP('Données projet'!$B$9,Paramètres!$A$1:$I$89,3,0)*0.475*44/12</f>
        <v>14.504597377458788</v>
      </c>
      <c r="AB39" s="21">
        <f>EXP(-LN(2)/2)*AB38+(1-EXP(-LN(2)/2))/(LN(2)/2)*V39*Y39*VLOOKUP('Données projet'!$B$9,Paramètres!$A$1:$I$89,3,0)*0.475*44/12</f>
        <v>0.36873773167601431</v>
      </c>
      <c r="AC39" s="22">
        <f t="shared" si="3"/>
        <v>19.310632029434913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9.3141025641025674</v>
      </c>
      <c r="AI39" s="13">
        <f>IF('Données projet'!$A$62&gt;35,AI38+AH39-AQ38,IF(A39&lt;'Données projet'!$A$62,$AF$205^A39,IF(A39='Données projet'!$A$62,'Données projet'!$B$62,AI38+AH39-AQ38)))</f>
        <v>110.87820512820512</v>
      </c>
      <c r="AJ39" s="13">
        <f>AI39*VLOOKUP('Données projet'!$B$10,Paramètres!$A$1:$I$89,3,0)*VLOOKUP('Données projet'!$B$10,Paramètres!$A$1:$I$89,5,0)</f>
        <v>112.43050000000001</v>
      </c>
      <c r="AK39" s="13">
        <f t="shared" si="35"/>
        <v>29.902898919263393</v>
      </c>
      <c r="AL39" s="20">
        <f t="shared" si="4"/>
        <v>247.89733645105045</v>
      </c>
      <c r="AM39" s="59">
        <f t="shared" si="5"/>
        <v>541.23066978438374</v>
      </c>
      <c r="AN39" s="59">
        <f ca="1">AVERAGE(OFFSET($AM$3,0,0,'Données projet'!$E$10+1,1))-AVERAGE(OFFSET($H$3,0,0,'Données projet'!$E$10+1,1))</f>
        <v>263.15518481854753</v>
      </c>
      <c r="AO39" s="59">
        <f t="shared" si="36"/>
        <v>210.80755370263819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7.2</v>
      </c>
      <c r="BD39" s="12">
        <f>IF('Données projet'!$A$88&gt;35,BD38+BC39-BL38,IF(A39&lt;'Données projet'!$A$88,$BA$205^A39,IF(A39='Données projet'!$A$88,'Données projet'!$B$88,BD38+BC39-BL38)))</f>
        <v>152.19999999999996</v>
      </c>
      <c r="BE39" s="13">
        <f>BD39*VLOOKUP('Données projet'!$B$11,Paramètres!$A$1:$I$89,3,0)*VLOOKUP('Données projet'!$B$11,Paramètres!$A$1:$I$89,5,0)</f>
        <v>123.46463999999997</v>
      </c>
      <c r="BF39" s="13">
        <f t="shared" si="37"/>
        <v>32.481726206916214</v>
      </c>
      <c r="BG39" s="20">
        <f t="shared" si="7"/>
        <v>271.60658781037904</v>
      </c>
      <c r="BH39" s="59">
        <f t="shared" si="8"/>
        <v>564.93992114371235</v>
      </c>
      <c r="BI39" s="59">
        <f ca="1">AVERAGE(OFFSET($BH$3,0,0,'Données projet'!$E$11+1,1))-AVERAGE(OFFSET($H$3,0,0,'Données projet'!$E$11+1,1))</f>
        <v>203.21935660591021</v>
      </c>
      <c r="BJ39" s="59">
        <f t="shared" si="38"/>
        <v>180.54762778843178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0.89024944954660923</v>
      </c>
      <c r="BQ39" s="21">
        <f>EXP(-LN(2)/25)*BQ38+(1-EXP(-LN(2)/25))/(LN(2)/25)*Calculateur!BL39*Calculateur!BN39*VLOOKUP('Données projet'!$B$11,Paramètres!$A$1:$I$89,3,0)*0.475*44/12</f>
        <v>4.9142565776972331</v>
      </c>
      <c r="BR39" s="21">
        <f>EXP(-LN(2)/2)*BR38+(1-EXP(-LN(2)/2))/(LN(2)/2)*BL39*BO39*VLOOKUP('Données projet'!$B$11,Paramètres!$A$1:$I$89,3,0)*0.475*44/12</f>
        <v>1.1328355650474924</v>
      </c>
      <c r="BS39" s="22">
        <f t="shared" si="9"/>
        <v>6.9373415922913351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5.3369963369963358</v>
      </c>
      <c r="BY39" s="12">
        <f>IF('Données projet'!$A$114&gt;35,BY38+BX39-CG38,IF(A39&lt;'Données projet'!$A$114,$BV$205^A39,IF(A39='Données projet'!$A$114,'Données projet'!$B$114,BY38+BX39-CG38)))</f>
        <v>119.72710622710622</v>
      </c>
      <c r="BZ39" s="13">
        <f>BY39*VLOOKUP('Données projet'!$B$12,Paramètres!$A$1:$I$89,3,0)*VLOOKUP('Données projet'!$B$12,Paramètres!$A$1:$I$89,5,0)</f>
        <v>128.87425714285712</v>
      </c>
      <c r="CA39" s="13">
        <f t="shared" si="39"/>
        <v>33.736101686238115</v>
      </c>
      <c r="CB39" s="20">
        <f t="shared" si="10"/>
        <v>283.21304162734083</v>
      </c>
      <c r="CC39" s="59">
        <f t="shared" si="11"/>
        <v>576.54637496067414</v>
      </c>
      <c r="CD39" s="59">
        <f ca="1">AVERAGE(OFFSET($CC$3,0,0,'Données projet'!$E$12+1,1))-AVERAGE(OFFSET($H$3,0,0,'Données projet'!$E$12+1,1))</f>
        <v>211.18501783767226</v>
      </c>
      <c r="CE39" s="59">
        <f t="shared" si="40"/>
        <v>147.98306963466246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5.3369963369963358</v>
      </c>
      <c r="CT39" s="12">
        <f>IF('Données projet'!$A$140&gt;35,CT38+CS39-DB38,IF(A39&lt;'Données projet'!$A$140,$CQ$205^A39,IF(A39='Données projet'!$A$140,'Données projet'!$B$140,CT38+CS39-DB38)))</f>
        <v>119.72710622710622</v>
      </c>
      <c r="CU39" s="17">
        <f>CT39*VLOOKUP('Données projet'!$B$13,Paramètres!$A$1:$I$89,3,0)*VLOOKUP('Données projet'!$B$13,Paramètres!$A$1:$I$89,5,0)</f>
        <v>128.87425714285712</v>
      </c>
      <c r="CV39" s="13">
        <f t="shared" si="41"/>
        <v>33.736101686238115</v>
      </c>
      <c r="CW39" s="20">
        <f t="shared" si="13"/>
        <v>283.21304162734083</v>
      </c>
      <c r="CX39" s="59">
        <f t="shared" si="14"/>
        <v>576.54637496067414</v>
      </c>
      <c r="CY39" s="59">
        <f ca="1">AVERAGE(OFFSET($CX$3,0,0,'Données projet'!$E$13+1,1))-AVERAGE(OFFSET($H$3,0,0,'Données projet'!$E$13+1,1))</f>
        <v>211.18501783767226</v>
      </c>
      <c r="CZ39" s="59">
        <f t="shared" si="42"/>
        <v>147.98306963466246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14.915976331360945</v>
      </c>
      <c r="N40" s="13">
        <f>IF('Données projet'!$A$36&gt;35,N39+M40-V39,IF(A40&lt;'Données projet'!$A$36,$K$205^A40,IF(A40='Données projet'!$A$36,'Données projet'!$B$36,N39+M40-V39)))</f>
        <v>293.16449704142008</v>
      </c>
      <c r="O40" s="13">
        <f>N40*VLOOKUP('Données projet'!$B$9,Paramètres!$A$1:$I$89,3,0)*VLOOKUP('Données projet'!$B$9,Paramètres!$A$1:$I$89,5,0)</f>
        <v>175.31236923076924</v>
      </c>
      <c r="P40" s="13">
        <f t="shared" si="33"/>
        <v>44.277678444488799</v>
      </c>
      <c r="Q40" s="20">
        <f t="shared" si="53"/>
        <v>382.45266636774107</v>
      </c>
      <c r="R40" s="59">
        <f t="shared" si="0"/>
        <v>675.78599970107439</v>
      </c>
      <c r="S40" s="59">
        <f ca="1">AVERAGE(OFFSET($R$3,0,0,'Données projet'!$E$9+1,1))-AVERAGE(OFFSET($H$3,0,0,'Données projet'!$E$9+1,1))</f>
        <v>182.25704762953387</v>
      </c>
      <c r="T40" s="59">
        <f t="shared" si="34"/>
        <v>265.61788177751134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4.350284234176903</v>
      </c>
      <c r="AA40" s="21">
        <f>EXP(-LN(2)/25)*AA39+(1-EXP(-LN(2)/25))/(LN(2)/25)*Calculateur!V40*Calculateur!X40*VLOOKUP('Données projet'!$B$9,Paramètres!$A$1:$I$89,3,0)*0.475*44/12</f>
        <v>14.107968399408552</v>
      </c>
      <c r="AB40" s="21">
        <f>EXP(-LN(2)/2)*AB39+(1-EXP(-LN(2)/2))/(LN(2)/2)*V40*Y40*VLOOKUP('Données projet'!$B$9,Paramètres!$A$1:$I$89,3,0)*0.475*44/12</f>
        <v>0.26073695054745533</v>
      </c>
      <c r="AC40" s="22">
        <f t="shared" si="3"/>
        <v>18.71898958413291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9.3141025641025674</v>
      </c>
      <c r="AI40" s="13">
        <f>IF('Données projet'!$A$62&gt;35,AI39+AH40-AQ39,IF(A40&lt;'Données projet'!$A$62,$AF$205^A40,IF(A40='Données projet'!$A$62,'Données projet'!$B$62,AI39+AH40-AQ39)))</f>
        <v>120.19230769230769</v>
      </c>
      <c r="AJ40" s="13">
        <f>AI40*VLOOKUP('Données projet'!$B$10,Paramètres!$A$1:$I$89,3,0)*VLOOKUP('Données projet'!$B$10,Paramètres!$A$1:$I$89,5,0)</f>
        <v>121.875</v>
      </c>
      <c r="AK40" s="13">
        <f t="shared" si="35"/>
        <v>32.111916865075052</v>
      </c>
      <c r="AL40" s="20">
        <f t="shared" si="4"/>
        <v>268.19388020667236</v>
      </c>
      <c r="AM40" s="59">
        <f t="shared" si="5"/>
        <v>561.52721354000573</v>
      </c>
      <c r="AN40" s="59">
        <f ca="1">AVERAGE(OFFSET($AM$3,0,0,'Données projet'!$E$10+1,1))-AVERAGE(OFFSET($H$3,0,0,'Données projet'!$E$10+1,1))</f>
        <v>263.15518481854753</v>
      </c>
      <c r="AO40" s="59">
        <f t="shared" si="36"/>
        <v>210.80755370263819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7.2</v>
      </c>
      <c r="BD40" s="12">
        <f>IF('Données projet'!$A$88&gt;35,BD39+BC40-BL39,IF(A40&lt;'Données projet'!$A$88,$BA$205^A40,IF(A40='Données projet'!$A$88,'Données projet'!$B$88,BD39+BC40-BL39)))</f>
        <v>159.39999999999995</v>
      </c>
      <c r="BE40" s="13">
        <f>BD40*VLOOKUP('Données projet'!$B$11,Paramètres!$A$1:$I$89,3,0)*VLOOKUP('Données projet'!$B$11,Paramètres!$A$1:$I$89,5,0)</f>
        <v>129.30527999999998</v>
      </c>
      <c r="BF40" s="13">
        <f t="shared" si="37"/>
        <v>33.835779910277751</v>
      </c>
      <c r="BG40" s="20">
        <f t="shared" si="7"/>
        <v>284.13734601040034</v>
      </c>
      <c r="BH40" s="59">
        <f t="shared" si="8"/>
        <v>577.47067934373365</v>
      </c>
      <c r="BI40" s="59">
        <f ca="1">AVERAGE(OFFSET($BH$3,0,0,'Données projet'!$E$11+1,1))-AVERAGE(OFFSET($H$3,0,0,'Données projet'!$E$11+1,1))</f>
        <v>203.21935660591021</v>
      </c>
      <c r="BJ40" s="59">
        <f t="shared" si="38"/>
        <v>180.54762778843178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0.87279220083954778</v>
      </c>
      <c r="BQ40" s="21">
        <f>EXP(-LN(2)/25)*BQ39+(1-EXP(-LN(2)/25))/(LN(2)/25)*Calculateur!BL40*Calculateur!BN40*VLOOKUP('Données projet'!$B$11,Paramètres!$A$1:$I$89,3,0)*0.475*44/12</f>
        <v>4.7798759731505802</v>
      </c>
      <c r="BR40" s="21">
        <f>EXP(-LN(2)/2)*BR39+(1-EXP(-LN(2)/2))/(LN(2)/2)*BL40*BO40*VLOOKUP('Données projet'!$B$11,Paramètres!$A$1:$I$89,3,0)*0.475*44/12</f>
        <v>0.80103571001437623</v>
      </c>
      <c r="BS40" s="22">
        <f t="shared" si="9"/>
        <v>6.4537038840045042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5.3369963369963358</v>
      </c>
      <c r="BY40" s="12">
        <f>IF('Données projet'!$A$114&gt;35,BY39+BX40-CG39,IF(A40&lt;'Données projet'!$A$114,$BV$205^A40,IF(A40='Données projet'!$A$114,'Données projet'!$B$114,BY39+BX40-CG39)))</f>
        <v>125.06410256410255</v>
      </c>
      <c r="BZ40" s="13">
        <f>BY40*VLOOKUP('Données projet'!$B$12,Paramètres!$A$1:$I$89,3,0)*VLOOKUP('Données projet'!$B$12,Paramètres!$A$1:$I$89,5,0)</f>
        <v>134.61899999999997</v>
      </c>
      <c r="CA40" s="13">
        <f t="shared" si="39"/>
        <v>35.06149616956688</v>
      </c>
      <c r="CB40" s="20">
        <f t="shared" si="10"/>
        <v>295.52686416199555</v>
      </c>
      <c r="CC40" s="59">
        <f t="shared" si="11"/>
        <v>588.86019749532886</v>
      </c>
      <c r="CD40" s="59">
        <f ca="1">AVERAGE(OFFSET($CC$3,0,0,'Données projet'!$E$12+1,1))-AVERAGE(OFFSET($H$3,0,0,'Données projet'!$E$12+1,1))</f>
        <v>211.18501783767226</v>
      </c>
      <c r="CE40" s="59">
        <f t="shared" si="40"/>
        <v>147.98306963466246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5.3369963369963358</v>
      </c>
      <c r="CT40" s="12">
        <f>IF('Données projet'!$A$140&gt;35,CT39+CS40-DB39,IF(A40&lt;'Données projet'!$A$140,$CQ$205^A40,IF(A40='Données projet'!$A$140,'Données projet'!$B$140,CT39+CS40-DB39)))</f>
        <v>125.06410256410255</v>
      </c>
      <c r="CU40" s="17">
        <f>CT40*VLOOKUP('Données projet'!$B$13,Paramètres!$A$1:$I$89,3,0)*VLOOKUP('Données projet'!$B$13,Paramètres!$A$1:$I$89,5,0)</f>
        <v>134.61899999999997</v>
      </c>
      <c r="CV40" s="13">
        <f t="shared" si="41"/>
        <v>35.06149616956688</v>
      </c>
      <c r="CW40" s="20">
        <f t="shared" si="13"/>
        <v>295.52686416199555</v>
      </c>
      <c r="CX40" s="59">
        <f t="shared" si="14"/>
        <v>588.86019749532886</v>
      </c>
      <c r="CY40" s="59">
        <f ca="1">AVERAGE(OFFSET($CX$3,0,0,'Données projet'!$E$13+1,1))-AVERAGE(OFFSET($H$3,0,0,'Données projet'!$E$13+1,1))</f>
        <v>211.18501783767226</v>
      </c>
      <c r="CZ40" s="59">
        <f t="shared" si="42"/>
        <v>147.98306963466246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14.915976331360945</v>
      </c>
      <c r="N41" s="13">
        <f>IF('Données projet'!$A$36&gt;35,N40+M41-V40,IF(A41&lt;'Données projet'!$A$36,$K$205^A41,IF(A41='Données projet'!$A$36,'Données projet'!$B$36,N40+M41-V40)))</f>
        <v>308.080473372781</v>
      </c>
      <c r="O41" s="13">
        <f>N41*VLOOKUP('Données projet'!$B$9,Paramètres!$A$1:$I$89,3,0)*VLOOKUP('Données projet'!$B$9,Paramètres!$A$1:$I$89,5,0)</f>
        <v>184.23212307692305</v>
      </c>
      <c r="P41" s="13">
        <f t="shared" si="33"/>
        <v>46.262478283039961</v>
      </c>
      <c r="Q41" s="20">
        <f t="shared" si="53"/>
        <v>401.44476403526892</v>
      </c>
      <c r="R41" s="59">
        <f t="shared" si="0"/>
        <v>694.77809736860218</v>
      </c>
      <c r="S41" s="59">
        <f ca="1">AVERAGE(OFFSET($R$3,0,0,'Données projet'!$E$9+1,1))-AVERAGE(OFFSET($H$3,0,0,'Données projet'!$E$9+1,1))</f>
        <v>182.25704762953387</v>
      </c>
      <c r="T41" s="59">
        <f t="shared" si="34"/>
        <v>265.61788177751134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4.2649778137560741</v>
      </c>
      <c r="AA41" s="21">
        <f>EXP(-LN(2)/25)*AA40+(1-EXP(-LN(2)/25))/(LN(2)/25)*Calculateur!V41*Calculateur!X41*VLOOKUP('Données projet'!$B$9,Paramètres!$A$1:$I$89,3,0)*0.475*44/12</f>
        <v>13.722185261620911</v>
      </c>
      <c r="AB41" s="21">
        <f>EXP(-LN(2)/2)*AB40+(1-EXP(-LN(2)/2))/(LN(2)/2)*V41*Y41*VLOOKUP('Données projet'!$B$9,Paramètres!$A$1:$I$89,3,0)*0.475*44/12</f>
        <v>0.18436886583800716</v>
      </c>
      <c r="AC41" s="22">
        <f t="shared" si="3"/>
        <v>18.17153194121499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9.3141025641025674</v>
      </c>
      <c r="AI41" s="13">
        <f>IF('Données projet'!$A$62&gt;35,AI40+AH41-AQ40,IF(A41&lt;'Données projet'!$A$62,$AF$205^A41,IF(A41='Données projet'!$A$62,'Données projet'!$B$62,AI40+AH41-AQ40)))</f>
        <v>129.50641025641025</v>
      </c>
      <c r="AJ41" s="13">
        <f>AI41*VLOOKUP('Données projet'!$B$10,Paramètres!$A$1:$I$89,3,0)*VLOOKUP('Données projet'!$B$10,Paramètres!$A$1:$I$89,5,0)</f>
        <v>131.31950000000001</v>
      </c>
      <c r="AK41" s="13">
        <f t="shared" si="35"/>
        <v>34.301077605333873</v>
      </c>
      <c r="AL41" s="20">
        <f t="shared" si="4"/>
        <v>288.45583932928986</v>
      </c>
      <c r="AM41" s="59">
        <f t="shared" si="5"/>
        <v>581.78917266262317</v>
      </c>
      <c r="AN41" s="59">
        <f ca="1">AVERAGE(OFFSET($AM$3,0,0,'Données projet'!$E$10+1,1))-AVERAGE(OFFSET($H$3,0,0,'Données projet'!$E$10+1,1))</f>
        <v>263.15518481854753</v>
      </c>
      <c r="AO41" s="59">
        <f t="shared" si="36"/>
        <v>210.80755370263819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7.2</v>
      </c>
      <c r="BD41" s="12">
        <f>IF('Données projet'!$A$88&gt;35,BD40+BC41-BL40,IF(A41&lt;'Données projet'!$A$88,$BA$205^A41,IF(A41='Données projet'!$A$88,'Données projet'!$B$88,BD40+BC41-BL40)))</f>
        <v>166.59999999999994</v>
      </c>
      <c r="BE41" s="13">
        <f>BD41*VLOOKUP('Données projet'!$B$11,Paramètres!$A$1:$I$89,3,0)*VLOOKUP('Données projet'!$B$11,Paramètres!$A$1:$I$89,5,0)</f>
        <v>135.14591999999996</v>
      </c>
      <c r="BF41" s="13">
        <f t="shared" si="37"/>
        <v>35.18273051541685</v>
      </c>
      <c r="BG41" s="20">
        <f t="shared" si="7"/>
        <v>296.65573298101759</v>
      </c>
      <c r="BH41" s="59">
        <f t="shared" si="8"/>
        <v>589.98906631435091</v>
      </c>
      <c r="BI41" s="59">
        <f ca="1">AVERAGE(OFFSET($BH$3,0,0,'Données projet'!$E$11+1,1))-AVERAGE(OFFSET($H$3,0,0,'Données projet'!$E$11+1,1))</f>
        <v>203.21935660591021</v>
      </c>
      <c r="BJ41" s="59">
        <f t="shared" si="38"/>
        <v>180.54762778843178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0.85567727813176153</v>
      </c>
      <c r="BQ41" s="21">
        <f>EXP(-LN(2)/25)*BQ40+(1-EXP(-LN(2)/25))/(LN(2)/25)*Calculateur!BL41*Calculateur!BN41*VLOOKUP('Données projet'!$B$11,Paramètres!$A$1:$I$89,3,0)*0.475*44/12</f>
        <v>4.6491700133020251</v>
      </c>
      <c r="BR41" s="21">
        <f>EXP(-LN(2)/2)*BR40+(1-EXP(-LN(2)/2))/(LN(2)/2)*BL41*BO41*VLOOKUP('Données projet'!$B$11,Paramètres!$A$1:$I$89,3,0)*0.475*44/12</f>
        <v>0.5664177825237463</v>
      </c>
      <c r="BS41" s="22">
        <f t="shared" si="9"/>
        <v>6.0712650739575329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5.3369963369963358</v>
      </c>
      <c r="BY41" s="12">
        <f>IF('Données projet'!$A$114&gt;35,BY40+BX41-CG40,IF(A41&lt;'Données projet'!$A$114,$BV$205^A41,IF(A41='Données projet'!$A$114,'Données projet'!$B$114,BY40+BX41-CG40)))</f>
        <v>130.40109890109889</v>
      </c>
      <c r="BZ41" s="13">
        <f>BY41*VLOOKUP('Données projet'!$B$12,Paramètres!$A$1:$I$89,3,0)*VLOOKUP('Données projet'!$B$12,Paramètres!$A$1:$I$89,5,0)</f>
        <v>140.36374285714285</v>
      </c>
      <c r="CA41" s="13">
        <f t="shared" si="39"/>
        <v>36.380321287557514</v>
      </c>
      <c r="CB41" s="20">
        <f t="shared" si="10"/>
        <v>307.82924505201976</v>
      </c>
      <c r="CC41" s="59">
        <f t="shared" si="11"/>
        <v>601.16257838535307</v>
      </c>
      <c r="CD41" s="59">
        <f ca="1">AVERAGE(OFFSET($CC$3,0,0,'Données projet'!$E$12+1,1))-AVERAGE(OFFSET($H$3,0,0,'Données projet'!$E$12+1,1))</f>
        <v>211.18501783767226</v>
      </c>
      <c r="CE41" s="59">
        <f t="shared" si="40"/>
        <v>147.98306963466246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5.3369963369963358</v>
      </c>
      <c r="CT41" s="12">
        <f>IF('Données projet'!$A$140&gt;35,CT40+CS41-DB40,IF(A41&lt;'Données projet'!$A$140,$CQ$205^A41,IF(A41='Données projet'!$A$140,'Données projet'!$B$140,CT40+CS41-DB40)))</f>
        <v>130.40109890109889</v>
      </c>
      <c r="CU41" s="17">
        <f>CT41*VLOOKUP('Données projet'!$B$13,Paramètres!$A$1:$I$89,3,0)*VLOOKUP('Données projet'!$B$13,Paramètres!$A$1:$I$89,5,0)</f>
        <v>140.36374285714285</v>
      </c>
      <c r="CV41" s="13">
        <f t="shared" si="41"/>
        <v>36.380321287557514</v>
      </c>
      <c r="CW41" s="20">
        <f t="shared" si="13"/>
        <v>307.82924505201976</v>
      </c>
      <c r="CX41" s="59">
        <f t="shared" si="14"/>
        <v>601.16257838535307</v>
      </c>
      <c r="CY41" s="59">
        <f ca="1">AVERAGE(OFFSET($CX$3,0,0,'Données projet'!$E$13+1,1))-AVERAGE(OFFSET($H$3,0,0,'Données projet'!$E$13+1,1))</f>
        <v>211.18501783767226</v>
      </c>
      <c r="CZ41" s="59">
        <f t="shared" si="42"/>
        <v>147.98306963466246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14.915976331360945</v>
      </c>
      <c r="N42" s="13">
        <f>IF('Données projet'!$A$36&gt;35,N41+M42-V41,IF(A42&lt;'Données projet'!$A$36,$K$205^A42,IF(A42='Données projet'!$A$36,'Données projet'!$B$36,N41+M42-V41)))</f>
        <v>322.99644970414192</v>
      </c>
      <c r="O42" s="13">
        <f>N42*VLOOKUP('Données projet'!$B$9,Paramètres!$A$1:$I$89,3,0)*VLOOKUP('Données projet'!$B$9,Paramètres!$A$1:$I$89,5,0)</f>
        <v>193.15187692307691</v>
      </c>
      <c r="P42" s="13">
        <f t="shared" si="33"/>
        <v>48.23611943173325</v>
      </c>
      <c r="Q42" s="20">
        <f t="shared" si="53"/>
        <v>420.41742698462764</v>
      </c>
      <c r="R42" s="59">
        <f t="shared" si="0"/>
        <v>713.75076031796095</v>
      </c>
      <c r="S42" s="59">
        <f ca="1">AVERAGE(OFFSET($R$3,0,0,'Données projet'!$E$9+1,1))-AVERAGE(OFFSET($H$3,0,0,'Données projet'!$E$9+1,1))</f>
        <v>182.25704762953387</v>
      </c>
      <c r="T42" s="59">
        <f t="shared" si="34"/>
        <v>265.61788177751134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4.1813442002079189</v>
      </c>
      <c r="AA42" s="21">
        <f>EXP(-LN(2)/25)*AA41+(1-EXP(-LN(2)/25))/(LN(2)/25)*Calculateur!V42*Calculateur!X42*VLOOKUP('Données projet'!$B$9,Paramètres!$A$1:$I$89,3,0)*0.475*44/12</f>
        <v>13.346951384023527</v>
      </c>
      <c r="AB42" s="21">
        <f>EXP(-LN(2)/2)*AB41+(1-EXP(-LN(2)/2))/(LN(2)/2)*V42*Y42*VLOOKUP('Données projet'!$B$9,Paramètres!$A$1:$I$89,3,0)*0.475*44/12</f>
        <v>0.13036847527372766</v>
      </c>
      <c r="AC42" s="22">
        <f t="shared" si="3"/>
        <v>17.65866405950517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9.3141025641025674</v>
      </c>
      <c r="AI42" s="13">
        <f>IF('Données projet'!$A$62&gt;35,AI41+AH42-AQ41,IF(A42&lt;'Données projet'!$A$62,$AF$205^A42,IF(A42='Données projet'!$A$62,'Données projet'!$B$62,AI41+AH42-AQ41)))</f>
        <v>138.82051282051282</v>
      </c>
      <c r="AJ42" s="13">
        <f>AI42*VLOOKUP('Données projet'!$B$10,Paramètres!$A$1:$I$89,3,0)*VLOOKUP('Données projet'!$B$10,Paramètres!$A$1:$I$89,5,0)</f>
        <v>140.76400000000001</v>
      </c>
      <c r="AK42" s="13">
        <f t="shared" si="35"/>
        <v>36.471971691246594</v>
      </c>
      <c r="AL42" s="20">
        <f t="shared" si="4"/>
        <v>308.68598402892115</v>
      </c>
      <c r="AM42" s="59">
        <f t="shared" si="5"/>
        <v>602.01931736225447</v>
      </c>
      <c r="AN42" s="59">
        <f ca="1">AVERAGE(OFFSET($AM$3,0,0,'Données projet'!$E$10+1,1))-AVERAGE(OFFSET($H$3,0,0,'Données projet'!$E$10+1,1))</f>
        <v>263.15518481854753</v>
      </c>
      <c r="AO42" s="59">
        <f t="shared" si="36"/>
        <v>210.80755370263819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7.2</v>
      </c>
      <c r="BD42" s="12">
        <f>IF('Données projet'!$A$88&gt;35,BD41+BC42-BL41,IF(A42&lt;'Données projet'!$A$88,$BA$205^A42,IF(A42='Données projet'!$A$88,'Données projet'!$B$88,BD41+BC42-BL41)))</f>
        <v>173.79999999999993</v>
      </c>
      <c r="BE42" s="13">
        <f>BD42*VLOOKUP('Données projet'!$B$11,Paramètres!$A$1:$I$89,3,0)*VLOOKUP('Données projet'!$B$11,Paramètres!$A$1:$I$89,5,0)</f>
        <v>140.98655999999994</v>
      </c>
      <c r="BF42" s="13">
        <f t="shared" si="37"/>
        <v>36.522920087836972</v>
      </c>
      <c r="BG42" s="20">
        <f t="shared" si="7"/>
        <v>309.16234448631593</v>
      </c>
      <c r="BH42" s="59">
        <f t="shared" si="8"/>
        <v>602.49567781964925</v>
      </c>
      <c r="BI42" s="59">
        <f ca="1">AVERAGE(OFFSET($BH$3,0,0,'Données projet'!$E$11+1,1))-AVERAGE(OFFSET($H$3,0,0,'Données projet'!$E$11+1,1))</f>
        <v>203.21935660591021</v>
      </c>
      <c r="BJ42" s="59">
        <f t="shared" si="38"/>
        <v>180.54762778843178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0.83889796861920285</v>
      </c>
      <c r="BQ42" s="21">
        <f>EXP(-LN(2)/25)*BQ41+(1-EXP(-LN(2)/25))/(LN(2)/25)*Calculateur!BL42*Calculateur!BN42*VLOOKUP('Données projet'!$B$11,Paramètres!$A$1:$I$89,3,0)*0.475*44/12</f>
        <v>4.5220382147990561</v>
      </c>
      <c r="BR42" s="21">
        <f>EXP(-LN(2)/2)*BR41+(1-EXP(-LN(2)/2))/(LN(2)/2)*BL42*BO42*VLOOKUP('Données projet'!$B$11,Paramètres!$A$1:$I$89,3,0)*0.475*44/12</f>
        <v>0.40051785500718817</v>
      </c>
      <c r="BS42" s="22">
        <f t="shared" si="9"/>
        <v>5.7614540384254473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5.3369963369963358</v>
      </c>
      <c r="BY42" s="12">
        <f>IF('Données projet'!$A$114&gt;35,BY41+BX42-CG41,IF(A42&lt;'Données projet'!$A$114,$BV$205^A42,IF(A42='Données projet'!$A$114,'Données projet'!$B$114,BY41+BX42-CG41)))</f>
        <v>135.73809523809524</v>
      </c>
      <c r="BZ42" s="13">
        <f>BY42*VLOOKUP('Données projet'!$B$12,Paramètres!$A$1:$I$89,3,0)*VLOOKUP('Données projet'!$B$12,Paramètres!$A$1:$I$89,5,0)</f>
        <v>146.10848571428573</v>
      </c>
      <c r="CA42" s="13">
        <f t="shared" si="39"/>
        <v>37.692876661099341</v>
      </c>
      <c r="CB42" s="20">
        <f t="shared" si="10"/>
        <v>320.12070613712899</v>
      </c>
      <c r="CC42" s="59">
        <f t="shared" si="11"/>
        <v>613.45403947046225</v>
      </c>
      <c r="CD42" s="59">
        <f ca="1">AVERAGE(OFFSET($CC$3,0,0,'Données projet'!$E$12+1,1))-AVERAGE(OFFSET($H$3,0,0,'Données projet'!$E$12+1,1))</f>
        <v>211.18501783767226</v>
      </c>
      <c r="CE42" s="59">
        <f t="shared" si="40"/>
        <v>147.98306963466246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5.3369963369963358</v>
      </c>
      <c r="CT42" s="12">
        <f>IF('Données projet'!$A$140&gt;35,CT41+CS42-DB41,IF(A42&lt;'Données projet'!$A$140,$CQ$205^A42,IF(A42='Données projet'!$A$140,'Données projet'!$B$140,CT41+CS42-DB41)))</f>
        <v>135.73809523809524</v>
      </c>
      <c r="CU42" s="17">
        <f>CT42*VLOOKUP('Données projet'!$B$13,Paramètres!$A$1:$I$89,3,0)*VLOOKUP('Données projet'!$B$13,Paramètres!$A$1:$I$89,5,0)</f>
        <v>146.10848571428573</v>
      </c>
      <c r="CV42" s="13">
        <f t="shared" si="41"/>
        <v>37.692876661099341</v>
      </c>
      <c r="CW42" s="20">
        <f t="shared" si="13"/>
        <v>320.12070613712899</v>
      </c>
      <c r="CX42" s="59">
        <f t="shared" si="14"/>
        <v>613.45403947046225</v>
      </c>
      <c r="CY42" s="59">
        <f ca="1">AVERAGE(OFFSET($CX$3,0,0,'Données projet'!$E$13+1,1))-AVERAGE(OFFSET($H$3,0,0,'Données projet'!$E$13+1,1))</f>
        <v>211.18501783767226</v>
      </c>
      <c r="CZ42" s="59">
        <f t="shared" si="42"/>
        <v>147.98306963466246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14.915976331360945</v>
      </c>
      <c r="N43" s="13">
        <f>IF('Données projet'!$A$36&gt;35,N42+M43-V42,IF(A43&lt;'Données projet'!$A$36,$K$205^A43,IF(A43='Données projet'!$A$36,'Données projet'!$B$36,N42+M43-V42)))</f>
        <v>337.91242603550285</v>
      </c>
      <c r="O43" s="13">
        <f>N43*VLOOKUP('Données projet'!$B$9,Paramètres!$A$1:$I$89,3,0)*VLOOKUP('Données projet'!$B$9,Paramètres!$A$1:$I$89,5,0)</f>
        <v>202.07163076923072</v>
      </c>
      <c r="P43" s="13">
        <f t="shared" si="33"/>
        <v>50.19917605450815</v>
      </c>
      <c r="Q43" s="20">
        <f t="shared" si="53"/>
        <v>439.37165521801188</v>
      </c>
      <c r="R43" s="59">
        <f t="shared" si="0"/>
        <v>732.7049885513452</v>
      </c>
      <c r="S43" s="59">
        <f ca="1">AVERAGE(OFFSET($R$3,0,0,'Données projet'!$E$9+1,1))-AVERAGE(OFFSET($H$3,0,0,'Données projet'!$E$9+1,1))</f>
        <v>182.25704762953387</v>
      </c>
      <c r="T43" s="59">
        <f t="shared" si="34"/>
        <v>265.61788177751134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4.0993505908099754</v>
      </c>
      <c r="AA43" s="21">
        <f>EXP(-LN(2)/25)*AA42+(1-EXP(-LN(2)/25))/(LN(2)/25)*Calculateur!V43*Calculateur!X43*VLOOKUP('Données projet'!$B$9,Paramètres!$A$1:$I$89,3,0)*0.475*44/12</f>
        <v>12.981978296541735</v>
      </c>
      <c r="AB43" s="21">
        <f>EXP(-LN(2)/2)*AB42+(1-EXP(-LN(2)/2))/(LN(2)/2)*V43*Y43*VLOOKUP('Données projet'!$B$9,Paramètres!$A$1:$I$89,3,0)*0.475*44/12</f>
        <v>9.2184432919003578E-2</v>
      </c>
      <c r="AC43" s="22">
        <f t="shared" si="3"/>
        <v>17.173513320270715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9.3141025641025674</v>
      </c>
      <c r="AI43" s="13">
        <f>IF('Données projet'!$A$62&gt;35,AI42+AH43-AQ42,IF(A43&lt;'Données projet'!$A$62,$AF$205^A43,IF(A43='Données projet'!$A$62,'Données projet'!$B$62,AI42+AH43-AQ42)))</f>
        <v>148.13461538461539</v>
      </c>
      <c r="AJ43" s="13">
        <f>AI43*VLOOKUP('Données projet'!$B$10,Paramètres!$A$1:$I$89,3,0)*VLOOKUP('Données projet'!$B$10,Paramètres!$A$1:$I$89,5,0)</f>
        <v>150.20850000000002</v>
      </c>
      <c r="AK43" s="13">
        <f t="shared" si="35"/>
        <v>38.625964162869636</v>
      </c>
      <c r="AL43" s="20">
        <f t="shared" si="4"/>
        <v>328.88669175033129</v>
      </c>
      <c r="AM43" s="59">
        <f t="shared" si="5"/>
        <v>622.22002508366461</v>
      </c>
      <c r="AN43" s="59">
        <f ca="1">AVERAGE(OFFSET($AM$3,0,0,'Données projet'!$E$10+1,1))-AVERAGE(OFFSET($H$3,0,0,'Données projet'!$E$10+1,1))</f>
        <v>263.15518481854753</v>
      </c>
      <c r="AO43" s="59">
        <f t="shared" si="36"/>
        <v>210.80755370263819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181</v>
      </c>
      <c r="BB43" s="12">
        <f>VLOOKUP(A43,'Données projet'!$A$87:$I$107,9,0)</f>
        <v>7.2</v>
      </c>
      <c r="BC43" s="12">
        <f t="array" ref="BC43">INDEX(BB:BB,MIN(IF(ISNUMBER(BB43:BB239),ROW(BB43:BB239),"")))</f>
        <v>7.2</v>
      </c>
      <c r="BD43" s="12">
        <f>IF('Données projet'!$A$88&gt;35,BD42+BC43-BL42,IF(A43&lt;'Données projet'!$A$88,$BA$205^A43,IF(A43='Données projet'!$A$88,'Données projet'!$B$88,BD42+BC43-BL42)))</f>
        <v>180.99999999999991</v>
      </c>
      <c r="BE43" s="13">
        <f>BD43*VLOOKUP('Données projet'!$B$11,Paramètres!$A$1:$I$89,3,0)*VLOOKUP('Données projet'!$B$11,Paramètres!$A$1:$I$89,5,0)</f>
        <v>146.82719999999995</v>
      </c>
      <c r="BF43" s="13">
        <f t="shared" si="37"/>
        <v>37.856660748046949</v>
      </c>
      <c r="BG43" s="20">
        <f t="shared" si="7"/>
        <v>321.65772413618168</v>
      </c>
      <c r="BH43" s="59">
        <f t="shared" si="8"/>
        <v>614.991057469515</v>
      </c>
      <c r="BI43" s="59">
        <f ca="1">AVERAGE(OFFSET($BH$3,0,0,'Données projet'!$E$11+1,1))-AVERAGE(OFFSET($H$3,0,0,'Données projet'!$E$11+1,1))</f>
        <v>203.21935660591021</v>
      </c>
      <c r="BJ43" s="59">
        <f t="shared" si="38"/>
        <v>180.54762778843178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31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0.82244769113181726</v>
      </c>
      <c r="BQ43" s="21">
        <f>EXP(-LN(2)/25)*BQ42+(1-EXP(-LN(2)/25))/(LN(2)/25)*Calculateur!BL43*Calculateur!BN43*VLOOKUP('Données projet'!$B$11,Paramètres!$A$1:$I$89,3,0)*0.475*44/12</f>
        <v>4.3983828420117215</v>
      </c>
      <c r="BR43" s="21">
        <f>EXP(-LN(2)/2)*BR42+(1-EXP(-LN(2)/2))/(LN(2)/2)*BL43*BO43*VLOOKUP('Données projet'!$B$11,Paramètres!$A$1:$I$89,3,0)*0.475*44/12</f>
        <v>0.28320889126187321</v>
      </c>
      <c r="BS43" s="22">
        <f t="shared" si="9"/>
        <v>5.5040394244054118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5.3369963369963358</v>
      </c>
      <c r="BY43" s="12">
        <f>IF('Données projet'!$A$114&gt;35,BY42+BX43-CG42,IF(A43&lt;'Données projet'!$A$114,$BV$205^A43,IF(A43='Données projet'!$A$114,'Données projet'!$B$114,BY42+BX43-CG42)))</f>
        <v>141.07509157509156</v>
      </c>
      <c r="BZ43" s="13">
        <f>BY43*VLOOKUP('Données projet'!$B$12,Paramètres!$A$1:$I$89,3,0)*VLOOKUP('Données projet'!$B$12,Paramètres!$A$1:$I$89,5,0)</f>
        <v>151.85322857142856</v>
      </c>
      <c r="CA43" s="13">
        <f t="shared" si="39"/>
        <v>38.99943701596716</v>
      </c>
      <c r="CB43" s="20">
        <f t="shared" si="10"/>
        <v>332.40172589804757</v>
      </c>
      <c r="CC43" s="59">
        <f t="shared" si="11"/>
        <v>625.73505923138089</v>
      </c>
      <c r="CD43" s="59">
        <f ca="1">AVERAGE(OFFSET($CC$3,0,0,'Données projet'!$E$12+1,1))-AVERAGE(OFFSET($H$3,0,0,'Données projet'!$E$12+1,1))</f>
        <v>211.18501783767226</v>
      </c>
      <c r="CE43" s="59">
        <f t="shared" si="40"/>
        <v>147.98306963466246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5.3369963369963358</v>
      </c>
      <c r="CT43" s="12">
        <f>IF('Données projet'!$A$140&gt;35,CT42+CS43-DB42,IF(A43&lt;'Données projet'!$A$140,$CQ$205^A43,IF(A43='Données projet'!$A$140,'Données projet'!$B$140,CT42+CS43-DB42)))</f>
        <v>141.07509157509156</v>
      </c>
      <c r="CU43" s="17">
        <f>CT43*VLOOKUP('Données projet'!$B$13,Paramètres!$A$1:$I$89,3,0)*VLOOKUP('Données projet'!$B$13,Paramètres!$A$1:$I$89,5,0)</f>
        <v>151.85322857142856</v>
      </c>
      <c r="CV43" s="13">
        <f t="shared" si="41"/>
        <v>38.99943701596716</v>
      </c>
      <c r="CW43" s="20">
        <f t="shared" si="13"/>
        <v>332.40172589804757</v>
      </c>
      <c r="CX43" s="59">
        <f t="shared" si="14"/>
        <v>625.73505923138089</v>
      </c>
      <c r="CY43" s="59">
        <f ca="1">AVERAGE(OFFSET($CX$3,0,0,'Données projet'!$E$13+1,1))-AVERAGE(OFFSET($H$3,0,0,'Données projet'!$E$13+1,1))</f>
        <v>211.18501783767226</v>
      </c>
      <c r="CZ43" s="59">
        <f t="shared" si="42"/>
        <v>147.98306963466246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14.915976331360945</v>
      </c>
      <c r="N44" s="13">
        <f>IF('Données projet'!$A$36&gt;35,N43+M44-V43,IF(A44&lt;'Données projet'!$A$36,$K$205^A44,IF(A44='Données projet'!$A$36,'Données projet'!$B$36,N43+M44-V43)))</f>
        <v>352.82840236686377</v>
      </c>
      <c r="O44" s="13">
        <f>N44*VLOOKUP('Données projet'!$B$9,Paramètres!$A$1:$I$89,3,0)*VLOOKUP('Données projet'!$B$9,Paramètres!$A$1:$I$89,5,0)</f>
        <v>210.99138461538456</v>
      </c>
      <c r="P44" s="13">
        <f t="shared" si="33"/>
        <v>52.152168760305798</v>
      </c>
      <c r="Q44" s="20">
        <f t="shared" si="53"/>
        <v>458.3083554626607</v>
      </c>
      <c r="R44" s="59">
        <f t="shared" si="0"/>
        <v>751.64168879599401</v>
      </c>
      <c r="S44" s="59">
        <f ca="1">AVERAGE(OFFSET($R$3,0,0,'Données projet'!$E$9+1,1))-AVERAGE(OFFSET($H$3,0,0,'Données projet'!$E$9+1,1))</f>
        <v>182.25704762953387</v>
      </c>
      <c r="T44" s="59">
        <f t="shared" si="34"/>
        <v>265.61788177751134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4.0189648260811621</v>
      </c>
      <c r="AA44" s="21">
        <f>EXP(-LN(2)/25)*AA43+(1-EXP(-LN(2)/25))/(LN(2)/25)*Calculateur!V44*Calculateur!X44*VLOOKUP('Données projet'!$B$9,Paramètres!$A$1:$I$89,3,0)*0.475*44/12</f>
        <v>12.626985417330234</v>
      </c>
      <c r="AB44" s="21">
        <f>EXP(-LN(2)/2)*AB43+(1-EXP(-LN(2)/2))/(LN(2)/2)*V44*Y44*VLOOKUP('Données projet'!$B$9,Paramètres!$A$1:$I$89,3,0)*0.475*44/12</f>
        <v>6.5184237636863832E-2</v>
      </c>
      <c r="AC44" s="22">
        <f t="shared" si="3"/>
        <v>16.711134481048258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>
        <f>VLOOKUP(A44,'Données projet'!$A$61:$I$81,2,0)</f>
        <v>157.44871794871796</v>
      </c>
      <c r="AG44" s="12">
        <f>VLOOKUP(A44,'Données projet'!$A$61:$I$81,9,0)</f>
        <v>9.3141025641025674</v>
      </c>
      <c r="AH44" s="12">
        <f t="array" ref="AH44">INDEX(AG:AG,MIN(IF(ISNUMBER(AG44:AG240),ROW(AG44:AG240),"")))</f>
        <v>9.3141025641025674</v>
      </c>
      <c r="AI44" s="13">
        <f>IF('Données projet'!$A$62&gt;35,AI43+AH44-AQ43,IF(A44&lt;'Données projet'!$A$62,$AF$205^A44,IF(A44='Données projet'!$A$62,'Données projet'!$B$62,AI43+AH44-AQ43)))</f>
        <v>157.44871794871796</v>
      </c>
      <c r="AJ44" s="13">
        <f>AI44*VLOOKUP('Données projet'!$B$10,Paramètres!$A$1:$I$89,3,0)*VLOOKUP('Données projet'!$B$10,Paramètres!$A$1:$I$89,5,0)</f>
        <v>159.65300000000002</v>
      </c>
      <c r="AK44" s="13">
        <f t="shared" si="35"/>
        <v>40.764238701185349</v>
      </c>
      <c r="AL44" s="20">
        <f t="shared" si="4"/>
        <v>349.06002407123111</v>
      </c>
      <c r="AM44" s="59">
        <f t="shared" si="5"/>
        <v>642.39335740456443</v>
      </c>
      <c r="AN44" s="59">
        <f ca="1">AVERAGE(OFFSET($AM$3,0,0,'Données projet'!$E$10+1,1))-AVERAGE(OFFSET($H$3,0,0,'Données projet'!$E$10+1,1))</f>
        <v>263.15518481854753</v>
      </c>
      <c r="AO44" s="59">
        <f t="shared" si="36"/>
        <v>210.80755370263819</v>
      </c>
      <c r="AP44" s="15">
        <f>IF(ISNA(VLOOKUP(A44,'Données projet'!$A$61:$I$81,3,0)),0,VLOOKUP(A44,'Données projet'!$A$61:$I$81,3,0))</f>
        <v>2</v>
      </c>
      <c r="AQ44" s="15">
        <f>IF(ISNA(VLOOKUP(A44,'Données projet'!$A$61:$I$81,4,0)),0,VLOOKUP(A44,'Données projet'!$A$61:$I$81,4,0))</f>
        <v>38.512820512820511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7</v>
      </c>
      <c r="BD44" s="12">
        <f>IF('Données projet'!$A$88&gt;35,BD43+BC44-BL43,IF(A44&lt;'Données projet'!$A$88,$BA$205^A44,IF(A44='Données projet'!$A$88,'Données projet'!$B$88,BD43+BC44-BL43)))</f>
        <v>156.99999999999991</v>
      </c>
      <c r="BE44" s="13">
        <f>BD44*VLOOKUP('Données projet'!$B$11,Paramètres!$A$1:$I$89,3,0)*VLOOKUP('Données projet'!$B$11,Paramètres!$A$1:$I$89,5,0)</f>
        <v>127.35839999999993</v>
      </c>
      <c r="BF44" s="13">
        <f t="shared" si="37"/>
        <v>33.385235744403289</v>
      </c>
      <c r="BG44" s="20">
        <f t="shared" si="7"/>
        <v>279.9618322548356</v>
      </c>
      <c r="BH44" s="59">
        <f t="shared" si="8"/>
        <v>573.29516558816886</v>
      </c>
      <c r="BI44" s="59">
        <f ca="1">AVERAGE(OFFSET($BH$3,0,0,'Données projet'!$E$11+1,1))-AVERAGE(OFFSET($H$3,0,0,'Données projet'!$E$11+1,1))</f>
        <v>203.21935660591021</v>
      </c>
      <c r="BJ44" s="59">
        <f t="shared" si="38"/>
        <v>180.54762778843178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0.80631999355228068</v>
      </c>
      <c r="BQ44" s="21">
        <f>EXP(-LN(2)/25)*BQ43+(1-EXP(-LN(2)/25))/(LN(2)/25)*Calculateur!BL44*Calculateur!BN44*VLOOKUP('Données projet'!$B$11,Paramètres!$A$1:$I$89,3,0)*0.475*44/12</f>
        <v>4.2781088318960103</v>
      </c>
      <c r="BR44" s="21">
        <f>EXP(-LN(2)/2)*BR43+(1-EXP(-LN(2)/2))/(LN(2)/2)*BL44*BO44*VLOOKUP('Données projet'!$B$11,Paramètres!$A$1:$I$89,3,0)*0.475*44/12</f>
        <v>0.20025892750359411</v>
      </c>
      <c r="BS44" s="22">
        <f t="shared" si="9"/>
        <v>5.2846877529518848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5.3369963369963358</v>
      </c>
      <c r="BY44" s="12">
        <f>IF('Données projet'!$A$114&gt;35,BY43+BX44-CG43,IF(A44&lt;'Données projet'!$A$114,$BV$205^A44,IF(A44='Données projet'!$A$114,'Données projet'!$B$114,BY43+BX44-CG43)))</f>
        <v>146.41208791208788</v>
      </c>
      <c r="BZ44" s="13">
        <f>BY44*VLOOKUP('Données projet'!$B$12,Paramètres!$A$1:$I$89,3,0)*VLOOKUP('Données projet'!$B$12,Paramètres!$A$1:$I$89,5,0)</f>
        <v>157.59797142857141</v>
      </c>
      <c r="CA44" s="13">
        <f t="shared" si="39"/>
        <v>40.300255114287417</v>
      </c>
      <c r="CB44" s="20">
        <f t="shared" si="10"/>
        <v>344.67274456214574</v>
      </c>
      <c r="CC44" s="59">
        <f t="shared" si="11"/>
        <v>638.00607789547905</v>
      </c>
      <c r="CD44" s="59">
        <f ca="1">AVERAGE(OFFSET($CC$3,0,0,'Données projet'!$E$12+1,1))-AVERAGE(OFFSET($H$3,0,0,'Données projet'!$E$12+1,1))</f>
        <v>211.18501783767226</v>
      </c>
      <c r="CE44" s="59">
        <f t="shared" si="40"/>
        <v>147.98306963466246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5.3369963369963358</v>
      </c>
      <c r="CT44" s="12">
        <f>IF('Données projet'!$A$140&gt;35,CT43+CS44-DB43,IF(A44&lt;'Données projet'!$A$140,$CQ$205^A44,IF(A44='Données projet'!$A$140,'Données projet'!$B$140,CT43+CS44-DB43)))</f>
        <v>146.41208791208788</v>
      </c>
      <c r="CU44" s="17">
        <f>CT44*VLOOKUP('Données projet'!$B$13,Paramètres!$A$1:$I$89,3,0)*VLOOKUP('Données projet'!$B$13,Paramètres!$A$1:$I$89,5,0)</f>
        <v>157.59797142857141</v>
      </c>
      <c r="CV44" s="13">
        <f t="shared" si="41"/>
        <v>40.300255114287417</v>
      </c>
      <c r="CW44" s="20">
        <f t="shared" si="13"/>
        <v>344.67274456214574</v>
      </c>
      <c r="CX44" s="59">
        <f t="shared" si="14"/>
        <v>638.00607789547905</v>
      </c>
      <c r="CY44" s="59">
        <f ca="1">AVERAGE(OFFSET($CX$3,0,0,'Données projet'!$E$13+1,1))-AVERAGE(OFFSET($H$3,0,0,'Données projet'!$E$13+1,1))</f>
        <v>211.18501783767226</v>
      </c>
      <c r="CZ44" s="59">
        <f t="shared" si="42"/>
        <v>147.98306963466246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14.915976331360945</v>
      </c>
      <c r="N45" s="13">
        <f>IF('Données projet'!$A$36&gt;35,N44+M45-V44,IF(A45&lt;'Données projet'!$A$36,$K$205^A45,IF(A45='Données projet'!$A$36,'Données projet'!$B$36,N44+M45-V44)))</f>
        <v>367.74437869822469</v>
      </c>
      <c r="O45" s="13">
        <f>N45*VLOOKUP('Données projet'!$B$9,Paramètres!$A$1:$I$89,3,0)*VLOOKUP('Données projet'!$B$9,Paramètres!$A$1:$I$89,5,0)</f>
        <v>219.91113846153837</v>
      </c>
      <c r="P45" s="13">
        <f t="shared" si="33"/>
        <v>54.095571650167813</v>
      </c>
      <c r="Q45" s="20">
        <f t="shared" si="53"/>
        <v>477.2283534445549</v>
      </c>
      <c r="R45" s="59">
        <f t="shared" si="0"/>
        <v>770.56168677788821</v>
      </c>
      <c r="S45" s="59">
        <f ca="1">AVERAGE(OFFSET($R$3,0,0,'Données projet'!$E$9+1,1))-AVERAGE(OFFSET($H$3,0,0,'Données projet'!$E$9+1,1))</f>
        <v>182.25704762953387</v>
      </c>
      <c r="T45" s="59">
        <f t="shared" si="34"/>
        <v>265.61788177751134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3.9401553771682059</v>
      </c>
      <c r="AA45" s="21">
        <f>EXP(-LN(2)/25)*AA44+(1-EXP(-LN(2)/25))/(LN(2)/25)*Calculateur!V45*Calculateur!X45*VLOOKUP('Données projet'!$B$9,Paramètres!$A$1:$I$89,3,0)*0.475*44/12</f>
        <v>12.281699837069034</v>
      </c>
      <c r="AB45" s="21">
        <f>EXP(-LN(2)/2)*AB44+(1-EXP(-LN(2)/2))/(LN(2)/2)*V45*Y45*VLOOKUP('Données projet'!$B$9,Paramètres!$A$1:$I$89,3,0)*0.475*44/12</f>
        <v>4.6092216459501789E-2</v>
      </c>
      <c r="AC45" s="22">
        <f t="shared" si="3"/>
        <v>16.267947430696744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9.3452380952380913</v>
      </c>
      <c r="AI45" s="13">
        <f>IF('Données projet'!$A$62&gt;35,AI44+AH45-AQ44,IF(A45&lt;'Données projet'!$A$62,$AF$205^A45,IF(A45='Données projet'!$A$62,'Données projet'!$B$62,AI44+AH45-AQ44)))</f>
        <v>128.28113553113553</v>
      </c>
      <c r="AJ45" s="13">
        <f>AI45*VLOOKUP('Données projet'!$B$10,Paramètres!$A$1:$I$89,3,0)*VLOOKUP('Données projet'!$B$10,Paramètres!$A$1:$I$89,5,0)</f>
        <v>130.07707142857143</v>
      </c>
      <c r="AK45" s="13">
        <f t="shared" si="35"/>
        <v>34.014167662270388</v>
      </c>
      <c r="AL45" s="20">
        <f t="shared" si="4"/>
        <v>285.79224141654947</v>
      </c>
      <c r="AM45" s="59">
        <f t="shared" si="5"/>
        <v>579.12557474988284</v>
      </c>
      <c r="AN45" s="59">
        <f ca="1">AVERAGE(OFFSET($AM$3,0,0,'Données projet'!$E$10+1,1))-AVERAGE(OFFSET($H$3,0,0,'Données projet'!$E$10+1,1))</f>
        <v>263.15518481854753</v>
      </c>
      <c r="AO45" s="59">
        <f t="shared" si="36"/>
        <v>210.80755370263819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7</v>
      </c>
      <c r="BD45" s="12">
        <f>IF('Données projet'!$A$88&gt;35,BD44+BC45-BL44,IF(A45&lt;'Données projet'!$A$88,$BA$205^A45,IF(A45='Données projet'!$A$88,'Données projet'!$B$88,BD44+BC45-BL44)))</f>
        <v>163.99999999999991</v>
      </c>
      <c r="BE45" s="13">
        <f>BD45*VLOOKUP('Données projet'!$B$11,Paramètres!$A$1:$I$89,3,0)*VLOOKUP('Données projet'!$B$11,Paramètres!$A$1:$I$89,5,0)</f>
        <v>133.03679999999994</v>
      </c>
      <c r="BF45" s="13">
        <f t="shared" si="37"/>
        <v>34.697128823525233</v>
      </c>
      <c r="BG45" s="20">
        <f t="shared" si="7"/>
        <v>292.13659270097298</v>
      </c>
      <c r="BH45" s="59">
        <f t="shared" si="8"/>
        <v>585.46992603430635</v>
      </c>
      <c r="BI45" s="59">
        <f ca="1">AVERAGE(OFFSET($BH$3,0,0,'Données projet'!$E$11+1,1))-AVERAGE(OFFSET($H$3,0,0,'Données projet'!$E$11+1,1))</f>
        <v>203.21935660591021</v>
      </c>
      <c r="BJ45" s="59">
        <f t="shared" si="38"/>
        <v>180.54762778843178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0.79050855028535461</v>
      </c>
      <c r="BQ45" s="21">
        <f>EXP(-LN(2)/25)*BQ44+(1-EXP(-LN(2)/25))/(LN(2)/25)*Calculateur!BL45*Calculateur!BN45*VLOOKUP('Données projet'!$B$11,Paramètres!$A$1:$I$89,3,0)*0.475*44/12</f>
        <v>4.1611237209118483</v>
      </c>
      <c r="BR45" s="21">
        <f>EXP(-LN(2)/2)*BR44+(1-EXP(-LN(2)/2))/(LN(2)/2)*BL45*BO45*VLOOKUP('Données projet'!$B$11,Paramètres!$A$1:$I$89,3,0)*0.475*44/12</f>
        <v>0.1416044456309366</v>
      </c>
      <c r="BS45" s="22">
        <f t="shared" si="9"/>
        <v>5.0932367168281401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5.3369963369963358</v>
      </c>
      <c r="BY45" s="12">
        <f>IF('Données projet'!$A$114&gt;35,BY44+BX45-CG44,IF(A45&lt;'Données projet'!$A$114,$BV$205^A45,IF(A45='Données projet'!$A$114,'Données projet'!$B$114,BY44+BX45-CG44)))</f>
        <v>151.74908424908421</v>
      </c>
      <c r="BZ45" s="13">
        <f>BY45*VLOOKUP('Données projet'!$B$12,Paramètres!$A$1:$I$89,3,0)*VLOOKUP('Données projet'!$B$12,Paramètres!$A$1:$I$89,5,0)</f>
        <v>163.34271428571424</v>
      </c>
      <c r="CA45" s="13">
        <f t="shared" si="39"/>
        <v>41.595564246560798</v>
      </c>
      <c r="CB45" s="20">
        <f t="shared" si="10"/>
        <v>356.93416844371239</v>
      </c>
      <c r="CC45" s="59">
        <f t="shared" si="11"/>
        <v>650.26750177704571</v>
      </c>
      <c r="CD45" s="59">
        <f ca="1">AVERAGE(OFFSET($CC$3,0,0,'Données projet'!$E$12+1,1))-AVERAGE(OFFSET($H$3,0,0,'Données projet'!$E$12+1,1))</f>
        <v>211.18501783767226</v>
      </c>
      <c r="CE45" s="59">
        <f t="shared" si="40"/>
        <v>147.98306963466246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5.3369963369963358</v>
      </c>
      <c r="CT45" s="12">
        <f>IF('Données projet'!$A$140&gt;35,CT44+CS45-DB44,IF(A45&lt;'Données projet'!$A$140,$CQ$205^A45,IF(A45='Données projet'!$A$140,'Données projet'!$B$140,CT44+CS45-DB44)))</f>
        <v>151.74908424908421</v>
      </c>
      <c r="CU45" s="17">
        <f>CT45*VLOOKUP('Données projet'!$B$13,Paramètres!$A$1:$I$89,3,0)*VLOOKUP('Données projet'!$B$13,Paramètres!$A$1:$I$89,5,0)</f>
        <v>163.34271428571424</v>
      </c>
      <c r="CV45" s="13">
        <f t="shared" si="41"/>
        <v>41.595564246560798</v>
      </c>
      <c r="CW45" s="20">
        <f t="shared" si="13"/>
        <v>356.93416844371239</v>
      </c>
      <c r="CX45" s="59">
        <f t="shared" si="14"/>
        <v>650.26750177704571</v>
      </c>
      <c r="CY45" s="59">
        <f ca="1">AVERAGE(OFFSET($CX$3,0,0,'Données projet'!$E$13+1,1))-AVERAGE(OFFSET($H$3,0,0,'Données projet'!$E$13+1,1))</f>
        <v>211.18501783767226</v>
      </c>
      <c r="CZ45" s="59">
        <f t="shared" si="42"/>
        <v>147.98306963466246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14.915976331360945</v>
      </c>
      <c r="N46" s="13">
        <f>IF('Données projet'!$A$36&gt;35,N45+M46-V45,IF(A46&lt;'Données projet'!$A$36,$K$205^A46,IF(A46='Données projet'!$A$36,'Données projet'!$B$36,N45+M46-V45)))</f>
        <v>382.66035502958562</v>
      </c>
      <c r="O46" s="13">
        <f>N46*VLOOKUP('Données projet'!$B$9,Paramètres!$A$1:$I$89,3,0)*VLOOKUP('Données projet'!$B$9,Paramètres!$A$1:$I$89,5,0)</f>
        <v>228.83089230769221</v>
      </c>
      <c r="P46" s="13">
        <f t="shared" si="33"/>
        <v>56.029818188799702</v>
      </c>
      <c r="Q46" s="20">
        <f t="shared" si="53"/>
        <v>496.13240411472333</v>
      </c>
      <c r="R46" s="59">
        <f t="shared" si="0"/>
        <v>789.46573744805664</v>
      </c>
      <c r="S46" s="59">
        <f ca="1">AVERAGE(OFFSET($R$3,0,0,'Données projet'!$E$9+1,1))-AVERAGE(OFFSET($H$3,0,0,'Données projet'!$E$9+1,1))</f>
        <v>182.25704762953387</v>
      </c>
      <c r="T46" s="59">
        <f t="shared" si="34"/>
        <v>265.61788177751134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3.8628913334794155</v>
      </c>
      <c r="AA46" s="21">
        <f>EXP(-LN(2)/25)*AA45+(1-EXP(-LN(2)/25))/(LN(2)/25)*Calculateur!V46*Calculateur!X46*VLOOKUP('Données projet'!$B$9,Paramètres!$A$1:$I$89,3,0)*0.475*44/12</f>
        <v>11.945856109157857</v>
      </c>
      <c r="AB46" s="21">
        <f>EXP(-LN(2)/2)*AB45+(1-EXP(-LN(2)/2))/(LN(2)/2)*V46*Y46*VLOOKUP('Données projet'!$B$9,Paramètres!$A$1:$I$89,3,0)*0.475*44/12</f>
        <v>3.2592118818431916E-2</v>
      </c>
      <c r="AC46" s="22">
        <f t="shared" si="3"/>
        <v>15.841339561455705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9.3452380952380913</v>
      </c>
      <c r="AI46" s="13">
        <f>IF('Données projet'!$A$62&gt;35,AI45+AH46-AQ45,IF(A46&lt;'Données projet'!$A$62,$AF$205^A46,IF(A46='Données projet'!$A$62,'Données projet'!$B$62,AI45+AH46-AQ45)))</f>
        <v>137.62637362637363</v>
      </c>
      <c r="AJ46" s="13">
        <f>AI46*VLOOKUP('Données projet'!$B$10,Paramètres!$A$1:$I$89,3,0)*VLOOKUP('Données projet'!$B$10,Paramètres!$A$1:$I$89,5,0)</f>
        <v>139.55314285714289</v>
      </c>
      <c r="AK46" s="13">
        <f t="shared" si="35"/>
        <v>36.19461775941739</v>
      </c>
      <c r="AL46" s="20">
        <f t="shared" si="4"/>
        <v>306.09401640717579</v>
      </c>
      <c r="AM46" s="59">
        <f t="shared" si="5"/>
        <v>599.42734974050904</v>
      </c>
      <c r="AN46" s="59">
        <f ca="1">AVERAGE(OFFSET($AM$3,0,0,'Données projet'!$E$10+1,1))-AVERAGE(OFFSET($H$3,0,0,'Données projet'!$E$10+1,1))</f>
        <v>263.15518481854753</v>
      </c>
      <c r="AO46" s="59">
        <f t="shared" si="36"/>
        <v>210.80755370263819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7</v>
      </c>
      <c r="BD46" s="12">
        <f>IF('Données projet'!$A$88&gt;35,BD45+BC46-BL45,IF(A46&lt;'Données projet'!$A$88,$BA$205^A46,IF(A46='Données projet'!$A$88,'Données projet'!$B$88,BD45+BC46-BL45)))</f>
        <v>170.99999999999991</v>
      </c>
      <c r="BE46" s="13">
        <f>BD46*VLOOKUP('Données projet'!$B$11,Paramètres!$A$1:$I$89,3,0)*VLOOKUP('Données projet'!$B$11,Paramètres!$A$1:$I$89,5,0)</f>
        <v>138.71519999999995</v>
      </c>
      <c r="BF46" s="13">
        <f t="shared" si="37"/>
        <v>36.00251811294995</v>
      </c>
      <c r="BG46" s="20">
        <f t="shared" si="7"/>
        <v>304.30002571338775</v>
      </c>
      <c r="BH46" s="59">
        <f t="shared" si="8"/>
        <v>597.63335904672113</v>
      </c>
      <c r="BI46" s="59">
        <f ca="1">AVERAGE(OFFSET($BH$3,0,0,'Données projet'!$E$11+1,1))-AVERAGE(OFFSET($H$3,0,0,'Données projet'!$E$11+1,1))</f>
        <v>203.21935660591021</v>
      </c>
      <c r="BJ46" s="59">
        <f t="shared" si="38"/>
        <v>180.54762778843178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0.77500715977686485</v>
      </c>
      <c r="BQ46" s="21">
        <f>EXP(-LN(2)/25)*BQ45+(1-EXP(-LN(2)/25))/(LN(2)/25)*Calculateur!BL46*Calculateur!BN46*VLOOKUP('Données projet'!$B$11,Paramètres!$A$1:$I$89,3,0)*0.475*44/12</f>
        <v>4.0473375739395276</v>
      </c>
      <c r="BR46" s="21">
        <f>EXP(-LN(2)/2)*BR45+(1-EXP(-LN(2)/2))/(LN(2)/2)*BL46*BO46*VLOOKUP('Données projet'!$B$11,Paramètres!$A$1:$I$89,3,0)*0.475*44/12</f>
        <v>0.10012946375179706</v>
      </c>
      <c r="BS46" s="22">
        <f t="shared" si="9"/>
        <v>4.9224741974681896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5.3369963369963358</v>
      </c>
      <c r="BY46" s="12">
        <f>IF('Données projet'!$A$114&gt;35,BY45+BX46-CG45,IF(A46&lt;'Données projet'!$A$114,$BV$205^A46,IF(A46='Données projet'!$A$114,'Données projet'!$B$114,BY45+BX46-CG45)))</f>
        <v>157.08608058608053</v>
      </c>
      <c r="BZ46" s="13">
        <f>BY46*VLOOKUP('Données projet'!$B$12,Paramètres!$A$1:$I$89,3,0)*VLOOKUP('Données projet'!$B$12,Paramètres!$A$1:$I$89,5,0)</f>
        <v>169.08745714285709</v>
      </c>
      <c r="CA46" s="13">
        <f t="shared" si="39"/>
        <v>42.885580363258008</v>
      </c>
      <c r="CB46" s="20">
        <f t="shared" si="10"/>
        <v>369.1863736564838</v>
      </c>
      <c r="CC46" s="59">
        <f t="shared" si="11"/>
        <v>662.51970698981711</v>
      </c>
      <c r="CD46" s="59">
        <f ca="1">AVERAGE(OFFSET($CC$3,0,0,'Données projet'!$E$12+1,1))-AVERAGE(OFFSET($H$3,0,0,'Données projet'!$E$12+1,1))</f>
        <v>211.18501783767226</v>
      </c>
      <c r="CE46" s="59">
        <f t="shared" si="40"/>
        <v>147.98306963466246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5.3369963369963358</v>
      </c>
      <c r="CT46" s="12">
        <f>IF('Données projet'!$A$140&gt;35,CT45+CS46-DB45,IF(A46&lt;'Données projet'!$A$140,$CQ$205^A46,IF(A46='Données projet'!$A$140,'Données projet'!$B$140,CT45+CS46-DB45)))</f>
        <v>157.08608058608053</v>
      </c>
      <c r="CU46" s="17">
        <f>CT46*VLOOKUP('Données projet'!$B$13,Paramètres!$A$1:$I$89,3,0)*VLOOKUP('Données projet'!$B$13,Paramètres!$A$1:$I$89,5,0)</f>
        <v>169.08745714285709</v>
      </c>
      <c r="CV46" s="13">
        <f t="shared" si="41"/>
        <v>42.885580363258008</v>
      </c>
      <c r="CW46" s="20">
        <f t="shared" si="13"/>
        <v>369.1863736564838</v>
      </c>
      <c r="CX46" s="59">
        <f t="shared" si="14"/>
        <v>662.51970698981711</v>
      </c>
      <c r="CY46" s="59">
        <f ca="1">AVERAGE(OFFSET($CX$3,0,0,'Données projet'!$E$13+1,1))-AVERAGE(OFFSET($H$3,0,0,'Données projet'!$E$13+1,1))</f>
        <v>211.18501783767226</v>
      </c>
      <c r="CZ46" s="59">
        <f t="shared" si="42"/>
        <v>147.98306963466246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14.915976331360945</v>
      </c>
      <c r="N47" s="13">
        <f>IF('Données projet'!$A$36&gt;35,N46+M47-V46,IF(A47&lt;'Données projet'!$A$36,$K$205^A47,IF(A47='Données projet'!$A$36,'Données projet'!$B$36,N46+M47-V46)))</f>
        <v>397.57633136094654</v>
      </c>
      <c r="O47" s="13">
        <f>N47*VLOOKUP('Données projet'!$B$9,Paramètres!$A$1:$I$89,3,0)*VLOOKUP('Données projet'!$B$9,Paramètres!$A$1:$I$89,5,0)</f>
        <v>237.75064615384605</v>
      </c>
      <c r="P47" s="13">
        <f t="shared" si="33"/>
        <v>57.955306134890677</v>
      </c>
      <c r="Q47" s="20">
        <f t="shared" si="53"/>
        <v>515.02120023621649</v>
      </c>
      <c r="R47" s="59">
        <f t="shared" si="0"/>
        <v>808.35453356954986</v>
      </c>
      <c r="S47" s="59">
        <f ca="1">AVERAGE(OFFSET($R$3,0,0,'Données projet'!$E$9+1,1))-AVERAGE(OFFSET($H$3,0,0,'Données projet'!$E$9+1,1))</f>
        <v>182.25704762953387</v>
      </c>
      <c r="T47" s="59">
        <f t="shared" si="34"/>
        <v>265.61788177751134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3.7871423905609491</v>
      </c>
      <c r="AA47" s="21">
        <f>EXP(-LN(2)/25)*AA46+(1-EXP(-LN(2)/25))/(LN(2)/25)*Calculateur!V47*Calculateur!X47*VLOOKUP('Données projet'!$B$9,Paramètres!$A$1:$I$89,3,0)*0.475*44/12</f>
        <v>11.619196045647666</v>
      </c>
      <c r="AB47" s="21">
        <f>EXP(-LN(2)/2)*AB46+(1-EXP(-LN(2)/2))/(LN(2)/2)*V47*Y47*VLOOKUP('Données projet'!$B$9,Paramètres!$A$1:$I$89,3,0)*0.475*44/12</f>
        <v>2.3046108229750895E-2</v>
      </c>
      <c r="AC47" s="22">
        <f t="shared" si="3"/>
        <v>15.429384544438365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9.3452380952380913</v>
      </c>
      <c r="AI47" s="13">
        <f>IF('Données projet'!$A$62&gt;35,AI46+AH47-AQ46,IF(A47&lt;'Données projet'!$A$62,$AF$205^A47,IF(A47='Données projet'!$A$62,'Données projet'!$B$62,AI46+AH47-AQ46)))</f>
        <v>146.97161172161174</v>
      </c>
      <c r="AJ47" s="13">
        <f>AI47*VLOOKUP('Données projet'!$B$10,Paramètres!$A$1:$I$89,3,0)*VLOOKUP('Données projet'!$B$10,Paramètres!$A$1:$I$89,5,0)</f>
        <v>149.02921428571432</v>
      </c>
      <c r="AK47" s="13">
        <f t="shared" si="35"/>
        <v>38.357887785185063</v>
      </c>
      <c r="AL47" s="20">
        <f t="shared" si="4"/>
        <v>326.36586944014971</v>
      </c>
      <c r="AM47" s="59">
        <f t="shared" si="5"/>
        <v>619.69920277348297</v>
      </c>
      <c r="AN47" s="59">
        <f ca="1">AVERAGE(OFFSET($AM$3,0,0,'Données projet'!$E$10+1,1))-AVERAGE(OFFSET($H$3,0,0,'Données projet'!$E$10+1,1))</f>
        <v>263.15518481854753</v>
      </c>
      <c r="AO47" s="59">
        <f t="shared" si="36"/>
        <v>210.80755370263819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7</v>
      </c>
      <c r="BD47" s="12">
        <f>IF('Données projet'!$A$88&gt;35,BD46+BC47-BL46,IF(A47&lt;'Données projet'!$A$88,$BA$205^A47,IF(A47='Données projet'!$A$88,'Données projet'!$B$88,BD46+BC47-BL46)))</f>
        <v>177.99999999999991</v>
      </c>
      <c r="BE47" s="13">
        <f>BD47*VLOOKUP('Données projet'!$B$11,Paramètres!$A$1:$I$89,3,0)*VLOOKUP('Données projet'!$B$11,Paramètres!$A$1:$I$89,5,0)</f>
        <v>144.39359999999994</v>
      </c>
      <c r="BF47" s="13">
        <f t="shared" si="37"/>
        <v>37.301700301601691</v>
      </c>
      <c r="BG47" s="20">
        <f t="shared" si="7"/>
        <v>316.45264802528953</v>
      </c>
      <c r="BH47" s="59">
        <f t="shared" si="8"/>
        <v>609.78598135862285</v>
      </c>
      <c r="BI47" s="59">
        <f ca="1">AVERAGE(OFFSET($BH$3,0,0,'Données projet'!$E$11+1,1))-AVERAGE(OFFSET($H$3,0,0,'Données projet'!$E$11+1,1))</f>
        <v>203.21935660591021</v>
      </c>
      <c r="BJ47" s="59">
        <f t="shared" si="38"/>
        <v>180.54762778843178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0.75980974208133201</v>
      </c>
      <c r="BQ47" s="21">
        <f>EXP(-LN(2)/25)*BQ46+(1-EXP(-LN(2)/25))/(LN(2)/25)*Calculateur!BL47*Calculateur!BN47*VLOOKUP('Données projet'!$B$11,Paramètres!$A$1:$I$89,3,0)*0.475*44/12</f>
        <v>3.9366629151399186</v>
      </c>
      <c r="BR47" s="21">
        <f>EXP(-LN(2)/2)*BR46+(1-EXP(-LN(2)/2))/(LN(2)/2)*BL47*BO47*VLOOKUP('Données projet'!$B$11,Paramètres!$A$1:$I$89,3,0)*0.475*44/12</f>
        <v>7.0802222815468302E-2</v>
      </c>
      <c r="BS47" s="22">
        <f t="shared" si="9"/>
        <v>4.7672748800367186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>
        <f>VLOOKUP(A47,'Données projet'!$A$113:$I$133,2,0)</f>
        <v>162.42307692307691</v>
      </c>
      <c r="BW47" s="12">
        <f>VLOOKUP(A47,'Données projet'!$A$113:$I$133,9,0)</f>
        <v>5.3369963369963358</v>
      </c>
      <c r="BX47" s="12">
        <f t="array" ref="BX47">INDEX(BW:BW,MIN(IF(ISNUMBER(BW47:BW243),ROW(BW47:BW243),"")))</f>
        <v>5.3369963369963358</v>
      </c>
      <c r="BY47" s="12">
        <f>IF('Données projet'!$A$114&gt;35,BY46+BX47-CG46,IF(A47&lt;'Données projet'!$A$114,$BV$205^A47,IF(A47='Données projet'!$A$114,'Données projet'!$B$114,BY46+BX47-CG46)))</f>
        <v>162.42307692307685</v>
      </c>
      <c r="BZ47" s="13">
        <f>BY47*VLOOKUP('Données projet'!$B$12,Paramètres!$A$1:$I$89,3,0)*VLOOKUP('Données projet'!$B$12,Paramètres!$A$1:$I$89,5,0)</f>
        <v>174.83219999999992</v>
      </c>
      <c r="CA47" s="13">
        <f t="shared" si="39"/>
        <v>44.17050390859356</v>
      </c>
      <c r="CB47" s="20">
        <f t="shared" si="10"/>
        <v>381.42970930746696</v>
      </c>
      <c r="CC47" s="59">
        <f t="shared" si="11"/>
        <v>674.76304264080022</v>
      </c>
      <c r="CD47" s="59">
        <f ca="1">AVERAGE(OFFSET($CC$3,0,0,'Données projet'!$E$12+1,1))-AVERAGE(OFFSET($H$3,0,0,'Données projet'!$E$12+1,1))</f>
        <v>211.18501783767226</v>
      </c>
      <c r="CE47" s="59">
        <f t="shared" si="40"/>
        <v>147.98306963466246</v>
      </c>
      <c r="CF47" s="15">
        <f>IF(ISNA(VLOOKUP(A47,'Données projet'!$A$113:$I$133,3,0)),0,VLOOKUP(A47,'Données projet'!$A$113:$I$133,3,0))</f>
        <v>1</v>
      </c>
      <c r="CG47" s="15">
        <f>IF(ISNA(VLOOKUP(A47,'Données projet'!$A$113:$I$133,4,0)),0,VLOOKUP(A47,'Données projet'!$A$113:$I$133,4,0))</f>
        <v>64.416666666666657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>
        <f>VLOOKUP(A47,'Données projet'!$A$139:$I$159,2,0)</f>
        <v>162.42307692307691</v>
      </c>
      <c r="CR47" s="12">
        <f>VLOOKUP(A47,'Données projet'!$A$139:$I$159,9,0)</f>
        <v>5.3369963369963358</v>
      </c>
      <c r="CS47" s="12">
        <f t="array" ref="CS47">INDEX(CR:CR,MIN(IF(ISNUMBER(CR47:CR243),ROW(CR47:CR243),"")))</f>
        <v>5.3369963369963358</v>
      </c>
      <c r="CT47" s="12">
        <f>IF('Données projet'!$A$140&gt;35,CT46+CS47-DB46,IF(A47&lt;'Données projet'!$A$140,$CQ$205^A47,IF(A47='Données projet'!$A$140,'Données projet'!$B$140,CT46+CS47-DB46)))</f>
        <v>162.42307692307685</v>
      </c>
      <c r="CU47" s="17">
        <f>CT47*VLOOKUP('Données projet'!$B$13,Paramètres!$A$1:$I$89,3,0)*VLOOKUP('Données projet'!$B$13,Paramètres!$A$1:$I$89,5,0)</f>
        <v>174.83219999999992</v>
      </c>
      <c r="CV47" s="13">
        <f t="shared" si="41"/>
        <v>44.17050390859356</v>
      </c>
      <c r="CW47" s="20">
        <f t="shared" si="13"/>
        <v>381.42970930746696</v>
      </c>
      <c r="CX47" s="59">
        <f t="shared" si="14"/>
        <v>674.76304264080022</v>
      </c>
      <c r="CY47" s="59">
        <f ca="1">AVERAGE(OFFSET($CX$3,0,0,'Données projet'!$E$13+1,1))-AVERAGE(OFFSET($H$3,0,0,'Données projet'!$E$13+1,1))</f>
        <v>211.18501783767226</v>
      </c>
      <c r="CZ47" s="59">
        <f t="shared" si="42"/>
        <v>147.98306963466246</v>
      </c>
      <c r="DA47" s="15">
        <f>IF(ISNA(VLOOKUP(A47,'Données projet'!$A$139:$I$159,3,0)),0,VLOOKUP(A47,'Données projet'!$A$139:$I$159,3,0))</f>
        <v>1</v>
      </c>
      <c r="DB47" s="15">
        <f>IF(ISNA(VLOOKUP(A47,'Données projet'!$A$139:$I$159,4,0)),0,VLOOKUP(A47,'Données projet'!$A$139:$I$159,4,0))</f>
        <v>64.416666666666657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412.49230769230769</v>
      </c>
      <c r="L48" s="12">
        <f>VLOOKUP(A48,'Données projet'!$A$35:$I$55,9,0)</f>
        <v>14.915976331360945</v>
      </c>
      <c r="M48" s="12">
        <f t="array" ref="M48">INDEX(L:L,MIN(IF(ISNUMBER(L48:L244),ROW(L48:L244),"")))</f>
        <v>14.915976331360945</v>
      </c>
      <c r="N48" s="13">
        <f>IF('Données projet'!$A$36&gt;35,N47+M48-V47,IF(A48&lt;'Données projet'!$A$36,$K$205^A48,IF(A48='Données projet'!$A$36,'Données projet'!$B$36,N47+M48-V47)))</f>
        <v>412.49230769230746</v>
      </c>
      <c r="O48" s="13">
        <f>N48*VLOOKUP('Données projet'!$B$9,Paramètres!$A$1:$I$89,3,0)*VLOOKUP('Données projet'!$B$9,Paramètres!$A$1:$I$89,5,0)</f>
        <v>246.67039999999986</v>
      </c>
      <c r="P48" s="13">
        <f t="shared" si="33"/>
        <v>59.872401710742935</v>
      </c>
      <c r="Q48" s="20">
        <f t="shared" si="53"/>
        <v>533.89537964621024</v>
      </c>
      <c r="R48" s="59">
        <f t="shared" si="0"/>
        <v>827.22871297954362</v>
      </c>
      <c r="S48" s="59">
        <f ca="1">AVERAGE(OFFSET($R$3,0,0,'Données projet'!$E$9+1,1))-AVERAGE(OFFSET($H$3,0,0,'Données projet'!$E$9+1,1))</f>
        <v>182.25704762953387</v>
      </c>
      <c r="T48" s="59">
        <f t="shared" si="34"/>
        <v>265.61788177751134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412.49230769230769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3.7128788382108207</v>
      </c>
      <c r="AA48" s="21">
        <f>EXP(-LN(2)/25)*AA47+(1-EXP(-LN(2)/25))/(LN(2)/25)*Calculateur!V48*Calculateur!X48*VLOOKUP('Données projet'!$B$9,Paramètres!$A$1:$I$89,3,0)*0.475*44/12</f>
        <v>11.301468518752467</v>
      </c>
      <c r="AB48" s="21">
        <f>EXP(-LN(2)/2)*AB47+(1-EXP(-LN(2)/2))/(LN(2)/2)*V48*Y48*VLOOKUP('Données projet'!$B$9,Paramètres!$A$1:$I$89,3,0)*0.475*44/12</f>
        <v>1.6296059409215958E-2</v>
      </c>
      <c r="AC48" s="22">
        <f t="shared" si="3"/>
        <v>15.030643416372504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9.3452380952380913</v>
      </c>
      <c r="AI48" s="13">
        <f>IF('Données projet'!$A$62&gt;35,AI47+AH48-AQ47,IF(A48&lt;'Données projet'!$A$62,$AF$205^A48,IF(A48='Données projet'!$A$62,'Données projet'!$B$62,AI47+AH48-AQ47)))</f>
        <v>156.31684981684984</v>
      </c>
      <c r="AJ48" s="13">
        <f>AI48*VLOOKUP('Données projet'!$B$10,Paramètres!$A$1:$I$89,3,0)*VLOOKUP('Données projet'!$B$10,Paramètres!$A$1:$I$89,5,0)</f>
        <v>158.50528571428575</v>
      </c>
      <c r="AK48" s="13">
        <f t="shared" si="35"/>
        <v>40.505194484738432</v>
      </c>
      <c r="AL48" s="20">
        <f t="shared" si="4"/>
        <v>346.60991967996711</v>
      </c>
      <c r="AM48" s="59">
        <f t="shared" si="5"/>
        <v>639.94325301330036</v>
      </c>
      <c r="AN48" s="59">
        <f ca="1">AVERAGE(OFFSET($AM$3,0,0,'Données projet'!$E$10+1,1))-AVERAGE(OFFSET($H$3,0,0,'Données projet'!$E$10+1,1))</f>
        <v>263.15518481854753</v>
      </c>
      <c r="AO48" s="59">
        <f t="shared" si="36"/>
        <v>210.80755370263819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7</v>
      </c>
      <c r="BD48" s="12">
        <f>IF('Données projet'!$A$88&gt;35,BD47+BC48-BL47,IF(A48&lt;'Données projet'!$A$88,$BA$205^A48,IF(A48='Données projet'!$A$88,'Données projet'!$B$88,BD47+BC48-BL47)))</f>
        <v>184.99999999999991</v>
      </c>
      <c r="BE48" s="13">
        <f>BD48*VLOOKUP('Données projet'!$B$11,Paramètres!$A$1:$I$89,3,0)*VLOOKUP('Données projet'!$B$11,Paramètres!$A$1:$I$89,5,0)</f>
        <v>150.07199999999995</v>
      </c>
      <c r="BF48" s="13">
        <f t="shared" si="37"/>
        <v>38.594947422201457</v>
      </c>
      <c r="BG48" s="20">
        <f t="shared" si="7"/>
        <v>328.5949334270008</v>
      </c>
      <c r="BH48" s="59">
        <f t="shared" si="8"/>
        <v>621.92826676033405</v>
      </c>
      <c r="BI48" s="59">
        <f ca="1">AVERAGE(OFFSET($BH$3,0,0,'Données projet'!$E$11+1,1))-AVERAGE(OFFSET($H$3,0,0,'Données projet'!$E$11+1,1))</f>
        <v>203.21935660591021</v>
      </c>
      <c r="BJ48" s="59">
        <f t="shared" si="38"/>
        <v>180.54762778843178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0.74491033647729898</v>
      </c>
      <c r="BQ48" s="21">
        <f>EXP(-LN(2)/25)*BQ47+(1-EXP(-LN(2)/25))/(LN(2)/25)*Calculateur!BL48*Calculateur!BN48*VLOOKUP('Données projet'!$B$11,Paramètres!$A$1:$I$89,3,0)*0.475*44/12</f>
        <v>3.8290146607053122</v>
      </c>
      <c r="BR48" s="21">
        <f>EXP(-LN(2)/2)*BR47+(1-EXP(-LN(2)/2))/(LN(2)/2)*BL48*BO48*VLOOKUP('Données projet'!$B$11,Paramètres!$A$1:$I$89,3,0)*0.475*44/12</f>
        <v>5.0064731875898529E-2</v>
      </c>
      <c r="BS48" s="22">
        <f t="shared" si="9"/>
        <v>4.6239897290585095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6.8260073260073284</v>
      </c>
      <c r="BY48" s="12">
        <f>IF('Données projet'!$A$114&gt;35,BY47+BX48-CG47,IF(A48&lt;'Données projet'!$A$114,$BV$205^A48,IF(A48='Données projet'!$A$114,'Données projet'!$B$114,BY47+BX48-CG47)))</f>
        <v>104.83241758241752</v>
      </c>
      <c r="BZ48" s="13">
        <f>BY48*VLOOKUP('Données projet'!$B$12,Paramètres!$A$1:$I$89,3,0)*VLOOKUP('Données projet'!$B$12,Paramètres!$A$1:$I$89,5,0)</f>
        <v>112.84161428571423</v>
      </c>
      <c r="CA48" s="13">
        <f t="shared" si="39"/>
        <v>29.999494023991062</v>
      </c>
      <c r="CB48" s="20">
        <f t="shared" si="10"/>
        <v>248.78159697273676</v>
      </c>
      <c r="CC48" s="59">
        <f t="shared" si="11"/>
        <v>542.11493030607005</v>
      </c>
      <c r="CD48" s="59">
        <f ca="1">AVERAGE(OFFSET($CC$3,0,0,'Données projet'!$E$12+1,1))-AVERAGE(OFFSET($H$3,0,0,'Données projet'!$E$12+1,1))</f>
        <v>211.18501783767226</v>
      </c>
      <c r="CE48" s="59">
        <f t="shared" si="40"/>
        <v>147.98306963466246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6.8260073260073284</v>
      </c>
      <c r="CT48" s="12">
        <f>IF('Données projet'!$A$140&gt;35,CT47+CS48-DB47,IF(A48&lt;'Données projet'!$A$140,$CQ$205^A48,IF(A48='Données projet'!$A$140,'Données projet'!$B$140,CT47+CS48-DB47)))</f>
        <v>104.83241758241752</v>
      </c>
      <c r="CU48" s="17">
        <f>CT48*VLOOKUP('Données projet'!$B$13,Paramètres!$A$1:$I$89,3,0)*VLOOKUP('Données projet'!$B$13,Paramètres!$A$1:$I$89,5,0)</f>
        <v>112.84161428571423</v>
      </c>
      <c r="CV48" s="13">
        <f t="shared" si="41"/>
        <v>29.999494023991062</v>
      </c>
      <c r="CW48" s="20">
        <f t="shared" si="13"/>
        <v>248.78159697273676</v>
      </c>
      <c r="CX48" s="59">
        <f t="shared" si="14"/>
        <v>542.11493030607005</v>
      </c>
      <c r="CY48" s="59">
        <f ca="1">AVERAGE(OFFSET($CX$3,0,0,'Données projet'!$E$13+1,1))-AVERAGE(OFFSET($H$3,0,0,'Données projet'!$E$13+1,1))</f>
        <v>211.18501783767226</v>
      </c>
      <c r="CZ48" s="59">
        <f t="shared" si="42"/>
        <v>147.98306963466246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-2.2737367544323206E-13</v>
      </c>
      <c r="O49" s="13">
        <f>N49*VLOOKUP('Données projet'!$B$9,Paramètres!$A$1:$I$89,3,0)*VLOOKUP('Données projet'!$B$9,Paramètres!$A$1:$I$89,5,0)</f>
        <v>-1.3596945791505279E-13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182.25704762953387</v>
      </c>
      <c r="T49" s="59">
        <f t="shared" si="34"/>
        <v>265.61788177751134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3.640071548825984</v>
      </c>
      <c r="AA49" s="21">
        <f>EXP(-LN(2)/25)*AA48+(1-EXP(-LN(2)/25))/(LN(2)/25)*Calculateur!V49*Calculateur!X49*VLOOKUP('Données projet'!$B$9,Paramètres!$A$1:$I$89,3,0)*0.475*44/12</f>
        <v>10.992429267788781</v>
      </c>
      <c r="AB49" s="21">
        <f>EXP(-LN(2)/2)*AB48+(1-EXP(-LN(2)/2))/(LN(2)/2)*V49*Y49*VLOOKUP('Données projet'!$B$9,Paramètres!$A$1:$I$89,3,0)*0.475*44/12</f>
        <v>1.1523054114875447E-2</v>
      </c>
      <c r="AC49" s="22">
        <f t="shared" si="3"/>
        <v>14.64402387072964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9.3452380952380913</v>
      </c>
      <c r="AI49" s="13">
        <f>IF('Données projet'!$A$62&gt;35,AI48+AH49-AQ48,IF(A49&lt;'Données projet'!$A$62,$AF$205^A49,IF(A49='Données projet'!$A$62,'Données projet'!$B$62,AI48+AH49-AQ48)))</f>
        <v>165.66208791208794</v>
      </c>
      <c r="AJ49" s="13">
        <f>AI49*VLOOKUP('Données projet'!$B$10,Paramètres!$A$1:$I$89,3,0)*VLOOKUP('Données projet'!$B$10,Paramètres!$A$1:$I$89,5,0)</f>
        <v>167.98135714285718</v>
      </c>
      <c r="AK49" s="13">
        <f t="shared" si="35"/>
        <v>42.637600900233188</v>
      </c>
      <c r="AL49" s="20">
        <f t="shared" si="4"/>
        <v>366.82801859171565</v>
      </c>
      <c r="AM49" s="59">
        <f t="shared" si="5"/>
        <v>660.16135192504896</v>
      </c>
      <c r="AN49" s="59">
        <f ca="1">AVERAGE(OFFSET($AM$3,0,0,'Données projet'!$E$10+1,1))-AVERAGE(OFFSET($H$3,0,0,'Données projet'!$E$10+1,1))</f>
        <v>263.15518481854753</v>
      </c>
      <c r="AO49" s="59">
        <f t="shared" si="36"/>
        <v>210.80755370263819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</v>
      </c>
      <c r="BD49" s="12">
        <f>IF('Données projet'!$A$88&gt;35,BD48+BC49-BL48,IF(A49&lt;'Données projet'!$A$88,$BA$205^A49,IF(A49='Données projet'!$A$88,'Données projet'!$B$88,BD48+BC49-BL48)))</f>
        <v>191.99999999999991</v>
      </c>
      <c r="BE49" s="13">
        <f>BD49*VLOOKUP('Données projet'!$B$11,Paramètres!$A$1:$I$89,3,0)*VLOOKUP('Données projet'!$B$11,Paramètres!$A$1:$I$89,5,0)</f>
        <v>155.75039999999996</v>
      </c>
      <c r="BF49" s="13">
        <f t="shared" si="37"/>
        <v>39.882509755133754</v>
      </c>
      <c r="BG49" s="20">
        <f t="shared" si="7"/>
        <v>340.72731782352452</v>
      </c>
      <c r="BH49" s="59">
        <f t="shared" si="8"/>
        <v>634.06065115685783</v>
      </c>
      <c r="BI49" s="59">
        <f ca="1">AVERAGE(OFFSET($BH$3,0,0,'Données projet'!$E$11+1,1))-AVERAGE(OFFSET($H$3,0,0,'Données projet'!$E$11+1,1))</f>
        <v>203.21935660591021</v>
      </c>
      <c r="BJ49" s="59">
        <f t="shared" si="38"/>
        <v>180.54762778843178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0.73030309912942104</v>
      </c>
      <c r="BQ49" s="21">
        <f>EXP(-LN(2)/25)*BQ48+(1-EXP(-LN(2)/25))/(LN(2)/25)*Calculateur!BL49*Calculateur!BN49*VLOOKUP('Données projet'!$B$11,Paramètres!$A$1:$I$89,3,0)*0.475*44/12</f>
        <v>3.7243100534491957</v>
      </c>
      <c r="BR49" s="21">
        <f>EXP(-LN(2)/2)*BR48+(1-EXP(-LN(2)/2))/(LN(2)/2)*BL49*BO49*VLOOKUP('Données projet'!$B$11,Paramètres!$A$1:$I$89,3,0)*0.475*44/12</f>
        <v>3.5401111407734151E-2</v>
      </c>
      <c r="BS49" s="22">
        <f t="shared" si="9"/>
        <v>4.4900142639863505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6.8260073260073284</v>
      </c>
      <c r="BY49" s="12">
        <f>IF('Données projet'!$A$114&gt;35,BY48+BX49-CG48,IF(A49&lt;'Données projet'!$A$114,$BV$205^A49,IF(A49='Données projet'!$A$114,'Données projet'!$B$114,BY48+BX49-CG48)))</f>
        <v>111.65842490842485</v>
      </c>
      <c r="BZ49" s="13">
        <f>BY49*VLOOKUP('Données projet'!$B$12,Paramètres!$A$1:$I$89,3,0)*VLOOKUP('Données projet'!$B$12,Paramètres!$A$1:$I$89,5,0)</f>
        <v>120.18912857142851</v>
      </c>
      <c r="CA49" s="13">
        <f t="shared" si="39"/>
        <v>31.719106383738488</v>
      </c>
      <c r="CB49" s="20">
        <f t="shared" si="10"/>
        <v>264.5735092135825</v>
      </c>
      <c r="CC49" s="59">
        <f t="shared" si="11"/>
        <v>557.90684254691587</v>
      </c>
      <c r="CD49" s="59">
        <f ca="1">AVERAGE(OFFSET($CC$3,0,0,'Données projet'!$E$12+1,1))-AVERAGE(OFFSET($H$3,0,0,'Données projet'!$E$12+1,1))</f>
        <v>211.18501783767226</v>
      </c>
      <c r="CE49" s="59">
        <f t="shared" si="40"/>
        <v>147.98306963466246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6.8260073260073284</v>
      </c>
      <c r="CT49" s="12">
        <f>IF('Données projet'!$A$140&gt;35,CT48+CS49-DB48,IF(A49&lt;'Données projet'!$A$140,$CQ$205^A49,IF(A49='Données projet'!$A$140,'Données projet'!$B$140,CT48+CS49-DB48)))</f>
        <v>111.65842490842485</v>
      </c>
      <c r="CU49" s="17">
        <f>CT49*VLOOKUP('Données projet'!$B$13,Paramètres!$A$1:$I$89,3,0)*VLOOKUP('Données projet'!$B$13,Paramètres!$A$1:$I$89,5,0)</f>
        <v>120.18912857142851</v>
      </c>
      <c r="CV49" s="13">
        <f t="shared" si="41"/>
        <v>31.719106383738488</v>
      </c>
      <c r="CW49" s="20">
        <f t="shared" si="13"/>
        <v>264.5735092135825</v>
      </c>
      <c r="CX49" s="59">
        <f t="shared" si="14"/>
        <v>557.90684254691587</v>
      </c>
      <c r="CY49" s="59">
        <f ca="1">AVERAGE(OFFSET($CX$3,0,0,'Données projet'!$E$13+1,1))-AVERAGE(OFFSET($H$3,0,0,'Données projet'!$E$13+1,1))</f>
        <v>211.18501783767226</v>
      </c>
      <c r="CZ49" s="59">
        <f t="shared" si="42"/>
        <v>147.98306963466246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-2.2737367544323206E-13</v>
      </c>
      <c r="O50" s="13">
        <f>N50*VLOOKUP('Données projet'!$B$9,Paramètres!$A$1:$I$89,3,0)*VLOOKUP('Données projet'!$B$9,Paramètres!$A$1:$I$89,5,0)</f>
        <v>-1.3596945791505279E-13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182.25704762953387</v>
      </c>
      <c r="T50" s="59">
        <f t="shared" si="34"/>
        <v>265.61788177751134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3.5686919659779224</v>
      </c>
      <c r="AA50" s="21">
        <f>EXP(-LN(2)/25)*AA49+(1-EXP(-LN(2)/25))/(LN(2)/25)*Calculateur!V50*Calculateur!X50*VLOOKUP('Données projet'!$B$9,Paramètres!$A$1:$I$89,3,0)*0.475*44/12</f>
        <v>10.691840711394365</v>
      </c>
      <c r="AB50" s="21">
        <f>EXP(-LN(2)/2)*AB49+(1-EXP(-LN(2)/2))/(LN(2)/2)*V50*Y50*VLOOKUP('Données projet'!$B$9,Paramètres!$A$1:$I$89,3,0)*0.475*44/12</f>
        <v>8.1480297046079789E-3</v>
      </c>
      <c r="AC50" s="22">
        <f t="shared" si="3"/>
        <v>14.268680707076896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9.3452380952380913</v>
      </c>
      <c r="AI50" s="13">
        <f>IF('Données projet'!$A$62&gt;35,AI49+AH50-AQ49,IF(A50&lt;'Données projet'!$A$62,$AF$205^A50,IF(A50='Données projet'!$A$62,'Données projet'!$B$62,AI49+AH50-AQ49)))</f>
        <v>175.00732600732604</v>
      </c>
      <c r="AJ50" s="13">
        <f>AI50*VLOOKUP('Données projet'!$B$10,Paramètres!$A$1:$I$89,3,0)*VLOOKUP('Données projet'!$B$10,Paramètres!$A$1:$I$89,5,0)</f>
        <v>177.45742857142864</v>
      </c>
      <c r="AK50" s="13">
        <f t="shared" si="35"/>
        <v>44.756043364287997</v>
      </c>
      <c r="AL50" s="20">
        <f t="shared" si="4"/>
        <v>387.02179695470642</v>
      </c>
      <c r="AM50" s="59">
        <f t="shared" si="5"/>
        <v>680.35513028803973</v>
      </c>
      <c r="AN50" s="59">
        <f ca="1">AVERAGE(OFFSET($AM$3,0,0,'Données projet'!$E$10+1,1))-AVERAGE(OFFSET($H$3,0,0,'Données projet'!$E$10+1,1))</f>
        <v>263.15518481854753</v>
      </c>
      <c r="AO50" s="59">
        <f t="shared" si="36"/>
        <v>210.80755370263819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</v>
      </c>
      <c r="BD50" s="12">
        <f>IF('Données projet'!$A$88&gt;35,BD49+BC50-BL49,IF(A50&lt;'Données projet'!$A$88,$BA$205^A50,IF(A50='Données projet'!$A$88,'Données projet'!$B$88,BD49+BC50-BL49)))</f>
        <v>198.99999999999991</v>
      </c>
      <c r="BE50" s="13">
        <f>BD50*VLOOKUP('Données projet'!$B$11,Paramètres!$A$1:$I$89,3,0)*VLOOKUP('Données projet'!$B$11,Paramètres!$A$1:$I$89,5,0)</f>
        <v>161.42879999999994</v>
      </c>
      <c r="BF50" s="13">
        <f t="shared" si="37"/>
        <v>41.1646182969302</v>
      </c>
      <c r="BG50" s="20">
        <f t="shared" si="7"/>
        <v>352.85020353381998</v>
      </c>
      <c r="BH50" s="59">
        <f t="shared" si="8"/>
        <v>646.18353686715329</v>
      </c>
      <c r="BI50" s="59">
        <f ca="1">AVERAGE(OFFSET($BH$3,0,0,'Données projet'!$E$11+1,1))-AVERAGE(OFFSET($H$3,0,0,'Données projet'!$E$11+1,1))</f>
        <v>203.21935660591021</v>
      </c>
      <c r="BJ50" s="59">
        <f t="shared" si="38"/>
        <v>180.54762778843178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0.71598230079639991</v>
      </c>
      <c r="BQ50" s="21">
        <f>EXP(-LN(2)/25)*BQ49+(1-EXP(-LN(2)/25))/(LN(2)/25)*Calculateur!BL50*Calculateur!BN50*VLOOKUP('Données projet'!$B$11,Paramètres!$A$1:$I$89,3,0)*0.475*44/12</f>
        <v>3.6224685991846739</v>
      </c>
      <c r="BR50" s="21">
        <f>EXP(-LN(2)/2)*BR49+(1-EXP(-LN(2)/2))/(LN(2)/2)*BL50*BO50*VLOOKUP('Données projet'!$B$11,Paramètres!$A$1:$I$89,3,0)*0.475*44/12</f>
        <v>2.5032365937949264E-2</v>
      </c>
      <c r="BS50" s="22">
        <f t="shared" si="9"/>
        <v>4.3634832659190232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6.8260073260073284</v>
      </c>
      <c r="BY50" s="12">
        <f>IF('Données projet'!$A$114&gt;35,BY49+BX50-CG49,IF(A50&lt;'Données projet'!$A$114,$BV$205^A50,IF(A50='Données projet'!$A$114,'Données projet'!$B$114,BY49+BX50-CG49)))</f>
        <v>118.48443223443218</v>
      </c>
      <c r="BZ50" s="13">
        <f>BY50*VLOOKUP('Données projet'!$B$12,Paramètres!$A$1:$I$89,3,0)*VLOOKUP('Données projet'!$B$12,Paramètres!$A$1:$I$89,5,0)</f>
        <v>127.53664285714278</v>
      </c>
      <c r="CA50" s="13">
        <f t="shared" si="39"/>
        <v>33.426517612085448</v>
      </c>
      <c r="CB50" s="20">
        <f t="shared" si="10"/>
        <v>280.34417115057249</v>
      </c>
      <c r="CC50" s="59">
        <f t="shared" si="11"/>
        <v>573.67750448390575</v>
      </c>
      <c r="CD50" s="59">
        <f ca="1">AVERAGE(OFFSET($CC$3,0,0,'Données projet'!$E$12+1,1))-AVERAGE(OFFSET($H$3,0,0,'Données projet'!$E$12+1,1))</f>
        <v>211.18501783767226</v>
      </c>
      <c r="CE50" s="59">
        <f t="shared" si="40"/>
        <v>147.98306963466246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6.8260073260073284</v>
      </c>
      <c r="CT50" s="12">
        <f>IF('Données projet'!$A$140&gt;35,CT49+CS50-DB49,IF(A50&lt;'Données projet'!$A$140,$CQ$205^A50,IF(A50='Données projet'!$A$140,'Données projet'!$B$140,CT49+CS50-DB49)))</f>
        <v>118.48443223443218</v>
      </c>
      <c r="CU50" s="17">
        <f>CT50*VLOOKUP('Données projet'!$B$13,Paramètres!$A$1:$I$89,3,0)*VLOOKUP('Données projet'!$B$13,Paramètres!$A$1:$I$89,5,0)</f>
        <v>127.53664285714278</v>
      </c>
      <c r="CV50" s="13">
        <f t="shared" si="41"/>
        <v>33.426517612085448</v>
      </c>
      <c r="CW50" s="20">
        <f t="shared" si="13"/>
        <v>280.34417115057249</v>
      </c>
      <c r="CX50" s="59">
        <f t="shared" si="14"/>
        <v>573.67750448390575</v>
      </c>
      <c r="CY50" s="59">
        <f ca="1">AVERAGE(OFFSET($CX$3,0,0,'Données projet'!$E$13+1,1))-AVERAGE(OFFSET($H$3,0,0,'Données projet'!$E$13+1,1))</f>
        <v>211.18501783767226</v>
      </c>
      <c r="CZ50" s="59">
        <f t="shared" si="42"/>
        <v>147.98306963466246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-2.2737367544323206E-13</v>
      </c>
      <c r="O51" s="13">
        <f>N51*VLOOKUP('Données projet'!$B$9,Paramètres!$A$1:$I$89,3,0)*VLOOKUP('Données projet'!$B$9,Paramètres!$A$1:$I$89,5,0)</f>
        <v>-1.3596945791505279E-13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182.25704762953387</v>
      </c>
      <c r="T51" s="59">
        <f t="shared" si="34"/>
        <v>265.61788177751134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3.4987120932122644</v>
      </c>
      <c r="AA51" s="21">
        <f>EXP(-LN(2)/25)*AA50+(1-EXP(-LN(2)/25))/(LN(2)/25)*Calculateur!V51*Calculateur!X51*VLOOKUP('Données projet'!$B$9,Paramètres!$A$1:$I$89,3,0)*0.475*44/12</f>
        <v>10.39947176488182</v>
      </c>
      <c r="AB51" s="21">
        <f>EXP(-LN(2)/2)*AB50+(1-EXP(-LN(2)/2))/(LN(2)/2)*V51*Y51*VLOOKUP('Données projet'!$B$9,Paramètres!$A$1:$I$89,3,0)*0.475*44/12</f>
        <v>5.7615270574377236E-3</v>
      </c>
      <c r="AC51" s="22">
        <f t="shared" si="3"/>
        <v>13.903945385151522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184.35256410256409</v>
      </c>
      <c r="AG51" s="12">
        <f>VLOOKUP(A51,'Données projet'!$A$61:$I$81,9,0)</f>
        <v>9.3452380952380913</v>
      </c>
      <c r="AH51" s="12">
        <f t="array" ref="AH51">INDEX(AG:AG,MIN(IF(ISNUMBER(AG51:AG247),ROW(AG51:AG247),"")))</f>
        <v>9.3452380952380913</v>
      </c>
      <c r="AI51" s="13">
        <f>IF('Données projet'!$A$62&gt;35,AI50+AH51-AQ50,IF(A51&lt;'Données projet'!$A$62,$AF$205^A51,IF(A51='Données projet'!$A$62,'Données projet'!$B$62,AI50+AH51-AQ50)))</f>
        <v>184.35256410256414</v>
      </c>
      <c r="AJ51" s="13">
        <f>AI51*VLOOKUP('Données projet'!$B$10,Paramètres!$A$1:$I$89,3,0)*VLOOKUP('Données projet'!$B$10,Paramètres!$A$1:$I$89,5,0)</f>
        <v>186.93350000000004</v>
      </c>
      <c r="AK51" s="13">
        <f t="shared" si="35"/>
        <v>46.861352563060628</v>
      </c>
      <c r="AL51" s="20">
        <f t="shared" si="4"/>
        <v>407.19270154733061</v>
      </c>
      <c r="AM51" s="59">
        <f t="shared" si="5"/>
        <v>700.52603488066393</v>
      </c>
      <c r="AN51" s="59">
        <f ca="1">AVERAGE(OFFSET($AM$3,0,0,'Données projet'!$E$10+1,1))-AVERAGE(OFFSET($H$3,0,0,'Données projet'!$E$10+1,1))</f>
        <v>263.15518481854753</v>
      </c>
      <c r="AO51" s="59">
        <f t="shared" si="36"/>
        <v>210.80755370263819</v>
      </c>
      <c r="AP51" s="15">
        <f>IF(ISNA(VLOOKUP(A51,'Données projet'!$A$61:$I$81,3,0)),0,VLOOKUP(A51,'Données projet'!$A$61:$I$81,3,0))</f>
        <v>3</v>
      </c>
      <c r="AQ51" s="15">
        <f>IF(ISNA(VLOOKUP(A51,'Données projet'!$A$61:$I$81,4,0)),0,VLOOKUP(A51,'Données projet'!$A$61:$I$81,4,0))</f>
        <v>48.025641025641022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</v>
      </c>
      <c r="BD51" s="12">
        <f>IF('Données projet'!$A$88&gt;35,BD50+BC51-BL50,IF(A51&lt;'Données projet'!$A$88,$BA$205^A51,IF(A51='Données projet'!$A$88,'Données projet'!$B$88,BD50+BC51-BL50)))</f>
        <v>205.99999999999991</v>
      </c>
      <c r="BE51" s="13">
        <f>BD51*VLOOKUP('Données projet'!$B$11,Paramètres!$A$1:$I$89,3,0)*VLOOKUP('Données projet'!$B$11,Paramètres!$A$1:$I$89,5,0)</f>
        <v>167.10719999999995</v>
      </c>
      <c r="BF51" s="13">
        <f t="shared" si="37"/>
        <v>42.44148687166966</v>
      </c>
      <c r="BG51" s="20">
        <f t="shared" si="7"/>
        <v>364.96396296815789</v>
      </c>
      <c r="BH51" s="59">
        <f t="shared" si="8"/>
        <v>658.2972963014912</v>
      </c>
      <c r="BI51" s="59">
        <f ca="1">AVERAGE(OFFSET($BH$3,0,0,'Données projet'!$E$11+1,1))-AVERAGE(OFFSET($H$3,0,0,'Données projet'!$E$11+1,1))</f>
        <v>203.21935660591021</v>
      </c>
      <c r="BJ51" s="59">
        <f t="shared" si="38"/>
        <v>180.54762778843178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0.70194232458386485</v>
      </c>
      <c r="BQ51" s="21">
        <f>EXP(-LN(2)/25)*BQ50+(1-EXP(-LN(2)/25))/(LN(2)/25)*Calculateur!BL51*Calculateur!BN51*VLOOKUP('Données projet'!$B$11,Paramètres!$A$1:$I$89,3,0)*0.475*44/12</f>
        <v>3.5234120048426245</v>
      </c>
      <c r="BR51" s="21">
        <f>EXP(-LN(2)/2)*BR50+(1-EXP(-LN(2)/2))/(LN(2)/2)*BL51*BO51*VLOOKUP('Données projet'!$B$11,Paramètres!$A$1:$I$89,3,0)*0.475*44/12</f>
        <v>1.7700555703867075E-2</v>
      </c>
      <c r="BS51" s="22">
        <f t="shared" si="9"/>
        <v>4.2430548851303564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6.8260073260073284</v>
      </c>
      <c r="BY51" s="12">
        <f>IF('Données projet'!$A$114&gt;35,BY50+BX51-CG50,IF(A51&lt;'Données projet'!$A$114,$BV$205^A51,IF(A51='Données projet'!$A$114,'Données projet'!$B$114,BY50+BX51-CG50)))</f>
        <v>125.31043956043951</v>
      </c>
      <c r="BZ51" s="13">
        <f>BY51*VLOOKUP('Données projet'!$B$12,Paramètres!$A$1:$I$89,3,0)*VLOOKUP('Données projet'!$B$12,Paramètres!$A$1:$I$89,5,0)</f>
        <v>134.88415714285708</v>
      </c>
      <c r="CA51" s="13">
        <f t="shared" si="39"/>
        <v>35.1225107136449</v>
      </c>
      <c r="CB51" s="20">
        <f t="shared" si="10"/>
        <v>296.09494651674089</v>
      </c>
      <c r="CC51" s="59">
        <f t="shared" si="11"/>
        <v>589.4282798500742</v>
      </c>
      <c r="CD51" s="59">
        <f ca="1">AVERAGE(OFFSET($CC$3,0,0,'Données projet'!$E$12+1,1))-AVERAGE(OFFSET($H$3,0,0,'Données projet'!$E$12+1,1))</f>
        <v>211.18501783767226</v>
      </c>
      <c r="CE51" s="59">
        <f t="shared" si="40"/>
        <v>147.98306963466246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6.8260073260073284</v>
      </c>
      <c r="CT51" s="12">
        <f>IF('Données projet'!$A$140&gt;35,CT50+CS51-DB50,IF(A51&lt;'Données projet'!$A$140,$CQ$205^A51,IF(A51='Données projet'!$A$140,'Données projet'!$B$140,CT50+CS51-DB50)))</f>
        <v>125.31043956043951</v>
      </c>
      <c r="CU51" s="17">
        <f>CT51*VLOOKUP('Données projet'!$B$13,Paramètres!$A$1:$I$89,3,0)*VLOOKUP('Données projet'!$B$13,Paramètres!$A$1:$I$89,5,0)</f>
        <v>134.88415714285708</v>
      </c>
      <c r="CV51" s="13">
        <f t="shared" si="41"/>
        <v>35.1225107136449</v>
      </c>
      <c r="CW51" s="20">
        <f t="shared" si="13"/>
        <v>296.09494651674089</v>
      </c>
      <c r="CX51" s="59">
        <f t="shared" si="14"/>
        <v>589.4282798500742</v>
      </c>
      <c r="CY51" s="59">
        <f ca="1">AVERAGE(OFFSET($CX$3,0,0,'Données projet'!$E$13+1,1))-AVERAGE(OFFSET($H$3,0,0,'Données projet'!$E$13+1,1))</f>
        <v>211.18501783767226</v>
      </c>
      <c r="CZ51" s="59">
        <f t="shared" si="42"/>
        <v>147.98306963466246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-2.2737367544323206E-13</v>
      </c>
      <c r="O52" s="13">
        <f>N52*VLOOKUP('Données projet'!$B$9,Paramètres!$A$1:$I$89,3,0)*VLOOKUP('Données projet'!$B$9,Paramètres!$A$1:$I$89,5,0)</f>
        <v>-1.3596945791505279E-13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182.25704762953387</v>
      </c>
      <c r="T52" s="59">
        <f t="shared" si="34"/>
        <v>265.61788177751134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3.4301044830680332</v>
      </c>
      <c r="AA52" s="21">
        <f>EXP(-LN(2)/25)*AA51+(1-EXP(-LN(2)/25))/(LN(2)/25)*Calculateur!V52*Calculateur!X52*VLOOKUP('Données projet'!$B$9,Paramètres!$A$1:$I$89,3,0)*0.475*44/12</f>
        <v>10.115097662586676</v>
      </c>
      <c r="AB52" s="21">
        <f>EXP(-LN(2)/2)*AB51+(1-EXP(-LN(2)/2))/(LN(2)/2)*V52*Y52*VLOOKUP('Données projet'!$B$9,Paramètres!$A$1:$I$89,3,0)*0.475*44/12</f>
        <v>4.0740148523039895E-3</v>
      </c>
      <c r="AC52" s="22">
        <f t="shared" si="3"/>
        <v>13.549276160507013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8.8736263736263741</v>
      </c>
      <c r="AI52" s="13">
        <f>IF('Données projet'!$A$62&gt;35,AI51+AH52-AQ51,IF(A52&lt;'Données projet'!$A$62,$AF$205^A52,IF(A52='Données projet'!$A$62,'Données projet'!$B$62,AI51+AH52-AQ51)))</f>
        <v>145.20054945054949</v>
      </c>
      <c r="AJ52" s="13">
        <f>AI52*VLOOKUP('Données projet'!$B$10,Paramètres!$A$1:$I$89,3,0)*VLOOKUP('Données projet'!$B$10,Paramètres!$A$1:$I$89,5,0)</f>
        <v>147.23335714285719</v>
      </c>
      <c r="AK52" s="13">
        <f t="shared" si="35"/>
        <v>37.949176511309915</v>
      </c>
      <c r="AL52" s="20">
        <f t="shared" si="4"/>
        <v>322.52624611434106</v>
      </c>
      <c r="AM52" s="59">
        <f t="shared" si="5"/>
        <v>615.85957944767438</v>
      </c>
      <c r="AN52" s="59">
        <f ca="1">AVERAGE(OFFSET($AM$3,0,0,'Données projet'!$E$10+1,1))-AVERAGE(OFFSET($H$3,0,0,'Données projet'!$E$10+1,1))</f>
        <v>263.15518481854753</v>
      </c>
      <c r="AO52" s="59">
        <f t="shared" si="36"/>
        <v>210.80755370263819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</v>
      </c>
      <c r="BD52" s="12">
        <f>IF('Données projet'!$A$88&gt;35,BD51+BC52-BL51,IF(A52&lt;'Données projet'!$A$88,$BA$205^A52,IF(A52='Données projet'!$A$88,'Données projet'!$B$88,BD51+BC52-BL51)))</f>
        <v>212.99999999999991</v>
      </c>
      <c r="BE52" s="13">
        <f>BD52*VLOOKUP('Données projet'!$B$11,Paramètres!$A$1:$I$89,3,0)*VLOOKUP('Données projet'!$B$11,Paramètres!$A$1:$I$89,5,0)</f>
        <v>172.78559999999996</v>
      </c>
      <c r="BF52" s="13">
        <f t="shared" si="37"/>
        <v>43.713313947329745</v>
      </c>
      <c r="BG52" s="20">
        <f t="shared" si="7"/>
        <v>377.06894179159917</v>
      </c>
      <c r="BH52" s="59">
        <f t="shared" si="8"/>
        <v>670.40227512493243</v>
      </c>
      <c r="BI52" s="59">
        <f ca="1">AVERAGE(OFFSET($BH$3,0,0,'Données projet'!$E$11+1,1))-AVERAGE(OFFSET($H$3,0,0,'Données projet'!$E$11+1,1))</f>
        <v>203.21935660591021</v>
      </c>
      <c r="BJ52" s="59">
        <f t="shared" si="38"/>
        <v>180.54762778843178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0.68817766374131772</v>
      </c>
      <c r="BQ52" s="21">
        <f>EXP(-LN(2)/25)*BQ51+(1-EXP(-LN(2)/25))/(LN(2)/25)*Calculateur!BL52*Calculateur!BN52*VLOOKUP('Données projet'!$B$11,Paramètres!$A$1:$I$89,3,0)*0.475*44/12</f>
        <v>3.4270641182820185</v>
      </c>
      <c r="BR52" s="21">
        <f>EXP(-LN(2)/2)*BR51+(1-EXP(-LN(2)/2))/(LN(2)/2)*BL52*BO52*VLOOKUP('Données projet'!$B$11,Paramètres!$A$1:$I$89,3,0)*0.475*44/12</f>
        <v>1.2516182968974632E-2</v>
      </c>
      <c r="BS52" s="22">
        <f t="shared" si="9"/>
        <v>4.1277579649923108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6.8260073260073284</v>
      </c>
      <c r="BY52" s="12">
        <f>IF('Données projet'!$A$114&gt;35,BY51+BX52-CG51,IF(A52&lt;'Données projet'!$A$114,$BV$205^A52,IF(A52='Données projet'!$A$114,'Données projet'!$B$114,BY51+BX52-CG51)))</f>
        <v>132.13644688644683</v>
      </c>
      <c r="BZ52" s="13">
        <f>BY52*VLOOKUP('Données projet'!$B$12,Paramètres!$A$1:$I$89,3,0)*VLOOKUP('Données projet'!$B$12,Paramètres!$A$1:$I$89,5,0)</f>
        <v>142.23167142857136</v>
      </c>
      <c r="CA52" s="13">
        <f t="shared" si="39"/>
        <v>36.80777857031412</v>
      </c>
      <c r="CB52" s="20">
        <f t="shared" si="10"/>
        <v>311.82704208139222</v>
      </c>
      <c r="CC52" s="59">
        <f t="shared" si="11"/>
        <v>605.16037541472554</v>
      </c>
      <c r="CD52" s="59">
        <f ca="1">AVERAGE(OFFSET($CC$3,0,0,'Données projet'!$E$12+1,1))-AVERAGE(OFFSET($H$3,0,0,'Données projet'!$E$12+1,1))</f>
        <v>211.18501783767226</v>
      </c>
      <c r="CE52" s="59">
        <f t="shared" si="40"/>
        <v>147.98306963466246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6.8260073260073284</v>
      </c>
      <c r="CT52" s="12">
        <f>IF('Données projet'!$A$140&gt;35,CT51+CS52-DB51,IF(A52&lt;'Données projet'!$A$140,$CQ$205^A52,IF(A52='Données projet'!$A$140,'Données projet'!$B$140,CT51+CS52-DB51)))</f>
        <v>132.13644688644683</v>
      </c>
      <c r="CU52" s="17">
        <f>CT52*VLOOKUP('Données projet'!$B$13,Paramètres!$A$1:$I$89,3,0)*VLOOKUP('Données projet'!$B$13,Paramètres!$A$1:$I$89,5,0)</f>
        <v>142.23167142857136</v>
      </c>
      <c r="CV52" s="13">
        <f t="shared" si="41"/>
        <v>36.80777857031412</v>
      </c>
      <c r="CW52" s="20">
        <f t="shared" si="13"/>
        <v>311.82704208139222</v>
      </c>
      <c r="CX52" s="59">
        <f t="shared" si="14"/>
        <v>605.16037541472554</v>
      </c>
      <c r="CY52" s="59">
        <f ca="1">AVERAGE(OFFSET($CX$3,0,0,'Données projet'!$E$13+1,1))-AVERAGE(OFFSET($H$3,0,0,'Données projet'!$E$13+1,1))</f>
        <v>211.18501783767226</v>
      </c>
      <c r="CZ52" s="59">
        <f t="shared" si="42"/>
        <v>147.98306963466246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-2.2737367544323206E-13</v>
      </c>
      <c r="O53" s="13">
        <f>N53*VLOOKUP('Données projet'!$B$9,Paramètres!$A$1:$I$89,3,0)*VLOOKUP('Données projet'!$B$9,Paramètres!$A$1:$I$89,5,0)</f>
        <v>-1.3596945791505279E-13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182.25704762953387</v>
      </c>
      <c r="T53" s="59">
        <f t="shared" si="34"/>
        <v>265.61788177751134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3.3628422263122202</v>
      </c>
      <c r="AA53" s="21">
        <f>EXP(-LN(2)/25)*AA52+(1-EXP(-LN(2)/25))/(LN(2)/25)*Calculateur!V53*Calculateur!X53*VLOOKUP('Données projet'!$B$9,Paramètres!$A$1:$I$89,3,0)*0.475*44/12</f>
        <v>9.8384997850733757</v>
      </c>
      <c r="AB53" s="21">
        <f>EXP(-LN(2)/2)*AB52+(1-EXP(-LN(2)/2))/(LN(2)/2)*V53*Y53*VLOOKUP('Données projet'!$B$9,Paramètres!$A$1:$I$89,3,0)*0.475*44/12</f>
        <v>2.8807635287188618E-3</v>
      </c>
      <c r="AC53" s="22">
        <f t="shared" si="3"/>
        <v>13.204222774914314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8.8736263736263741</v>
      </c>
      <c r="AI53" s="13">
        <f>IF('Données projet'!$A$62&gt;35,AI52+AH53-AQ52,IF(A53&lt;'Données projet'!$A$62,$AF$205^A53,IF(A53='Données projet'!$A$62,'Données projet'!$B$62,AI52+AH53-AQ52)))</f>
        <v>154.07417582417585</v>
      </c>
      <c r="AJ53" s="13">
        <f>AI53*VLOOKUP('Données projet'!$B$10,Paramètres!$A$1:$I$89,3,0)*VLOOKUP('Données projet'!$B$10,Paramètres!$A$1:$I$89,5,0)</f>
        <v>156.23121428571432</v>
      </c>
      <c r="AK53" s="13">
        <f t="shared" si="35"/>
        <v>39.991279580917869</v>
      </c>
      <c r="AL53" s="20">
        <f t="shared" si="4"/>
        <v>341.75417681771773</v>
      </c>
      <c r="AM53" s="59">
        <f t="shared" si="5"/>
        <v>635.08751015105099</v>
      </c>
      <c r="AN53" s="59">
        <f ca="1">AVERAGE(OFFSET($AM$3,0,0,'Données projet'!$E$10+1,1))-AVERAGE(OFFSET($H$3,0,0,'Données projet'!$E$10+1,1))</f>
        <v>263.15518481854753</v>
      </c>
      <c r="AO53" s="59">
        <f t="shared" si="36"/>
        <v>210.80755370263819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220</v>
      </c>
      <c r="BB53" s="12">
        <f>VLOOKUP(A53,'Données projet'!$A$87:$I$107,9,0)</f>
        <v>7</v>
      </c>
      <c r="BC53" s="12">
        <f t="array" ref="BC53">INDEX(BB:BB,MIN(IF(ISNUMBER(BB53:BB249),ROW(BB53:BB249),"")))</f>
        <v>7</v>
      </c>
      <c r="BD53" s="12">
        <f>IF('Données projet'!$A$88&gt;35,BD52+BC53-BL52,IF(A53&lt;'Données projet'!$A$88,$BA$205^A53,IF(A53='Données projet'!$A$88,'Données projet'!$B$88,BD52+BC53-BL52)))</f>
        <v>219.99999999999991</v>
      </c>
      <c r="BE53" s="13">
        <f>BD53*VLOOKUP('Données projet'!$B$11,Paramètres!$A$1:$I$89,3,0)*VLOOKUP('Données projet'!$B$11,Paramètres!$A$1:$I$89,5,0)</f>
        <v>178.46399999999994</v>
      </c>
      <c r="BF53" s="13">
        <f t="shared" si="37"/>
        <v>44.980284206661821</v>
      </c>
      <c r="BG53" s="20">
        <f t="shared" si="7"/>
        <v>389.16546165993594</v>
      </c>
      <c r="BH53" s="59">
        <f t="shared" si="8"/>
        <v>682.49879499326926</v>
      </c>
      <c r="BI53" s="59">
        <f ca="1">AVERAGE(OFFSET($BH$3,0,0,'Données projet'!$E$11+1,1))-AVERAGE(OFFSET($H$3,0,0,'Données projet'!$E$11+1,1))</f>
        <v>203.21935660591021</v>
      </c>
      <c r="BJ53" s="59">
        <f t="shared" si="38"/>
        <v>180.54762778843178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34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0.67468291950227877</v>
      </c>
      <c r="BQ53" s="21">
        <f>EXP(-LN(2)/25)*BQ52+(1-EXP(-LN(2)/25))/(LN(2)/25)*Calculateur!BL53*Calculateur!BN53*VLOOKUP('Données projet'!$B$11,Paramètres!$A$1:$I$89,3,0)*0.475*44/12</f>
        <v>3.3333508697461274</v>
      </c>
      <c r="BR53" s="21">
        <f>EXP(-LN(2)/2)*BR52+(1-EXP(-LN(2)/2))/(LN(2)/2)*BL53*BO53*VLOOKUP('Données projet'!$B$11,Paramètres!$A$1:$I$89,3,0)*0.475*44/12</f>
        <v>8.8502778519335377E-3</v>
      </c>
      <c r="BS53" s="22">
        <f t="shared" si="9"/>
        <v>4.0168840671003396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6.8260073260073284</v>
      </c>
      <c r="BY53" s="12">
        <f>IF('Données projet'!$A$114&gt;35,BY52+BX53-CG52,IF(A53&lt;'Données projet'!$A$114,$BV$205^A53,IF(A53='Données projet'!$A$114,'Données projet'!$B$114,BY52+BX53-CG52)))</f>
        <v>138.96245421245416</v>
      </c>
      <c r="BZ53" s="13">
        <f>BY53*VLOOKUP('Données projet'!$B$12,Paramètres!$A$1:$I$89,3,0)*VLOOKUP('Données projet'!$B$12,Paramètres!$A$1:$I$89,5,0)</f>
        <v>149.57918571428564</v>
      </c>
      <c r="CA53" s="13">
        <f t="shared" si="39"/>
        <v>38.482938433732244</v>
      </c>
      <c r="CB53" s="20">
        <f t="shared" si="10"/>
        <v>327.54153289113111</v>
      </c>
      <c r="CC53" s="59">
        <f t="shared" si="11"/>
        <v>620.87486622446443</v>
      </c>
      <c r="CD53" s="59">
        <f ca="1">AVERAGE(OFFSET($CC$3,0,0,'Données projet'!$E$12+1,1))-AVERAGE(OFFSET($H$3,0,0,'Données projet'!$E$12+1,1))</f>
        <v>211.18501783767226</v>
      </c>
      <c r="CE53" s="59">
        <f t="shared" si="40"/>
        <v>147.98306963466246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6.8260073260073284</v>
      </c>
      <c r="CT53" s="12">
        <f>IF('Données projet'!$A$140&gt;35,CT52+CS53-DB52,IF(A53&lt;'Données projet'!$A$140,$CQ$205^A53,IF(A53='Données projet'!$A$140,'Données projet'!$B$140,CT52+CS53-DB52)))</f>
        <v>138.96245421245416</v>
      </c>
      <c r="CU53" s="17">
        <f>CT53*VLOOKUP('Données projet'!$B$13,Paramètres!$A$1:$I$89,3,0)*VLOOKUP('Données projet'!$B$13,Paramètres!$A$1:$I$89,5,0)</f>
        <v>149.57918571428564</v>
      </c>
      <c r="CV53" s="13">
        <f t="shared" si="41"/>
        <v>38.482938433732244</v>
      </c>
      <c r="CW53" s="20">
        <f t="shared" si="13"/>
        <v>327.54153289113111</v>
      </c>
      <c r="CX53" s="59">
        <f t="shared" si="14"/>
        <v>620.87486622446443</v>
      </c>
      <c r="CY53" s="59">
        <f ca="1">AVERAGE(OFFSET($CX$3,0,0,'Données projet'!$E$13+1,1))-AVERAGE(OFFSET($H$3,0,0,'Données projet'!$E$13+1,1))</f>
        <v>211.18501783767226</v>
      </c>
      <c r="CZ53" s="59">
        <f t="shared" si="42"/>
        <v>147.98306963466246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-2.2737367544323206E-13</v>
      </c>
      <c r="O54" s="13">
        <f>N54*VLOOKUP('Données projet'!$B$9,Paramètres!$A$1:$I$89,3,0)*VLOOKUP('Données projet'!$B$9,Paramètres!$A$1:$I$89,5,0)</f>
        <v>-1.3596945791505279E-13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182.25704762953387</v>
      </c>
      <c r="T54" s="59">
        <f t="shared" si="34"/>
        <v>265.61788177751134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3.296898941385463</v>
      </c>
      <c r="AA54" s="21">
        <f>EXP(-LN(2)/25)*AA53+(1-EXP(-LN(2)/25))/(LN(2)/25)*Calculateur!V54*Calculateur!X54*VLOOKUP('Données projet'!$B$9,Paramètres!$A$1:$I$89,3,0)*0.475*44/12</f>
        <v>9.5694654910663264</v>
      </c>
      <c r="AB54" s="21">
        <f>EXP(-LN(2)/2)*AB53+(1-EXP(-LN(2)/2))/(LN(2)/2)*V54*Y54*VLOOKUP('Données projet'!$B$9,Paramètres!$A$1:$I$89,3,0)*0.475*44/12</f>
        <v>2.0370074261519947E-3</v>
      </c>
      <c r="AC54" s="22">
        <f t="shared" si="3"/>
        <v>12.868401439877941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8.8736263736263741</v>
      </c>
      <c r="AI54" s="13">
        <f>IF('Données projet'!$A$62&gt;35,AI53+AH54-AQ53,IF(A54&lt;'Données projet'!$A$62,$AF$205^A54,IF(A54='Données projet'!$A$62,'Données projet'!$B$62,AI53+AH54-AQ53)))</f>
        <v>162.94780219780222</v>
      </c>
      <c r="AJ54" s="13">
        <f>AI54*VLOOKUP('Données projet'!$B$10,Paramètres!$A$1:$I$89,3,0)*VLOOKUP('Données projet'!$B$10,Paramètres!$A$1:$I$89,5,0)</f>
        <v>165.22907142857144</v>
      </c>
      <c r="AK54" s="13">
        <f t="shared" si="35"/>
        <v>42.019730517668535</v>
      </c>
      <c r="AL54" s="20">
        <f t="shared" si="4"/>
        <v>360.95833005636797</v>
      </c>
      <c r="AM54" s="59">
        <f t="shared" si="5"/>
        <v>654.29166338970128</v>
      </c>
      <c r="AN54" s="59">
        <f ca="1">AVERAGE(OFFSET($AM$3,0,0,'Données projet'!$E$10+1,1))-AVERAGE(OFFSET($H$3,0,0,'Données projet'!$E$10+1,1))</f>
        <v>263.15518481854753</v>
      </c>
      <c r="AO54" s="59">
        <f t="shared" si="36"/>
        <v>210.80755370263819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6.4</v>
      </c>
      <c r="BD54" s="12">
        <f>IF('Données projet'!$A$88&gt;35,BD53+BC54-BL53,IF(A54&lt;'Données projet'!$A$88,$BA$205^A54,IF(A54='Données projet'!$A$88,'Données projet'!$B$88,BD53+BC54-BL53)))</f>
        <v>192.39999999999992</v>
      </c>
      <c r="BE54" s="13">
        <f>BD54*VLOOKUP('Données projet'!$B$11,Paramètres!$A$1:$I$89,3,0)*VLOOKUP('Données projet'!$B$11,Paramètres!$A$1:$I$89,5,0)</f>
        <v>156.07487999999995</v>
      </c>
      <c r="BF54" s="13">
        <f t="shared" si="37"/>
        <v>39.955917913584059</v>
      </c>
      <c r="BG54" s="20">
        <f t="shared" si="7"/>
        <v>341.42030636615885</v>
      </c>
      <c r="BH54" s="59">
        <f t="shared" si="8"/>
        <v>634.75363969949217</v>
      </c>
      <c r="BI54" s="59">
        <f ca="1">AVERAGE(OFFSET($BH$3,0,0,'Données projet'!$E$11+1,1))-AVERAGE(OFFSET($H$3,0,0,'Données projet'!$E$11+1,1))</f>
        <v>203.21935660591021</v>
      </c>
      <c r="BJ54" s="59">
        <f t="shared" si="38"/>
        <v>180.54762778843178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0.6614527989667861</v>
      </c>
      <c r="BQ54" s="21">
        <f>EXP(-LN(2)/25)*BQ53+(1-EXP(-LN(2)/25))/(LN(2)/25)*Calculateur!BL54*Calculateur!BN54*VLOOKUP('Données projet'!$B$11,Paramètres!$A$1:$I$89,3,0)*0.475*44/12</f>
        <v>3.2422002149196159</v>
      </c>
      <c r="BR54" s="21">
        <f>EXP(-LN(2)/2)*BR53+(1-EXP(-LN(2)/2))/(LN(2)/2)*BL54*BO54*VLOOKUP('Données projet'!$B$11,Paramètres!$A$1:$I$89,3,0)*0.475*44/12</f>
        <v>6.2580914844873161E-3</v>
      </c>
      <c r="BS54" s="22">
        <f t="shared" si="9"/>
        <v>3.9099111053708895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>
        <f>VLOOKUP(A54,'Données projet'!$A$113:$I$133,2,0)</f>
        <v>145.78846153846155</v>
      </c>
      <c r="BW54" s="12">
        <f>VLOOKUP(A54,'Données projet'!$A$113:$I$133,9,0)</f>
        <v>6.8260073260073284</v>
      </c>
      <c r="BX54" s="12">
        <f t="array" ref="BX54">INDEX(BW:BW,MIN(IF(ISNUMBER(BW54:BW250),ROW(BW54:BW250),"")))</f>
        <v>6.8260073260073284</v>
      </c>
      <c r="BY54" s="12">
        <f>IF('Données projet'!$A$114&gt;35,BY53+BX54-CG53,IF(A54&lt;'Données projet'!$A$114,$BV$205^A54,IF(A54='Données projet'!$A$114,'Données projet'!$B$114,BY53+BX54-CG53)))</f>
        <v>145.78846153846149</v>
      </c>
      <c r="BZ54" s="13">
        <f>BY54*VLOOKUP('Données projet'!$B$12,Paramètres!$A$1:$I$89,3,0)*VLOOKUP('Données projet'!$B$12,Paramètres!$A$1:$I$89,5,0)</f>
        <v>156.92669999999993</v>
      </c>
      <c r="CA54" s="13">
        <f t="shared" si="39"/>
        <v>40.148543489359604</v>
      </c>
      <c r="CB54" s="20">
        <f t="shared" si="10"/>
        <v>343.23938241063451</v>
      </c>
      <c r="CC54" s="59">
        <f t="shared" si="11"/>
        <v>636.57271574396782</v>
      </c>
      <c r="CD54" s="59">
        <f ca="1">AVERAGE(OFFSET($CC$3,0,0,'Données projet'!$E$12+1,1))-AVERAGE(OFFSET($H$3,0,0,'Données projet'!$E$12+1,1))</f>
        <v>211.18501783767226</v>
      </c>
      <c r="CE54" s="59">
        <f t="shared" si="40"/>
        <v>147.98306963466246</v>
      </c>
      <c r="CF54" s="15">
        <f>IF(ISNA(VLOOKUP(A54,'Données projet'!$A$113:$I$133,3,0)),0,VLOOKUP(A54,'Données projet'!$A$113:$I$133,3,0))</f>
        <v>2</v>
      </c>
      <c r="CG54" s="15">
        <f>IF(ISNA(VLOOKUP(A54,'Données projet'!$A$113:$I$133,4,0)),0,VLOOKUP(A54,'Données projet'!$A$113:$I$133,4,0))</f>
        <v>37.685897435897431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>
        <f>VLOOKUP(A54,'Données projet'!$A$139:$I$159,2,0)</f>
        <v>145.78846153846155</v>
      </c>
      <c r="CR54" s="12">
        <f>VLOOKUP(A54,'Données projet'!$A$139:$I$159,9,0)</f>
        <v>6.8260073260073284</v>
      </c>
      <c r="CS54" s="12">
        <f t="array" ref="CS54">INDEX(CR:CR,MIN(IF(ISNUMBER(CR54:CR250),ROW(CR54:CR250),"")))</f>
        <v>6.8260073260073284</v>
      </c>
      <c r="CT54" s="12">
        <f>IF('Données projet'!$A$140&gt;35,CT53+CS54-DB53,IF(A54&lt;'Données projet'!$A$140,$CQ$205^A54,IF(A54='Données projet'!$A$140,'Données projet'!$B$140,CT53+CS54-DB53)))</f>
        <v>145.78846153846149</v>
      </c>
      <c r="CU54" s="17">
        <f>CT54*VLOOKUP('Données projet'!$B$13,Paramètres!$A$1:$I$89,3,0)*VLOOKUP('Données projet'!$B$13,Paramètres!$A$1:$I$89,5,0)</f>
        <v>156.92669999999993</v>
      </c>
      <c r="CV54" s="13">
        <f t="shared" si="41"/>
        <v>40.148543489359604</v>
      </c>
      <c r="CW54" s="20">
        <f t="shared" si="13"/>
        <v>343.23938241063451</v>
      </c>
      <c r="CX54" s="59">
        <f t="shared" si="14"/>
        <v>636.57271574396782</v>
      </c>
      <c r="CY54" s="59">
        <f ca="1">AVERAGE(OFFSET($CX$3,0,0,'Données projet'!$E$13+1,1))-AVERAGE(OFFSET($H$3,0,0,'Données projet'!$E$13+1,1))</f>
        <v>211.18501783767226</v>
      </c>
      <c r="CZ54" s="59">
        <f t="shared" si="42"/>
        <v>147.98306963466246</v>
      </c>
      <c r="DA54" s="15">
        <f>IF(ISNA(VLOOKUP(A54,'Données projet'!$A$139:$I$159,3,0)),0,VLOOKUP(A54,'Données projet'!$A$139:$I$159,3,0))</f>
        <v>2</v>
      </c>
      <c r="DB54" s="15">
        <f>IF(ISNA(VLOOKUP(A54,'Données projet'!$A$139:$I$159,4,0)),0,VLOOKUP(A54,'Données projet'!$A$139:$I$159,4,0))</f>
        <v>37.685897435897431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-2.2737367544323206E-13</v>
      </c>
      <c r="O55" s="13">
        <f>N55*VLOOKUP('Données projet'!$B$9,Paramètres!$A$1:$I$89,3,0)*VLOOKUP('Données projet'!$B$9,Paramètres!$A$1:$I$89,5,0)</f>
        <v>-1.3596945791505279E-13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182.25704762953387</v>
      </c>
      <c r="T55" s="59">
        <f t="shared" si="34"/>
        <v>265.61788177751134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3.2322487640546873</v>
      </c>
      <c r="AA55" s="21">
        <f>EXP(-LN(2)/25)*AA54+(1-EXP(-LN(2)/25))/(LN(2)/25)*Calculateur!V55*Calculateur!X55*VLOOKUP('Données projet'!$B$9,Paramètres!$A$1:$I$89,3,0)*0.475*44/12</f>
        <v>9.3077879539767991</v>
      </c>
      <c r="AB55" s="21">
        <f>EXP(-LN(2)/2)*AB54+(1-EXP(-LN(2)/2))/(LN(2)/2)*V55*Y55*VLOOKUP('Données projet'!$B$9,Paramètres!$A$1:$I$89,3,0)*0.475*44/12</f>
        <v>1.4403817643594309E-3</v>
      </c>
      <c r="AC55" s="22">
        <f t="shared" si="3"/>
        <v>12.541477099795847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8.8736263736263741</v>
      </c>
      <c r="AI55" s="13">
        <f>IF('Données projet'!$A$62&gt;35,AI54+AH55-AQ54,IF(A55&lt;'Données projet'!$A$62,$AF$205^A55,IF(A55='Données projet'!$A$62,'Données projet'!$B$62,AI54+AH55-AQ54)))</f>
        <v>171.82142857142858</v>
      </c>
      <c r="AJ55" s="13">
        <f>AI55*VLOOKUP('Données projet'!$B$10,Paramètres!$A$1:$I$89,3,0)*VLOOKUP('Données projet'!$B$10,Paramètres!$A$1:$I$89,5,0)</f>
        <v>174.2269285714286</v>
      </c>
      <c r="AK55" s="13">
        <f t="shared" si="35"/>
        <v>44.035357527108694</v>
      </c>
      <c r="AL55" s="20">
        <f t="shared" si="4"/>
        <v>380.14014828828573</v>
      </c>
      <c r="AM55" s="59">
        <f t="shared" si="5"/>
        <v>673.47348162161904</v>
      </c>
      <c r="AN55" s="59">
        <f ca="1">AVERAGE(OFFSET($AM$3,0,0,'Données projet'!$E$10+1,1))-AVERAGE(OFFSET($H$3,0,0,'Données projet'!$E$10+1,1))</f>
        <v>263.15518481854753</v>
      </c>
      <c r="AO55" s="59">
        <f t="shared" si="36"/>
        <v>210.80755370263819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6.4</v>
      </c>
      <c r="BD55" s="12">
        <f>IF('Données projet'!$A$88&gt;35,BD54+BC55-BL54,IF(A55&lt;'Données projet'!$A$88,$BA$205^A55,IF(A55='Données projet'!$A$88,'Données projet'!$B$88,BD54+BC55-BL54)))</f>
        <v>198.79999999999993</v>
      </c>
      <c r="BE55" s="13">
        <f>BD55*VLOOKUP('Données projet'!$B$11,Paramètres!$A$1:$I$89,3,0)*VLOOKUP('Données projet'!$B$11,Paramètres!$A$1:$I$89,5,0)</f>
        <v>161.26655999999994</v>
      </c>
      <c r="BF55" s="13">
        <f t="shared" si="37"/>
        <v>41.128060321982517</v>
      </c>
      <c r="BG55" s="20">
        <f t="shared" si="7"/>
        <v>352.5039637274528</v>
      </c>
      <c r="BH55" s="59">
        <f t="shared" si="8"/>
        <v>645.83729706078611</v>
      </c>
      <c r="BI55" s="59">
        <f ca="1">AVERAGE(OFFSET($BH$3,0,0,'Données projet'!$E$11+1,1))-AVERAGE(OFFSET($H$3,0,0,'Données projet'!$E$11+1,1))</f>
        <v>203.21935660591021</v>
      </c>
      <c r="BJ55" s="59">
        <f t="shared" si="38"/>
        <v>180.54762778843178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0.64848211302541781</v>
      </c>
      <c r="BQ55" s="21">
        <f>EXP(-LN(2)/25)*BQ54+(1-EXP(-LN(2)/25))/(LN(2)/25)*Calculateur!BL55*Calculateur!BN55*VLOOKUP('Données projet'!$B$11,Paramètres!$A$1:$I$89,3,0)*0.475*44/12</f>
        <v>3.1535420795427398</v>
      </c>
      <c r="BR55" s="21">
        <f>EXP(-LN(2)/2)*BR54+(1-EXP(-LN(2)/2))/(LN(2)/2)*BL55*BO55*VLOOKUP('Données projet'!$B$11,Paramètres!$A$1:$I$89,3,0)*0.475*44/12</f>
        <v>4.4251389259667689E-3</v>
      </c>
      <c r="BS55" s="22">
        <f t="shared" si="9"/>
        <v>3.8064493314941243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6.3942307692307665</v>
      </c>
      <c r="BY55" s="12">
        <f>IF('Données projet'!$A$114&gt;35,BY54+BX55-CG54,IF(A55&lt;'Données projet'!$A$114,$BV$205^A55,IF(A55='Données projet'!$A$114,'Données projet'!$B$114,BY54+BX55-CG54)))</f>
        <v>114.49679487179483</v>
      </c>
      <c r="BZ55" s="13">
        <f>BY55*VLOOKUP('Données projet'!$B$12,Paramètres!$A$1:$I$89,3,0)*VLOOKUP('Données projet'!$B$12,Paramètres!$A$1:$I$89,5,0)</f>
        <v>123.24434999999995</v>
      </c>
      <c r="CA55" s="13">
        <f t="shared" si="39"/>
        <v>32.430511802937779</v>
      </c>
      <c r="CB55" s="20">
        <f t="shared" si="10"/>
        <v>271.13371764011657</v>
      </c>
      <c r="CC55" s="59">
        <f t="shared" si="11"/>
        <v>564.46705097344989</v>
      </c>
      <c r="CD55" s="59">
        <f ca="1">AVERAGE(OFFSET($CC$3,0,0,'Données projet'!$E$12+1,1))-AVERAGE(OFFSET($H$3,0,0,'Données projet'!$E$12+1,1))</f>
        <v>211.18501783767226</v>
      </c>
      <c r="CE55" s="59">
        <f t="shared" si="40"/>
        <v>147.98306963466246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6.3942307692307665</v>
      </c>
      <c r="CT55" s="12">
        <f>IF('Données projet'!$A$140&gt;35,CT54+CS55-DB54,IF(A55&lt;'Données projet'!$A$140,$CQ$205^A55,IF(A55='Données projet'!$A$140,'Données projet'!$B$140,CT54+CS55-DB54)))</f>
        <v>114.49679487179483</v>
      </c>
      <c r="CU55" s="17">
        <f>CT55*VLOOKUP('Données projet'!$B$13,Paramètres!$A$1:$I$89,3,0)*VLOOKUP('Données projet'!$B$13,Paramètres!$A$1:$I$89,5,0)</f>
        <v>123.24434999999995</v>
      </c>
      <c r="CV55" s="13">
        <f t="shared" si="41"/>
        <v>32.430511802937779</v>
      </c>
      <c r="CW55" s="20">
        <f t="shared" si="13"/>
        <v>271.13371764011657</v>
      </c>
      <c r="CX55" s="59">
        <f t="shared" si="14"/>
        <v>564.46705097344989</v>
      </c>
      <c r="CY55" s="59">
        <f ca="1">AVERAGE(OFFSET($CX$3,0,0,'Données projet'!$E$13+1,1))-AVERAGE(OFFSET($H$3,0,0,'Données projet'!$E$13+1,1))</f>
        <v>211.18501783767226</v>
      </c>
      <c r="CZ55" s="59">
        <f t="shared" si="42"/>
        <v>147.98306963466246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-2.2737367544323206E-13</v>
      </c>
      <c r="O56" s="13">
        <f>N56*VLOOKUP('Données projet'!$B$9,Paramètres!$A$1:$I$89,3,0)*VLOOKUP('Données projet'!$B$9,Paramètres!$A$1:$I$89,5,0)</f>
        <v>-1.3596945791505279E-13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182.25704762953387</v>
      </c>
      <c r="T56" s="59">
        <f t="shared" si="34"/>
        <v>265.61788177751134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3.1688663372686539</v>
      </c>
      <c r="AA56" s="21">
        <f>EXP(-LN(2)/25)*AA55+(1-EXP(-LN(2)/25))/(LN(2)/25)*Calculateur!V56*Calculateur!X56*VLOOKUP('Données projet'!$B$9,Paramètres!$A$1:$I$89,3,0)*0.475*44/12</f>
        <v>9.053266002900008</v>
      </c>
      <c r="AB56" s="21">
        <f>EXP(-LN(2)/2)*AB55+(1-EXP(-LN(2)/2))/(LN(2)/2)*V56*Y56*VLOOKUP('Données projet'!$B$9,Paramètres!$A$1:$I$89,3,0)*0.475*44/12</f>
        <v>1.0185037130759974E-3</v>
      </c>
      <c r="AC56" s="22">
        <f t="shared" si="3"/>
        <v>12.223150843881738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8.8736263736263741</v>
      </c>
      <c r="AI56" s="13">
        <f>IF('Données projet'!$A$62&gt;35,AI55+AH56-AQ55,IF(A56&lt;'Données projet'!$A$62,$AF$205^A56,IF(A56='Données projet'!$A$62,'Données projet'!$B$62,AI55+AH56-AQ55)))</f>
        <v>180.69505494505495</v>
      </c>
      <c r="AJ56" s="13">
        <f>AI56*VLOOKUP('Données projet'!$B$10,Paramètres!$A$1:$I$89,3,0)*VLOOKUP('Données projet'!$B$10,Paramètres!$A$1:$I$89,5,0)</f>
        <v>183.22478571428573</v>
      </c>
      <c r="AK56" s="13">
        <f t="shared" si="35"/>
        <v>46.038898438557553</v>
      </c>
      <c r="AL56" s="20">
        <f t="shared" si="4"/>
        <v>399.30091656620198</v>
      </c>
      <c r="AM56" s="59">
        <f t="shared" si="5"/>
        <v>692.63424989953523</v>
      </c>
      <c r="AN56" s="59">
        <f ca="1">AVERAGE(OFFSET($AM$3,0,0,'Données projet'!$E$10+1,1))-AVERAGE(OFFSET($H$3,0,0,'Données projet'!$E$10+1,1))</f>
        <v>263.15518481854753</v>
      </c>
      <c r="AO56" s="59">
        <f t="shared" si="36"/>
        <v>210.80755370263819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6.4</v>
      </c>
      <c r="BD56" s="12">
        <f>IF('Données projet'!$A$88&gt;35,BD55+BC56-BL55,IF(A56&lt;'Données projet'!$A$88,$BA$205^A56,IF(A56='Données projet'!$A$88,'Données projet'!$B$88,BD55+BC56-BL55)))</f>
        <v>205.19999999999993</v>
      </c>
      <c r="BE56" s="13">
        <f>BD56*VLOOKUP('Données projet'!$B$11,Paramètres!$A$1:$I$89,3,0)*VLOOKUP('Données projet'!$B$11,Paramètres!$A$1:$I$89,5,0)</f>
        <v>166.45823999999996</v>
      </c>
      <c r="BF56" s="13">
        <f t="shared" si="37"/>
        <v>42.295817799452642</v>
      </c>
      <c r="BG56" s="20">
        <f t="shared" si="7"/>
        <v>363.5799840007133</v>
      </c>
      <c r="BH56" s="59">
        <f t="shared" si="8"/>
        <v>656.91331733404661</v>
      </c>
      <c r="BI56" s="59">
        <f ca="1">AVERAGE(OFFSET($BH$3,0,0,'Données projet'!$E$11+1,1))-AVERAGE(OFFSET($H$3,0,0,'Données projet'!$E$11+1,1))</f>
        <v>203.21935660591021</v>
      </c>
      <c r="BJ56" s="59">
        <f t="shared" si="38"/>
        <v>180.54762778843178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0.63576577432402248</v>
      </c>
      <c r="BQ56" s="21">
        <f>EXP(-LN(2)/25)*BQ55+(1-EXP(-LN(2)/25))/(LN(2)/25)*Calculateur!BL56*Calculateur!BN56*VLOOKUP('Données projet'!$B$11,Paramètres!$A$1:$I$89,3,0)*0.475*44/12</f>
        <v>3.0673083055400729</v>
      </c>
      <c r="BR56" s="21">
        <f>EXP(-LN(2)/2)*BR55+(1-EXP(-LN(2)/2))/(LN(2)/2)*BL56*BO56*VLOOKUP('Données projet'!$B$11,Paramètres!$A$1:$I$89,3,0)*0.475*44/12</f>
        <v>3.129045742243658E-3</v>
      </c>
      <c r="BS56" s="22">
        <f t="shared" si="9"/>
        <v>3.706203125606339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6.3942307692307665</v>
      </c>
      <c r="BY56" s="12">
        <f>IF('Données projet'!$A$114&gt;35,BY55+BX56-CG55,IF(A56&lt;'Données projet'!$A$114,$BV$205^A56,IF(A56='Données projet'!$A$114,'Données projet'!$B$114,BY55+BX56-CG55)))</f>
        <v>120.89102564102561</v>
      </c>
      <c r="BZ56" s="13">
        <f>BY56*VLOOKUP('Données projet'!$B$12,Paramètres!$A$1:$I$89,3,0)*VLOOKUP('Données projet'!$B$12,Paramètres!$A$1:$I$89,5,0)</f>
        <v>130.12709999999996</v>
      </c>
      <c r="CA56" s="13">
        <f t="shared" si="39"/>
        <v>34.025726740059355</v>
      </c>
      <c r="CB56" s="20">
        <f t="shared" si="10"/>
        <v>285.89950657226996</v>
      </c>
      <c r="CC56" s="59">
        <f t="shared" si="11"/>
        <v>579.23283990560321</v>
      </c>
      <c r="CD56" s="59">
        <f ca="1">AVERAGE(OFFSET($CC$3,0,0,'Données projet'!$E$12+1,1))-AVERAGE(OFFSET($H$3,0,0,'Données projet'!$E$12+1,1))</f>
        <v>211.18501783767226</v>
      </c>
      <c r="CE56" s="59">
        <f t="shared" si="40"/>
        <v>147.98306963466246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6.3942307692307665</v>
      </c>
      <c r="CT56" s="12">
        <f>IF('Données projet'!$A$140&gt;35,CT55+CS56-DB55,IF(A56&lt;'Données projet'!$A$140,$CQ$205^A56,IF(A56='Données projet'!$A$140,'Données projet'!$B$140,CT55+CS56-DB55)))</f>
        <v>120.89102564102561</v>
      </c>
      <c r="CU56" s="17">
        <f>CT56*VLOOKUP('Données projet'!$B$13,Paramètres!$A$1:$I$89,3,0)*VLOOKUP('Données projet'!$B$13,Paramètres!$A$1:$I$89,5,0)</f>
        <v>130.12709999999996</v>
      </c>
      <c r="CV56" s="13">
        <f t="shared" si="41"/>
        <v>34.025726740059355</v>
      </c>
      <c r="CW56" s="20">
        <f t="shared" si="13"/>
        <v>285.89950657226996</v>
      </c>
      <c r="CX56" s="59">
        <f t="shared" si="14"/>
        <v>579.23283990560321</v>
      </c>
      <c r="CY56" s="59">
        <f ca="1">AVERAGE(OFFSET($CX$3,0,0,'Données projet'!$E$13+1,1))-AVERAGE(OFFSET($H$3,0,0,'Données projet'!$E$13+1,1))</f>
        <v>211.18501783767226</v>
      </c>
      <c r="CZ56" s="59">
        <f t="shared" si="42"/>
        <v>147.98306963466246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-2.2737367544323206E-13</v>
      </c>
      <c r="O57" s="13">
        <f>N57*VLOOKUP('Données projet'!$B$9,Paramètres!$A$1:$I$89,3,0)*VLOOKUP('Données projet'!$B$9,Paramètres!$A$1:$I$89,5,0)</f>
        <v>-1.3596945791505279E-13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182.25704762953387</v>
      </c>
      <c r="T57" s="59">
        <f t="shared" si="34"/>
        <v>265.61788177751134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3.1067268012124316</v>
      </c>
      <c r="AA57" s="21">
        <f>EXP(-LN(2)/25)*AA56+(1-EXP(-LN(2)/25))/(LN(2)/25)*Calculateur!V57*Calculateur!X57*VLOOKUP('Données projet'!$B$9,Paramètres!$A$1:$I$89,3,0)*0.475*44/12</f>
        <v>8.8057039679601399</v>
      </c>
      <c r="AB57" s="21">
        <f>EXP(-LN(2)/2)*AB56+(1-EXP(-LN(2)/2))/(LN(2)/2)*V57*Y57*VLOOKUP('Données projet'!$B$9,Paramètres!$A$1:$I$89,3,0)*0.475*44/12</f>
        <v>7.2019088217971546E-4</v>
      </c>
      <c r="AC57" s="22">
        <f t="shared" si="3"/>
        <v>11.913150960054752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8.8736263736263741</v>
      </c>
      <c r="AI57" s="13">
        <f>IF('Données projet'!$A$62&gt;35,AI56+AH57-AQ56,IF(A57&lt;'Données projet'!$A$62,$AF$205^A57,IF(A57='Données projet'!$A$62,'Données projet'!$B$62,AI56+AH57-AQ56)))</f>
        <v>189.56868131868131</v>
      </c>
      <c r="AJ57" s="13">
        <f>AI57*VLOOKUP('Données projet'!$B$10,Paramètres!$A$1:$I$89,3,0)*VLOOKUP('Données projet'!$B$10,Paramètres!$A$1:$I$89,5,0)</f>
        <v>192.22264285714286</v>
      </c>
      <c r="AK57" s="13">
        <f t="shared" si="35"/>
        <v>48.031014520243872</v>
      </c>
      <c r="AL57" s="20">
        <f t="shared" si="4"/>
        <v>418.44178659894851</v>
      </c>
      <c r="AM57" s="59">
        <f t="shared" si="5"/>
        <v>711.77511993228177</v>
      </c>
      <c r="AN57" s="59">
        <f ca="1">AVERAGE(OFFSET($AM$3,0,0,'Données projet'!$E$10+1,1))-AVERAGE(OFFSET($H$3,0,0,'Données projet'!$E$10+1,1))</f>
        <v>263.15518481854753</v>
      </c>
      <c r="AO57" s="59">
        <f t="shared" si="36"/>
        <v>210.80755370263819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6.4</v>
      </c>
      <c r="BD57" s="12">
        <f>IF('Données projet'!$A$88&gt;35,BD56+BC57-BL56,IF(A57&lt;'Données projet'!$A$88,$BA$205^A57,IF(A57='Données projet'!$A$88,'Données projet'!$B$88,BD56+BC57-BL56)))</f>
        <v>211.59999999999994</v>
      </c>
      <c r="BE57" s="13">
        <f>BD57*VLOOKUP('Données projet'!$B$11,Paramètres!$A$1:$I$89,3,0)*VLOOKUP('Données projet'!$B$11,Paramètres!$A$1:$I$89,5,0)</f>
        <v>171.64991999999995</v>
      </c>
      <c r="BF57" s="13">
        <f t="shared" si="37"/>
        <v>43.45934280040629</v>
      </c>
      <c r="BG57" s="20">
        <f t="shared" si="7"/>
        <v>374.64863271070755</v>
      </c>
      <c r="BH57" s="59">
        <f t="shared" si="8"/>
        <v>667.98196604404086</v>
      </c>
      <c r="BI57" s="59">
        <f ca="1">AVERAGE(OFFSET($BH$3,0,0,'Données projet'!$E$11+1,1))-AVERAGE(OFFSET($H$3,0,0,'Données projet'!$E$11+1,1))</f>
        <v>203.21935660591021</v>
      </c>
      <c r="BJ57" s="59">
        <f t="shared" si="38"/>
        <v>180.54762778843178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0.62329879526836074</v>
      </c>
      <c r="BQ57" s="21">
        <f>EXP(-LN(2)/25)*BQ56+(1-EXP(-LN(2)/25))/(LN(2)/25)*Calculateur!BL57*Calculateur!BN57*VLOOKUP('Données projet'!$B$11,Paramètres!$A$1:$I$89,3,0)*0.475*44/12</f>
        <v>2.9834325986223464</v>
      </c>
      <c r="BR57" s="21">
        <f>EXP(-LN(2)/2)*BR56+(1-EXP(-LN(2)/2))/(LN(2)/2)*BL57*BO57*VLOOKUP('Données projet'!$B$11,Paramètres!$A$1:$I$89,3,0)*0.475*44/12</f>
        <v>2.2125694629833844E-3</v>
      </c>
      <c r="BS57" s="22">
        <f t="shared" si="9"/>
        <v>3.6089439633536906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6.3942307692307665</v>
      </c>
      <c r="BY57" s="12">
        <f>IF('Données projet'!$A$114&gt;35,BY56+BX57-CG56,IF(A57&lt;'Données projet'!$A$114,$BV$205^A57,IF(A57='Données projet'!$A$114,'Données projet'!$B$114,BY56+BX57-CG56)))</f>
        <v>127.28525641025638</v>
      </c>
      <c r="BZ57" s="13">
        <f>BY57*VLOOKUP('Données projet'!$B$12,Paramètres!$A$1:$I$89,3,0)*VLOOKUP('Données projet'!$B$12,Paramètres!$A$1:$I$89,5,0)</f>
        <v>137.00984999999997</v>
      </c>
      <c r="CA57" s="13">
        <f t="shared" si="39"/>
        <v>35.611145784194349</v>
      </c>
      <c r="CB57" s="20">
        <f t="shared" si="10"/>
        <v>300.6482343241384</v>
      </c>
      <c r="CC57" s="59">
        <f t="shared" si="11"/>
        <v>593.98156765747171</v>
      </c>
      <c r="CD57" s="59">
        <f ca="1">AVERAGE(OFFSET($CC$3,0,0,'Données projet'!$E$12+1,1))-AVERAGE(OFFSET($H$3,0,0,'Données projet'!$E$12+1,1))</f>
        <v>211.18501783767226</v>
      </c>
      <c r="CE57" s="59">
        <f t="shared" si="40"/>
        <v>147.98306963466246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6.3942307692307665</v>
      </c>
      <c r="CT57" s="12">
        <f>IF('Données projet'!$A$140&gt;35,CT56+CS57-DB56,IF(A57&lt;'Données projet'!$A$140,$CQ$205^A57,IF(A57='Données projet'!$A$140,'Données projet'!$B$140,CT56+CS57-DB56)))</f>
        <v>127.28525641025638</v>
      </c>
      <c r="CU57" s="17">
        <f>CT57*VLOOKUP('Données projet'!$B$13,Paramètres!$A$1:$I$89,3,0)*VLOOKUP('Données projet'!$B$13,Paramètres!$A$1:$I$89,5,0)</f>
        <v>137.00984999999997</v>
      </c>
      <c r="CV57" s="13">
        <f t="shared" si="41"/>
        <v>35.611145784194349</v>
      </c>
      <c r="CW57" s="20">
        <f t="shared" si="13"/>
        <v>300.6482343241384</v>
      </c>
      <c r="CX57" s="59">
        <f t="shared" si="14"/>
        <v>593.98156765747171</v>
      </c>
      <c r="CY57" s="59">
        <f ca="1">AVERAGE(OFFSET($CX$3,0,0,'Données projet'!$E$13+1,1))-AVERAGE(OFFSET($H$3,0,0,'Données projet'!$E$13+1,1))</f>
        <v>211.18501783767226</v>
      </c>
      <c r="CZ57" s="59">
        <f t="shared" si="42"/>
        <v>147.98306963466246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-2.2737367544323206E-13</v>
      </c>
      <c r="O58" s="13">
        <f>N58*VLOOKUP('Données projet'!$B$9,Paramètres!$A$1:$I$89,3,0)*VLOOKUP('Données projet'!$B$9,Paramètres!$A$1:$I$89,5,0)</f>
        <v>-1.3596945791505279E-13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182.25704762953387</v>
      </c>
      <c r="T58" s="59">
        <f t="shared" si="34"/>
        <v>265.61788177751134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3.0458057835568972</v>
      </c>
      <c r="AA58" s="21">
        <f>EXP(-LN(2)/25)*AA57+(1-EXP(-LN(2)/25))/(LN(2)/25)*Calculateur!V58*Calculateur!X58*VLOOKUP('Données projet'!$B$9,Paramètres!$A$1:$I$89,3,0)*0.475*44/12</f>
        <v>8.5649115298844247</v>
      </c>
      <c r="AB58" s="21">
        <f>EXP(-LN(2)/2)*AB57+(1-EXP(-LN(2)/2))/(LN(2)/2)*V58*Y58*VLOOKUP('Données projet'!$B$9,Paramètres!$A$1:$I$89,3,0)*0.475*44/12</f>
        <v>5.0925185653799868E-4</v>
      </c>
      <c r="AC58" s="22">
        <f t="shared" si="3"/>
        <v>11.61122656529786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198.44230769230768</v>
      </c>
      <c r="AG58" s="12">
        <f>VLOOKUP(A58,'Données projet'!$A$61:$I$81,9,0)</f>
        <v>8.8736263736263741</v>
      </c>
      <c r="AH58" s="12">
        <f t="array" ref="AH58">INDEX(AG:AG,MIN(IF(ISNUMBER(AG58:AG254),ROW(AG58:AG254),"")))</f>
        <v>8.8736263736263741</v>
      </c>
      <c r="AI58" s="13">
        <f>IF('Données projet'!$A$62&gt;35,AI57+AH58-AQ57,IF(A58&lt;'Données projet'!$A$62,$AF$205^A58,IF(A58='Données projet'!$A$62,'Données projet'!$B$62,AI57+AH58-AQ57)))</f>
        <v>198.44230769230768</v>
      </c>
      <c r="AJ58" s="13">
        <f>AI58*VLOOKUP('Données projet'!$B$10,Paramètres!$A$1:$I$89,3,0)*VLOOKUP('Données projet'!$B$10,Paramètres!$A$1:$I$89,5,0)</f>
        <v>201.22049999999999</v>
      </c>
      <c r="AK58" s="13">
        <f t="shared" si="35"/>
        <v>50.012301634497518</v>
      </c>
      <c r="AL58" s="20">
        <f t="shared" si="4"/>
        <v>437.5637961800831</v>
      </c>
      <c r="AM58" s="59">
        <f t="shared" si="5"/>
        <v>730.89712951341642</v>
      </c>
      <c r="AN58" s="59">
        <f ca="1">AVERAGE(OFFSET($AM$3,0,0,'Données projet'!$E$10+1,1))-AVERAGE(OFFSET($H$3,0,0,'Données projet'!$E$10+1,1))</f>
        <v>263.15518481854753</v>
      </c>
      <c r="AO58" s="59">
        <f t="shared" si="36"/>
        <v>210.80755370263819</v>
      </c>
      <c r="AP58" s="15">
        <f>IF(ISNA(VLOOKUP(A58,'Données projet'!$A$61:$I$81,3,0)),0,VLOOKUP(A58,'Données projet'!$A$61:$I$81,3,0))</f>
        <v>4</v>
      </c>
      <c r="AQ58" s="15">
        <f>IF(ISNA(VLOOKUP(A58,'Données projet'!$A$61:$I$81,4,0)),0,VLOOKUP(A58,'Données projet'!$A$61:$I$81,4,0))</f>
        <v>45.147435897435898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6.4</v>
      </c>
      <c r="BD58" s="12">
        <f>IF('Données projet'!$A$88&gt;35,BD57+BC58-BL57,IF(A58&lt;'Données projet'!$A$88,$BA$205^A58,IF(A58='Données projet'!$A$88,'Données projet'!$B$88,BD57+BC58-BL57)))</f>
        <v>217.99999999999994</v>
      </c>
      <c r="BE58" s="13">
        <f>BD58*VLOOKUP('Données projet'!$B$11,Paramètres!$A$1:$I$89,3,0)*VLOOKUP('Données projet'!$B$11,Paramètres!$A$1:$I$89,5,0)</f>
        <v>176.84159999999997</v>
      </c>
      <c r="BF58" s="13">
        <f t="shared" si="37"/>
        <v>44.618778032982917</v>
      </c>
      <c r="BG58" s="20">
        <f t="shared" si="7"/>
        <v>385.71015840744514</v>
      </c>
      <c r="BH58" s="59">
        <f t="shared" si="8"/>
        <v>679.04349174077845</v>
      </c>
      <c r="BI58" s="59">
        <f ca="1">AVERAGE(OFFSET($BH$3,0,0,'Données projet'!$E$11+1,1))-AVERAGE(OFFSET($H$3,0,0,'Données projet'!$E$11+1,1))</f>
        <v>203.21935660591021</v>
      </c>
      <c r="BJ58" s="59">
        <f t="shared" si="38"/>
        <v>180.54762778843178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0.61107628606787412</v>
      </c>
      <c r="BQ58" s="21">
        <f>EXP(-LN(2)/25)*BQ57+(1-EXP(-LN(2)/25))/(LN(2)/25)*Calculateur!BL58*Calculateur!BN58*VLOOKUP('Données projet'!$B$11,Paramètres!$A$1:$I$89,3,0)*0.475*44/12</f>
        <v>2.9018504773211169</v>
      </c>
      <c r="BR58" s="21">
        <f>EXP(-LN(2)/2)*BR57+(1-EXP(-LN(2)/2))/(LN(2)/2)*BL58*BO58*VLOOKUP('Données projet'!$B$11,Paramètres!$A$1:$I$89,3,0)*0.475*44/12</f>
        <v>1.564522871121829E-3</v>
      </c>
      <c r="BS58" s="22">
        <f t="shared" si="9"/>
        <v>3.5144912862601125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6.3942307692307665</v>
      </c>
      <c r="BY58" s="12">
        <f>IF('Données projet'!$A$114&gt;35,BY57+BX58-CG57,IF(A58&lt;'Données projet'!$A$114,$BV$205^A58,IF(A58='Données projet'!$A$114,'Données projet'!$B$114,BY57+BX58-CG57)))</f>
        <v>133.67948717948715</v>
      </c>
      <c r="BZ58" s="13">
        <f>BY58*VLOOKUP('Données projet'!$B$12,Paramètres!$A$1:$I$89,3,0)*VLOOKUP('Données projet'!$B$12,Paramètres!$A$1:$I$89,5,0)</f>
        <v>143.89259999999996</v>
      </c>
      <c r="CA58" s="13">
        <f t="shared" si="39"/>
        <v>37.187317186141065</v>
      </c>
      <c r="CB58" s="20">
        <f t="shared" si="10"/>
        <v>315.38085576586224</v>
      </c>
      <c r="CC58" s="59">
        <f t="shared" si="11"/>
        <v>608.71418909919555</v>
      </c>
      <c r="CD58" s="59">
        <f ca="1">AVERAGE(OFFSET($CC$3,0,0,'Données projet'!$E$12+1,1))-AVERAGE(OFFSET($H$3,0,0,'Données projet'!$E$12+1,1))</f>
        <v>211.18501783767226</v>
      </c>
      <c r="CE58" s="59">
        <f t="shared" si="40"/>
        <v>147.98306963466246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6.3942307692307665</v>
      </c>
      <c r="CT58" s="12">
        <f>IF('Données projet'!$A$140&gt;35,CT57+CS58-DB57,IF(A58&lt;'Données projet'!$A$140,$CQ$205^A58,IF(A58='Données projet'!$A$140,'Données projet'!$B$140,CT57+CS58-DB57)))</f>
        <v>133.67948717948715</v>
      </c>
      <c r="CU58" s="17">
        <f>CT58*VLOOKUP('Données projet'!$B$13,Paramètres!$A$1:$I$89,3,0)*VLOOKUP('Données projet'!$B$13,Paramètres!$A$1:$I$89,5,0)</f>
        <v>143.89259999999996</v>
      </c>
      <c r="CV58" s="13">
        <f t="shared" si="41"/>
        <v>37.187317186141065</v>
      </c>
      <c r="CW58" s="20">
        <f t="shared" si="13"/>
        <v>315.38085576586224</v>
      </c>
      <c r="CX58" s="59">
        <f t="shared" si="14"/>
        <v>608.71418909919555</v>
      </c>
      <c r="CY58" s="59">
        <f ca="1">AVERAGE(OFFSET($CX$3,0,0,'Données projet'!$E$13+1,1))-AVERAGE(OFFSET($H$3,0,0,'Données projet'!$E$13+1,1))</f>
        <v>211.18501783767226</v>
      </c>
      <c r="CZ58" s="59">
        <f t="shared" si="42"/>
        <v>147.98306963466246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-2.2737367544323206E-13</v>
      </c>
      <c r="O59" s="13">
        <f>N59*VLOOKUP('Données projet'!$B$9,Paramètres!$A$1:$I$89,3,0)*VLOOKUP('Données projet'!$B$9,Paramètres!$A$1:$I$89,5,0)</f>
        <v>-1.3596945791505279E-13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182.25704762953387</v>
      </c>
      <c r="T59" s="59">
        <f t="shared" si="34"/>
        <v>265.61788177751134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2.986079389899436</v>
      </c>
      <c r="AA59" s="21">
        <f>EXP(-LN(2)/25)*AA58+(1-EXP(-LN(2)/25))/(LN(2)/25)*Calculateur!V59*Calculateur!X59*VLOOKUP('Données projet'!$B$9,Paramètres!$A$1:$I$89,3,0)*0.475*44/12</f>
        <v>8.330703573690613</v>
      </c>
      <c r="AB59" s="21">
        <f>EXP(-LN(2)/2)*AB58+(1-EXP(-LN(2)/2))/(LN(2)/2)*V59*Y59*VLOOKUP('Données projet'!$B$9,Paramètres!$A$1:$I$89,3,0)*0.475*44/12</f>
        <v>3.6009544108985773E-4</v>
      </c>
      <c r="AC59" s="22">
        <f t="shared" si="3"/>
        <v>11.317143059031139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8.374198717948719</v>
      </c>
      <c r="AI59" s="13">
        <f>IF('Données projet'!$A$62&gt;35,AI58+AH59-AQ58,IF(A59&lt;'Données projet'!$A$62,$AF$205^A59,IF(A59='Données projet'!$A$62,'Données projet'!$B$62,AI58+AH59-AQ58)))</f>
        <v>161.6690705128205</v>
      </c>
      <c r="AJ59" s="13">
        <f>AI59*VLOOKUP('Données projet'!$B$10,Paramètres!$A$1:$I$89,3,0)*VLOOKUP('Données projet'!$B$10,Paramètres!$A$1:$I$89,5,0)</f>
        <v>163.93243749999999</v>
      </c>
      <c r="AK59" s="13">
        <f t="shared" si="35"/>
        <v>41.728230370613375</v>
      </c>
      <c r="AL59" s="20">
        <f t="shared" si="4"/>
        <v>358.19232987465165</v>
      </c>
      <c r="AM59" s="59">
        <f t="shared" si="5"/>
        <v>651.52566320798496</v>
      </c>
      <c r="AN59" s="59">
        <f ca="1">AVERAGE(OFFSET($AM$3,0,0,'Données projet'!$E$10+1,1))-AVERAGE(OFFSET($H$3,0,0,'Données projet'!$E$10+1,1))</f>
        <v>263.15518481854753</v>
      </c>
      <c r="AO59" s="59">
        <f t="shared" si="36"/>
        <v>210.80755370263819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6.4</v>
      </c>
      <c r="BD59" s="12">
        <f>IF('Données projet'!$A$88&gt;35,BD58+BC59-BL58,IF(A59&lt;'Données projet'!$A$88,$BA$205^A59,IF(A59='Données projet'!$A$88,'Données projet'!$B$88,BD58+BC59-BL58)))</f>
        <v>224.39999999999995</v>
      </c>
      <c r="BE59" s="13">
        <f>BD59*VLOOKUP('Données projet'!$B$11,Paramètres!$A$1:$I$89,3,0)*VLOOKUP('Données projet'!$B$11,Paramètres!$A$1:$I$89,5,0)</f>
        <v>182.03327999999996</v>
      </c>
      <c r="BF59" s="13">
        <f t="shared" si="37"/>
        <v>45.774257349740239</v>
      </c>
      <c r="BG59" s="20">
        <f t="shared" si="7"/>
        <v>396.76479421746416</v>
      </c>
      <c r="BH59" s="59">
        <f t="shared" si="8"/>
        <v>690.09812755079747</v>
      </c>
      <c r="BI59" s="59">
        <f ca="1">AVERAGE(OFFSET($BH$3,0,0,'Données projet'!$E$11+1,1))-AVERAGE(OFFSET($H$3,0,0,'Données projet'!$E$11+1,1))</f>
        <v>203.21935660591021</v>
      </c>
      <c r="BJ59" s="59">
        <f t="shared" si="38"/>
        <v>180.54762778843178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0.59909345281781456</v>
      </c>
      <c r="BQ59" s="21">
        <f>EXP(-LN(2)/25)*BQ58+(1-EXP(-LN(2)/25))/(LN(2)/25)*Calculateur!BL59*Calculateur!BN59*VLOOKUP('Données projet'!$B$11,Paramètres!$A$1:$I$89,3,0)*0.475*44/12</f>
        <v>2.8224992234170867</v>
      </c>
      <c r="BR59" s="21">
        <f>EXP(-LN(2)/2)*BR58+(1-EXP(-LN(2)/2))/(LN(2)/2)*BL59*BO59*VLOOKUP('Données projet'!$B$11,Paramètres!$A$1:$I$89,3,0)*0.475*44/12</f>
        <v>1.1062847314916922E-3</v>
      </c>
      <c r="BS59" s="22">
        <f t="shared" si="9"/>
        <v>3.4226989609663931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6.3942307692307665</v>
      </c>
      <c r="BY59" s="12">
        <f>IF('Données projet'!$A$114&gt;35,BY58+BX59-CG58,IF(A59&lt;'Données projet'!$A$114,$BV$205^A59,IF(A59='Données projet'!$A$114,'Données projet'!$B$114,BY58+BX59-CG58)))</f>
        <v>140.07371794871793</v>
      </c>
      <c r="BZ59" s="13">
        <f>BY59*VLOOKUP('Données projet'!$B$12,Paramètres!$A$1:$I$89,3,0)*VLOOKUP('Données projet'!$B$12,Paramètres!$A$1:$I$89,5,0)</f>
        <v>150.77534999999997</v>
      </c>
      <c r="CA59" s="13">
        <f t="shared" si="39"/>
        <v>38.754733784687033</v>
      </c>
      <c r="CB59" s="20">
        <f t="shared" si="10"/>
        <v>330.09822925832987</v>
      </c>
      <c r="CC59" s="59">
        <f t="shared" si="11"/>
        <v>623.43156259166312</v>
      </c>
      <c r="CD59" s="59">
        <f ca="1">AVERAGE(OFFSET($CC$3,0,0,'Données projet'!$E$12+1,1))-AVERAGE(OFFSET($H$3,0,0,'Données projet'!$E$12+1,1))</f>
        <v>211.18501783767226</v>
      </c>
      <c r="CE59" s="59">
        <f t="shared" si="40"/>
        <v>147.98306963466246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6.3942307692307665</v>
      </c>
      <c r="CT59" s="12">
        <f>IF('Données projet'!$A$140&gt;35,CT58+CS59-DB58,IF(A59&lt;'Données projet'!$A$140,$CQ$205^A59,IF(A59='Données projet'!$A$140,'Données projet'!$B$140,CT58+CS59-DB58)))</f>
        <v>140.07371794871793</v>
      </c>
      <c r="CU59" s="17">
        <f>CT59*VLOOKUP('Données projet'!$B$13,Paramètres!$A$1:$I$89,3,0)*VLOOKUP('Données projet'!$B$13,Paramètres!$A$1:$I$89,5,0)</f>
        <v>150.77534999999997</v>
      </c>
      <c r="CV59" s="13">
        <f t="shared" si="41"/>
        <v>38.754733784687033</v>
      </c>
      <c r="CW59" s="20">
        <f t="shared" si="13"/>
        <v>330.09822925832987</v>
      </c>
      <c r="CX59" s="59">
        <f t="shared" si="14"/>
        <v>623.43156259166312</v>
      </c>
      <c r="CY59" s="59">
        <f ca="1">AVERAGE(OFFSET($CX$3,0,0,'Données projet'!$E$13+1,1))-AVERAGE(OFFSET($H$3,0,0,'Données projet'!$E$13+1,1))</f>
        <v>211.18501783767226</v>
      </c>
      <c r="CZ59" s="59">
        <f t="shared" si="42"/>
        <v>147.98306963466246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-2.2737367544323206E-13</v>
      </c>
      <c r="O60" s="13">
        <f>N60*VLOOKUP('Données projet'!$B$9,Paramètres!$A$1:$I$89,3,0)*VLOOKUP('Données projet'!$B$9,Paramètres!$A$1:$I$89,5,0)</f>
        <v>-1.3596945791505279E-13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182.25704762953387</v>
      </c>
      <c r="T60" s="59">
        <f t="shared" si="34"/>
        <v>265.61788177751134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2.9275241943920944</v>
      </c>
      <c r="AA60" s="21">
        <f>EXP(-LN(2)/25)*AA59+(1-EXP(-LN(2)/25))/(LN(2)/25)*Calculateur!V60*Calculateur!X60*VLOOKUP('Données projet'!$B$9,Paramètres!$A$1:$I$89,3,0)*0.475*44/12</f>
        <v>8.1029000463753817</v>
      </c>
      <c r="AB60" s="21">
        <f>EXP(-LN(2)/2)*AB59+(1-EXP(-LN(2)/2))/(LN(2)/2)*V60*Y60*VLOOKUP('Données projet'!$B$9,Paramètres!$A$1:$I$89,3,0)*0.475*44/12</f>
        <v>2.5462592826899934E-4</v>
      </c>
      <c r="AC60" s="22">
        <f t="shared" si="3"/>
        <v>11.030678866695746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8.374198717948719</v>
      </c>
      <c r="AI60" s="13">
        <f>IF('Données projet'!$A$62&gt;35,AI59+AH60-AQ59,IF(A60&lt;'Données projet'!$A$62,$AF$205^A60,IF(A60='Données projet'!$A$62,'Données projet'!$B$62,AI59+AH60-AQ59)))</f>
        <v>170.04326923076923</v>
      </c>
      <c r="AJ60" s="13">
        <f>AI60*VLOOKUP('Données projet'!$B$10,Paramètres!$A$1:$I$89,3,0)*VLOOKUP('Données projet'!$B$10,Paramètres!$A$1:$I$89,5,0)</f>
        <v>172.42387500000001</v>
      </c>
      <c r="AK60" s="13">
        <f t="shared" si="35"/>
        <v>43.632442843289994</v>
      </c>
      <c r="AL60" s="20">
        <f t="shared" si="4"/>
        <v>376.29808691039671</v>
      </c>
      <c r="AM60" s="59">
        <f t="shared" si="5"/>
        <v>669.63142024372996</v>
      </c>
      <c r="AN60" s="59">
        <f ca="1">AVERAGE(OFFSET($AM$3,0,0,'Données projet'!$E$10+1,1))-AVERAGE(OFFSET($H$3,0,0,'Données projet'!$E$10+1,1))</f>
        <v>263.15518481854753</v>
      </c>
      <c r="AO60" s="59">
        <f t="shared" si="36"/>
        <v>210.80755370263819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6.4</v>
      </c>
      <c r="BD60" s="12">
        <f>IF('Données projet'!$A$88&gt;35,BD59+BC60-BL59,IF(A60&lt;'Données projet'!$A$88,$BA$205^A60,IF(A60='Données projet'!$A$88,'Données projet'!$B$88,BD59+BC60-BL59)))</f>
        <v>230.79999999999995</v>
      </c>
      <c r="BE60" s="13">
        <f>BD60*VLOOKUP('Données projet'!$B$11,Paramètres!$A$1:$I$89,3,0)*VLOOKUP('Données projet'!$B$11,Paramètres!$A$1:$I$89,5,0)</f>
        <v>187.22495999999998</v>
      </c>
      <c r="BF60" s="13">
        <f t="shared" si="37"/>
        <v>46.925906533876862</v>
      </c>
      <c r="BG60" s="20">
        <f t="shared" si="7"/>
        <v>407.81275921316882</v>
      </c>
      <c r="BH60" s="59">
        <f t="shared" si="8"/>
        <v>701.14609254650213</v>
      </c>
      <c r="BI60" s="59">
        <f ca="1">AVERAGE(OFFSET($BH$3,0,0,'Données projet'!$E$11+1,1))-AVERAGE(OFFSET($H$3,0,0,'Données projet'!$E$11+1,1))</f>
        <v>203.21935660591021</v>
      </c>
      <c r="BJ60" s="59">
        <f t="shared" si="38"/>
        <v>180.54762778843178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0.58734559561898214</v>
      </c>
      <c r="BQ60" s="21">
        <f>EXP(-LN(2)/25)*BQ59+(1-EXP(-LN(2)/25))/(LN(2)/25)*Calculateur!BL60*Calculateur!BN60*VLOOKUP('Données projet'!$B$11,Paramètres!$A$1:$I$89,3,0)*0.475*44/12</f>
        <v>2.7453178337239632</v>
      </c>
      <c r="BR60" s="21">
        <f>EXP(-LN(2)/2)*BR59+(1-EXP(-LN(2)/2))/(LN(2)/2)*BL60*BO60*VLOOKUP('Données projet'!$B$11,Paramètres!$A$1:$I$89,3,0)*0.475*44/12</f>
        <v>7.8226143556091451E-4</v>
      </c>
      <c r="BS60" s="22">
        <f t="shared" si="9"/>
        <v>3.3334456907785062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6.3942307692307665</v>
      </c>
      <c r="BY60" s="12">
        <f>IF('Données projet'!$A$114&gt;35,BY59+BX60-CG59,IF(A60&lt;'Données projet'!$A$114,$BV$205^A60,IF(A60='Données projet'!$A$114,'Données projet'!$B$114,BY59+BX60-CG59)))</f>
        <v>146.4679487179487</v>
      </c>
      <c r="BZ60" s="13">
        <f>BY60*VLOOKUP('Données projet'!$B$12,Paramètres!$A$1:$I$89,3,0)*VLOOKUP('Données projet'!$B$12,Paramètres!$A$1:$I$89,5,0)</f>
        <v>157.65809999999996</v>
      </c>
      <c r="CA60" s="13">
        <f t="shared" si="39"/>
        <v>40.313840880065626</v>
      </c>
      <c r="CB60" s="20">
        <f t="shared" si="10"/>
        <v>344.80113036611419</v>
      </c>
      <c r="CC60" s="59">
        <f t="shared" si="11"/>
        <v>638.13446369944745</v>
      </c>
      <c r="CD60" s="59">
        <f ca="1">AVERAGE(OFFSET($CC$3,0,0,'Données projet'!$E$12+1,1))-AVERAGE(OFFSET($H$3,0,0,'Données projet'!$E$12+1,1))</f>
        <v>211.18501783767226</v>
      </c>
      <c r="CE60" s="59">
        <f t="shared" si="40"/>
        <v>147.98306963466246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6.3942307692307665</v>
      </c>
      <c r="CT60" s="12">
        <f>IF('Données projet'!$A$140&gt;35,CT59+CS60-DB59,IF(A60&lt;'Données projet'!$A$140,$CQ$205^A60,IF(A60='Données projet'!$A$140,'Données projet'!$B$140,CT59+CS60-DB59)))</f>
        <v>146.4679487179487</v>
      </c>
      <c r="CU60" s="17">
        <f>CT60*VLOOKUP('Données projet'!$B$13,Paramètres!$A$1:$I$89,3,0)*VLOOKUP('Données projet'!$B$13,Paramètres!$A$1:$I$89,5,0)</f>
        <v>157.65809999999996</v>
      </c>
      <c r="CV60" s="13">
        <f t="shared" si="41"/>
        <v>40.313840880065626</v>
      </c>
      <c r="CW60" s="20">
        <f t="shared" si="13"/>
        <v>344.80113036611419</v>
      </c>
      <c r="CX60" s="59">
        <f t="shared" si="14"/>
        <v>638.13446369944745</v>
      </c>
      <c r="CY60" s="59">
        <f ca="1">AVERAGE(OFFSET($CX$3,0,0,'Données projet'!$E$13+1,1))-AVERAGE(OFFSET($H$3,0,0,'Données projet'!$E$13+1,1))</f>
        <v>211.18501783767226</v>
      </c>
      <c r="CZ60" s="59">
        <f t="shared" si="42"/>
        <v>147.98306963466246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-2.2737367544323206E-13</v>
      </c>
      <c r="O61" s="13">
        <f>N61*VLOOKUP('Données projet'!$B$9,Paramètres!$A$1:$I$89,3,0)*VLOOKUP('Données projet'!$B$9,Paramètres!$A$1:$I$89,5,0)</f>
        <v>-1.3596945791505279E-13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182.25704762953387</v>
      </c>
      <c r="T61" s="59">
        <f t="shared" si="34"/>
        <v>265.61788177751134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2.8701172305535092</v>
      </c>
      <c r="AA61" s="21">
        <f>EXP(-LN(2)/25)*AA60+(1-EXP(-LN(2)/25))/(LN(2)/25)*Calculateur!V61*Calculateur!X61*VLOOKUP('Données projet'!$B$9,Paramètres!$A$1:$I$89,3,0)*0.475*44/12</f>
        <v>7.8813258184942532</v>
      </c>
      <c r="AB61" s="21">
        <f>EXP(-LN(2)/2)*AB60+(1-EXP(-LN(2)/2))/(LN(2)/2)*V61*Y61*VLOOKUP('Données projet'!$B$9,Paramètres!$A$1:$I$89,3,0)*0.475*44/12</f>
        <v>1.8004772054492886E-4</v>
      </c>
      <c r="AC61" s="22">
        <f t="shared" si="3"/>
        <v>10.751623096768306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8.374198717948719</v>
      </c>
      <c r="AI61" s="13">
        <f>IF('Données projet'!$A$62&gt;35,AI60+AH61-AQ60,IF(A61&lt;'Données projet'!$A$62,$AF$205^A61,IF(A61='Données projet'!$A$62,'Données projet'!$B$62,AI60+AH61-AQ60)))</f>
        <v>178.41746794871796</v>
      </c>
      <c r="AJ61" s="13">
        <f>AI61*VLOOKUP('Données projet'!$B$10,Paramètres!$A$1:$I$89,3,0)*VLOOKUP('Données projet'!$B$10,Paramètres!$A$1:$I$89,5,0)</f>
        <v>180.91531250000003</v>
      </c>
      <c r="AK61" s="13">
        <f t="shared" si="35"/>
        <v>45.525766180401902</v>
      </c>
      <c r="AL61" s="20">
        <f t="shared" si="4"/>
        <v>394.38487870169996</v>
      </c>
      <c r="AM61" s="59">
        <f t="shared" si="5"/>
        <v>687.71821203503328</v>
      </c>
      <c r="AN61" s="59">
        <f ca="1">AVERAGE(OFFSET($AM$3,0,0,'Données projet'!$E$10+1,1))-AVERAGE(OFFSET($H$3,0,0,'Données projet'!$E$10+1,1))</f>
        <v>263.15518481854753</v>
      </c>
      <c r="AO61" s="59">
        <f t="shared" si="36"/>
        <v>210.80755370263819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6.4</v>
      </c>
      <c r="BD61" s="12">
        <f>IF('Données projet'!$A$88&gt;35,BD60+BC61-BL60,IF(A61&lt;'Données projet'!$A$88,$BA$205^A61,IF(A61='Données projet'!$A$88,'Données projet'!$B$88,BD60+BC61-BL60)))</f>
        <v>237.19999999999996</v>
      </c>
      <c r="BE61" s="13">
        <f>BD61*VLOOKUP('Données projet'!$B$11,Paramètres!$A$1:$I$89,3,0)*VLOOKUP('Données projet'!$B$11,Paramètres!$A$1:$I$89,5,0)</f>
        <v>192.41663999999997</v>
      </c>
      <c r="BF61" s="13">
        <f t="shared" si="37"/>
        <v>48.073843995796572</v>
      </c>
      <c r="BG61" s="20">
        <f t="shared" si="7"/>
        <v>418.85425962601227</v>
      </c>
      <c r="BH61" s="59">
        <f t="shared" si="8"/>
        <v>712.18759295934558</v>
      </c>
      <c r="BI61" s="59">
        <f ca="1">AVERAGE(OFFSET($BH$3,0,0,'Données projet'!$E$11+1,1))-AVERAGE(OFFSET($H$3,0,0,'Données projet'!$E$11+1,1))</f>
        <v>203.21935660591021</v>
      </c>
      <c r="BJ61" s="59">
        <f t="shared" si="38"/>
        <v>180.54762778843178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0.57582810673433338</v>
      </c>
      <c r="BQ61" s="21">
        <f>EXP(-LN(2)/25)*BQ60+(1-EXP(-LN(2)/25))/(LN(2)/25)*Calculateur!BL61*Calculateur!BN61*VLOOKUP('Données projet'!$B$11,Paramètres!$A$1:$I$89,3,0)*0.475*44/12</f>
        <v>2.6702469731907912</v>
      </c>
      <c r="BR61" s="21">
        <f>EXP(-LN(2)/2)*BR60+(1-EXP(-LN(2)/2))/(LN(2)/2)*BL61*BO61*VLOOKUP('Données projet'!$B$11,Paramètres!$A$1:$I$89,3,0)*0.475*44/12</f>
        <v>5.5314236574584611E-4</v>
      </c>
      <c r="BS61" s="22">
        <f t="shared" si="9"/>
        <v>3.2466282222908704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6.3942307692307665</v>
      </c>
      <c r="BY61" s="12">
        <f>IF('Données projet'!$A$114&gt;35,BY60+BX61-CG60,IF(A61&lt;'Données projet'!$A$114,$BV$205^A61,IF(A61='Données projet'!$A$114,'Données projet'!$B$114,BY60+BX61-CG60)))</f>
        <v>152.86217948717947</v>
      </c>
      <c r="BZ61" s="13">
        <f>BY61*VLOOKUP('Données projet'!$B$12,Paramètres!$A$1:$I$89,3,0)*VLOOKUP('Données projet'!$B$12,Paramètres!$A$1:$I$89,5,0)</f>
        <v>164.54084999999998</v>
      </c>
      <c r="CA61" s="13">
        <f t="shared" si="39"/>
        <v>41.865042693711125</v>
      </c>
      <c r="CB61" s="20">
        <f t="shared" si="10"/>
        <v>359.49026310821347</v>
      </c>
      <c r="CC61" s="59">
        <f t="shared" si="11"/>
        <v>652.82359644154678</v>
      </c>
      <c r="CD61" s="59">
        <f ca="1">AVERAGE(OFFSET($CC$3,0,0,'Données projet'!$E$12+1,1))-AVERAGE(OFFSET($H$3,0,0,'Données projet'!$E$12+1,1))</f>
        <v>211.18501783767226</v>
      </c>
      <c r="CE61" s="59">
        <f t="shared" si="40"/>
        <v>147.98306963466246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6.3942307692307665</v>
      </c>
      <c r="CT61" s="12">
        <f>IF('Données projet'!$A$140&gt;35,CT60+CS61-DB60,IF(A61&lt;'Données projet'!$A$140,$CQ$205^A61,IF(A61='Données projet'!$A$140,'Données projet'!$B$140,CT60+CS61-DB60)))</f>
        <v>152.86217948717947</v>
      </c>
      <c r="CU61" s="17">
        <f>CT61*VLOOKUP('Données projet'!$B$13,Paramètres!$A$1:$I$89,3,0)*VLOOKUP('Données projet'!$B$13,Paramètres!$A$1:$I$89,5,0)</f>
        <v>164.54084999999998</v>
      </c>
      <c r="CV61" s="13">
        <f t="shared" si="41"/>
        <v>41.865042693711125</v>
      </c>
      <c r="CW61" s="20">
        <f t="shared" si="13"/>
        <v>359.49026310821347</v>
      </c>
      <c r="CX61" s="59">
        <f t="shared" si="14"/>
        <v>652.82359644154678</v>
      </c>
      <c r="CY61" s="59">
        <f ca="1">AVERAGE(OFFSET($CX$3,0,0,'Données projet'!$E$13+1,1))-AVERAGE(OFFSET($H$3,0,0,'Données projet'!$E$13+1,1))</f>
        <v>211.18501783767226</v>
      </c>
      <c r="CZ61" s="59">
        <f t="shared" si="42"/>
        <v>147.98306963466246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-2.2737367544323206E-13</v>
      </c>
      <c r="O62" s="13">
        <f>N62*VLOOKUP('Données projet'!$B$9,Paramètres!$A$1:$I$89,3,0)*VLOOKUP('Données projet'!$B$9,Paramètres!$A$1:$I$89,5,0)</f>
        <v>-1.3596945791505279E-13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182.25704762953387</v>
      </c>
      <c r="T62" s="59">
        <f t="shared" si="34"/>
        <v>265.61788177751134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2.8138359822610082</v>
      </c>
      <c r="AA62" s="21">
        <f>EXP(-LN(2)/25)*AA61+(1-EXP(-LN(2)/25))/(LN(2)/25)*Calculateur!V62*Calculateur!X62*VLOOKUP('Données projet'!$B$9,Paramètres!$A$1:$I$89,3,0)*0.475*44/12</f>
        <v>7.6658105495266158</v>
      </c>
      <c r="AB62" s="21">
        <f>EXP(-LN(2)/2)*AB61+(1-EXP(-LN(2)/2))/(LN(2)/2)*V62*Y62*VLOOKUP('Données projet'!$B$9,Paramètres!$A$1:$I$89,3,0)*0.475*44/12</f>
        <v>1.2731296413449967E-4</v>
      </c>
      <c r="AC62" s="22">
        <f t="shared" si="3"/>
        <v>10.479773844751758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8.374198717948719</v>
      </c>
      <c r="AI62" s="13">
        <f>IF('Données projet'!$A$62&gt;35,AI61+AH62-AQ61,IF(A62&lt;'Données projet'!$A$62,$AF$205^A62,IF(A62='Données projet'!$A$62,'Données projet'!$B$62,AI61+AH62-AQ61)))</f>
        <v>186.79166666666669</v>
      </c>
      <c r="AJ62" s="13">
        <f>AI62*VLOOKUP('Données projet'!$B$10,Paramètres!$A$1:$I$89,3,0)*VLOOKUP('Données projet'!$B$10,Paramètres!$A$1:$I$89,5,0)</f>
        <v>189.40675000000005</v>
      </c>
      <c r="AK62" s="13">
        <f t="shared" si="35"/>
        <v>47.408769837095754</v>
      </c>
      <c r="AL62" s="20">
        <f t="shared" si="4"/>
        <v>412.45369704960848</v>
      </c>
      <c r="AM62" s="59">
        <f t="shared" si="5"/>
        <v>705.78703038294179</v>
      </c>
      <c r="AN62" s="59">
        <f ca="1">AVERAGE(OFFSET($AM$3,0,0,'Données projet'!$E$10+1,1))-AVERAGE(OFFSET($H$3,0,0,'Données projet'!$E$10+1,1))</f>
        <v>263.15518481854753</v>
      </c>
      <c r="AO62" s="59">
        <f t="shared" si="36"/>
        <v>210.80755370263819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6.4</v>
      </c>
      <c r="BD62" s="12">
        <f>IF('Données projet'!$A$88&gt;35,BD61+BC62-BL61,IF(A62&lt;'Données projet'!$A$88,$BA$205^A62,IF(A62='Données projet'!$A$88,'Données projet'!$B$88,BD61+BC62-BL61)))</f>
        <v>243.59999999999997</v>
      </c>
      <c r="BE62" s="13">
        <f>BD62*VLOOKUP('Données projet'!$B$11,Paramètres!$A$1:$I$89,3,0)*VLOOKUP('Données projet'!$B$11,Paramètres!$A$1:$I$89,5,0)</f>
        <v>197.60831999999999</v>
      </c>
      <c r="BF62" s="13">
        <f t="shared" si="37"/>
        <v>49.218181392381361</v>
      </c>
      <c r="BG62" s="20">
        <f t="shared" si="7"/>
        <v>429.8894899250642</v>
      </c>
      <c r="BH62" s="59">
        <f t="shared" si="8"/>
        <v>723.22282325839751</v>
      </c>
      <c r="BI62" s="59">
        <f ca="1">AVERAGE(OFFSET($BH$3,0,0,'Données projet'!$E$11+1,1))-AVERAGE(OFFSET($H$3,0,0,'Données projet'!$E$11+1,1))</f>
        <v>203.21935660591021</v>
      </c>
      <c r="BJ62" s="59">
        <f t="shared" si="38"/>
        <v>180.54762778843178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0.56453646878173802</v>
      </c>
      <c r="BQ62" s="21">
        <f>EXP(-LN(2)/25)*BQ61+(1-EXP(-LN(2)/25))/(LN(2)/25)*Calculateur!BL62*Calculateur!BN62*VLOOKUP('Données projet'!$B$11,Paramètres!$A$1:$I$89,3,0)*0.475*44/12</f>
        <v>2.5972289292867035</v>
      </c>
      <c r="BR62" s="21">
        <f>EXP(-LN(2)/2)*BR61+(1-EXP(-LN(2)/2))/(LN(2)/2)*BL62*BO62*VLOOKUP('Données projet'!$B$11,Paramètres!$A$1:$I$89,3,0)*0.475*44/12</f>
        <v>3.9113071778045725E-4</v>
      </c>
      <c r="BS62" s="22">
        <f t="shared" si="9"/>
        <v>3.1621565287862219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>
        <f>VLOOKUP(A62,'Données projet'!$A$113:$I$133,2,0)</f>
        <v>159.25641025641025</v>
      </c>
      <c r="BW62" s="12">
        <f>VLOOKUP(A62,'Données projet'!$A$113:$I$133,9,0)</f>
        <v>6.3942307692307665</v>
      </c>
      <c r="BX62" s="12">
        <f t="array" ref="BX62">INDEX(BW:BW,MIN(IF(ISNUMBER(BW62:BW258),ROW(BW62:BW258),"")))</f>
        <v>6.3942307692307665</v>
      </c>
      <c r="BY62" s="12">
        <f>IF('Données projet'!$A$114&gt;35,BY61+BX62-CG61,IF(A62&lt;'Données projet'!$A$114,$BV$205^A62,IF(A62='Données projet'!$A$114,'Données projet'!$B$114,BY61+BX62-CG61)))</f>
        <v>159.25641025641025</v>
      </c>
      <c r="BZ62" s="13">
        <f>BY62*VLOOKUP('Données projet'!$B$12,Paramètres!$A$1:$I$89,3,0)*VLOOKUP('Données projet'!$B$12,Paramètres!$A$1:$I$89,5,0)</f>
        <v>171.42359999999999</v>
      </c>
      <c r="CA62" s="13">
        <f t="shared" si="39"/>
        <v>43.408707716706886</v>
      </c>
      <c r="CB62" s="20">
        <f t="shared" si="10"/>
        <v>374.1662692732645</v>
      </c>
      <c r="CC62" s="59">
        <f t="shared" si="11"/>
        <v>667.49960260659782</v>
      </c>
      <c r="CD62" s="59">
        <f ca="1">AVERAGE(OFFSET($CC$3,0,0,'Données projet'!$E$12+1,1))-AVERAGE(OFFSET($H$3,0,0,'Données projet'!$E$12+1,1))</f>
        <v>211.18501783767226</v>
      </c>
      <c r="CE62" s="59">
        <f t="shared" si="40"/>
        <v>147.98306963466246</v>
      </c>
      <c r="CF62" s="15">
        <f>IF(ISNA(VLOOKUP(A62,'Données projet'!$A$113:$I$133,3,0)),0,VLOOKUP(A62,'Données projet'!$A$113:$I$133,3,0))</f>
        <v>3</v>
      </c>
      <c r="CG62" s="15">
        <f>IF(ISNA(VLOOKUP(A62,'Données projet'!$A$113:$I$133,4,0)),0,VLOOKUP(A62,'Données projet'!$A$113:$I$133,4,0))</f>
        <v>38.942307692307693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>
        <f>VLOOKUP(A62,'Données projet'!$A$139:$I$159,2,0)</f>
        <v>159.25641025641025</v>
      </c>
      <c r="CR62" s="12">
        <f>VLOOKUP(A62,'Données projet'!$A$139:$I$159,9,0)</f>
        <v>6.3942307692307665</v>
      </c>
      <c r="CS62" s="12">
        <f t="array" ref="CS62">INDEX(CR:CR,MIN(IF(ISNUMBER(CR62:CR258),ROW(CR62:CR258),"")))</f>
        <v>6.3942307692307665</v>
      </c>
      <c r="CT62" s="12">
        <f>IF('Données projet'!$A$140&gt;35,CT61+CS62-DB61,IF(A62&lt;'Données projet'!$A$140,$CQ$205^A62,IF(A62='Données projet'!$A$140,'Données projet'!$B$140,CT61+CS62-DB61)))</f>
        <v>159.25641025641025</v>
      </c>
      <c r="CU62" s="17">
        <f>CT62*VLOOKUP('Données projet'!$B$13,Paramètres!$A$1:$I$89,3,0)*VLOOKUP('Données projet'!$B$13,Paramètres!$A$1:$I$89,5,0)</f>
        <v>171.42359999999999</v>
      </c>
      <c r="CV62" s="13">
        <f t="shared" si="41"/>
        <v>43.408707716706886</v>
      </c>
      <c r="CW62" s="20">
        <f t="shared" si="13"/>
        <v>374.1662692732645</v>
      </c>
      <c r="CX62" s="59">
        <f t="shared" si="14"/>
        <v>667.49960260659782</v>
      </c>
      <c r="CY62" s="59">
        <f ca="1">AVERAGE(OFFSET($CX$3,0,0,'Données projet'!$E$13+1,1))-AVERAGE(OFFSET($H$3,0,0,'Données projet'!$E$13+1,1))</f>
        <v>211.18501783767226</v>
      </c>
      <c r="CZ62" s="59">
        <f t="shared" si="42"/>
        <v>147.98306963466246</v>
      </c>
      <c r="DA62" s="15">
        <f>IF(ISNA(VLOOKUP(A62,'Données projet'!$A$139:$I$159,3,0)),0,VLOOKUP(A62,'Données projet'!$A$139:$I$159,3,0))</f>
        <v>3</v>
      </c>
      <c r="DB62" s="15">
        <f>IF(ISNA(VLOOKUP(A62,'Données projet'!$A$139:$I$159,4,0)),0,VLOOKUP(A62,'Données projet'!$A$139:$I$159,4,0))</f>
        <v>38.942307692307693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-2.2737367544323206E-13</v>
      </c>
      <c r="O63" s="13">
        <f>N63*VLOOKUP('Données projet'!$B$9,Paramètres!$A$1:$I$89,3,0)*VLOOKUP('Données projet'!$B$9,Paramètres!$A$1:$I$89,5,0)</f>
        <v>-1.3596945791505279E-13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182.25704762953387</v>
      </c>
      <c r="T63" s="59">
        <f t="shared" si="34"/>
        <v>265.61788177751134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2.7586583749193512</v>
      </c>
      <c r="AA63" s="21">
        <f>EXP(-LN(2)/25)*AA62+(1-EXP(-LN(2)/25))/(LN(2)/25)*Calculateur!V63*Calculateur!X63*VLOOKUP('Données projet'!$B$9,Paramètres!$A$1:$I$89,3,0)*0.475*44/12</f>
        <v>7.4561885569223545</v>
      </c>
      <c r="AB63" s="21">
        <f>EXP(-LN(2)/2)*AB62+(1-EXP(-LN(2)/2))/(LN(2)/2)*V63*Y63*VLOOKUP('Données projet'!$B$9,Paramètres!$A$1:$I$89,3,0)*0.475*44/12</f>
        <v>9.0023860272464432E-5</v>
      </c>
      <c r="AC63" s="22">
        <f t="shared" si="3"/>
        <v>10.214936955701978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8.374198717948719</v>
      </c>
      <c r="AI63" s="13">
        <f>IF('Données projet'!$A$62&gt;35,AI62+AH63-AQ62,IF(A63&lt;'Données projet'!$A$62,$AF$205^A63,IF(A63='Données projet'!$A$62,'Données projet'!$B$62,AI62+AH63-AQ62)))</f>
        <v>195.16586538461542</v>
      </c>
      <c r="AJ63" s="13">
        <f>AI63*VLOOKUP('Données projet'!$B$10,Paramètres!$A$1:$I$89,3,0)*VLOOKUP('Données projet'!$B$10,Paramètres!$A$1:$I$89,5,0)</f>
        <v>197.89818750000003</v>
      </c>
      <c r="AK63" s="13">
        <f t="shared" si="35"/>
        <v>49.28196932261676</v>
      </c>
      <c r="AL63" s="20">
        <f t="shared" si="4"/>
        <v>430.5054397993909</v>
      </c>
      <c r="AM63" s="59">
        <f t="shared" si="5"/>
        <v>723.83877313272421</v>
      </c>
      <c r="AN63" s="59">
        <f ca="1">AVERAGE(OFFSET($AM$3,0,0,'Données projet'!$E$10+1,1))-AVERAGE(OFFSET($H$3,0,0,'Données projet'!$E$10+1,1))</f>
        <v>263.15518481854753</v>
      </c>
      <c r="AO63" s="59">
        <f t="shared" si="36"/>
        <v>210.80755370263819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250</v>
      </c>
      <c r="BB63" s="12">
        <f>VLOOKUP(A63,'Données projet'!$A$87:$I$107,9,0)</f>
        <v>6.4</v>
      </c>
      <c r="BC63" s="12">
        <f t="array" ref="BC63">INDEX(BB:BB,MIN(IF(ISNUMBER(BB63:BB259),ROW(BB63:BB259),"")))</f>
        <v>6.4</v>
      </c>
      <c r="BD63" s="12">
        <f>IF('Données projet'!$A$88&gt;35,BD62+BC63-BL62,IF(A63&lt;'Données projet'!$A$88,$BA$205^A63,IF(A63='Données projet'!$A$88,'Données projet'!$B$88,BD62+BC63-BL62)))</f>
        <v>249.99999999999997</v>
      </c>
      <c r="BE63" s="13">
        <f>BD63*VLOOKUP('Données projet'!$B$11,Paramètres!$A$1:$I$89,3,0)*VLOOKUP('Données projet'!$B$11,Paramètres!$A$1:$I$89,5,0)</f>
        <v>202.8</v>
      </c>
      <c r="BF63" s="13">
        <f t="shared" si="37"/>
        <v>50.359024179354016</v>
      </c>
      <c r="BG63" s="20">
        <f t="shared" si="7"/>
        <v>440.91863377904156</v>
      </c>
      <c r="BH63" s="59">
        <f t="shared" si="8"/>
        <v>734.25196711237481</v>
      </c>
      <c r="BI63" s="59">
        <f ca="1">AVERAGE(OFFSET($BH$3,0,0,'Données projet'!$E$11+1,1))-AVERAGE(OFFSET($H$3,0,0,'Données projet'!$E$11+1,1))</f>
        <v>203.21935660591021</v>
      </c>
      <c r="BJ63" s="59">
        <f t="shared" si="38"/>
        <v>180.54762778843178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34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0.553466252962174</v>
      </c>
      <c r="BQ63" s="21">
        <f>EXP(-LN(2)/25)*BQ62+(1-EXP(-LN(2)/25))/(LN(2)/25)*Calculateur!BL63*Calculateur!BN63*VLOOKUP('Données projet'!$B$11,Paramètres!$A$1:$I$89,3,0)*0.475*44/12</f>
        <v>2.5262075676330253</v>
      </c>
      <c r="BR63" s="21">
        <f>EXP(-LN(2)/2)*BR62+(1-EXP(-LN(2)/2))/(LN(2)/2)*BL63*BO63*VLOOKUP('Données projet'!$B$11,Paramètres!$A$1:$I$89,3,0)*0.475*44/12</f>
        <v>2.7657118287292305E-4</v>
      </c>
      <c r="BS63" s="22">
        <f t="shared" si="9"/>
        <v>3.0799503917780724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5.9431089743589762</v>
      </c>
      <c r="BY63" s="12">
        <f>IF('Données projet'!$A$114&gt;35,BY62+BX63-CG62,IF(A63&lt;'Données projet'!$A$114,$BV$205^A63,IF(A63='Données projet'!$A$114,'Données projet'!$B$114,BY62+BX63-CG62)))</f>
        <v>126.25721153846153</v>
      </c>
      <c r="BZ63" s="13">
        <f>BY63*VLOOKUP('Données projet'!$B$12,Paramètres!$A$1:$I$89,3,0)*VLOOKUP('Données projet'!$B$12,Paramètres!$A$1:$I$89,5,0)</f>
        <v>135.90326249999998</v>
      </c>
      <c r="CA63" s="13">
        <f t="shared" si="39"/>
        <v>35.356884440438705</v>
      </c>
      <c r="CB63" s="20">
        <f t="shared" si="10"/>
        <v>298.27808925459738</v>
      </c>
      <c r="CC63" s="59">
        <f t="shared" si="11"/>
        <v>591.61142258793075</v>
      </c>
      <c r="CD63" s="59">
        <f ca="1">AVERAGE(OFFSET($CC$3,0,0,'Données projet'!$E$12+1,1))-AVERAGE(OFFSET($H$3,0,0,'Données projet'!$E$12+1,1))</f>
        <v>211.18501783767226</v>
      </c>
      <c r="CE63" s="59">
        <f t="shared" si="40"/>
        <v>147.98306963466246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5.9431089743589762</v>
      </c>
      <c r="CT63" s="12">
        <f>IF('Données projet'!$A$140&gt;35,CT62+CS63-DB62,IF(A63&lt;'Données projet'!$A$140,$CQ$205^A63,IF(A63='Données projet'!$A$140,'Données projet'!$B$140,CT62+CS63-DB62)))</f>
        <v>126.25721153846153</v>
      </c>
      <c r="CU63" s="17">
        <f>CT63*VLOOKUP('Données projet'!$B$13,Paramètres!$A$1:$I$89,3,0)*VLOOKUP('Données projet'!$B$13,Paramètres!$A$1:$I$89,5,0)</f>
        <v>135.90326249999998</v>
      </c>
      <c r="CV63" s="13">
        <f t="shared" si="41"/>
        <v>35.356884440438705</v>
      </c>
      <c r="CW63" s="20">
        <f t="shared" si="13"/>
        <v>298.27808925459738</v>
      </c>
      <c r="CX63" s="59">
        <f t="shared" si="14"/>
        <v>591.61142258793075</v>
      </c>
      <c r="CY63" s="59">
        <f ca="1">AVERAGE(OFFSET($CX$3,0,0,'Données projet'!$E$13+1,1))-AVERAGE(OFFSET($H$3,0,0,'Données projet'!$E$13+1,1))</f>
        <v>211.18501783767226</v>
      </c>
      <c r="CZ63" s="59">
        <f t="shared" si="42"/>
        <v>147.98306963466246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-2.2737367544323206E-13</v>
      </c>
      <c r="O64" s="13">
        <f>N64*VLOOKUP('Données projet'!$B$9,Paramètres!$A$1:$I$89,3,0)*VLOOKUP('Données projet'!$B$9,Paramètres!$A$1:$I$89,5,0)</f>
        <v>-1.3596945791505279E-13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182.25704762953387</v>
      </c>
      <c r="T64" s="59">
        <f t="shared" si="34"/>
        <v>265.61788177751134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2.7045627668026468</v>
      </c>
      <c r="AA64" s="21">
        <f>EXP(-LN(2)/25)*AA63+(1-EXP(-LN(2)/25))/(LN(2)/25)*Calculateur!V64*Calculateur!X64*VLOOKUP('Données projet'!$B$9,Paramètres!$A$1:$I$89,3,0)*0.475*44/12</f>
        <v>7.2522986887293976</v>
      </c>
      <c r="AB64" s="21">
        <f>EXP(-LN(2)/2)*AB63+(1-EXP(-LN(2)/2))/(LN(2)/2)*V64*Y64*VLOOKUP('Données projet'!$B$9,Paramètres!$A$1:$I$89,3,0)*0.475*44/12</f>
        <v>6.3656482067249835E-5</v>
      </c>
      <c r="AC64" s="22">
        <f t="shared" si="3"/>
        <v>9.9569251120141118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8.374198717948719</v>
      </c>
      <c r="AI64" s="13">
        <f>IF('Données projet'!$A$62&gt;35,AI63+AH64-AQ63,IF(A64&lt;'Données projet'!$A$62,$AF$205^A64,IF(A64='Données projet'!$A$62,'Données projet'!$B$62,AI63+AH64-AQ63)))</f>
        <v>203.54006410256414</v>
      </c>
      <c r="AJ64" s="13">
        <f>AI64*VLOOKUP('Données projet'!$B$10,Paramètres!$A$1:$I$89,3,0)*VLOOKUP('Données projet'!$B$10,Paramètres!$A$1:$I$89,5,0)</f>
        <v>206.38962500000005</v>
      </c>
      <c r="AK64" s="13">
        <f t="shared" si="35"/>
        <v>51.145833405091331</v>
      </c>
      <c r="AL64" s="20">
        <f t="shared" si="4"/>
        <v>448.5409233888675</v>
      </c>
      <c r="AM64" s="59">
        <f t="shared" si="5"/>
        <v>741.87425672220081</v>
      </c>
      <c r="AN64" s="59">
        <f ca="1">AVERAGE(OFFSET($AM$3,0,0,'Données projet'!$E$10+1,1))-AVERAGE(OFFSET($H$3,0,0,'Données projet'!$E$10+1,1))</f>
        <v>263.15518481854753</v>
      </c>
      <c r="AO64" s="59">
        <f t="shared" si="36"/>
        <v>210.80755370263819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5.9</v>
      </c>
      <c r="BD64" s="12">
        <f>IF('Données projet'!$A$88&gt;35,BD63+BC64-BL63,IF(A64&lt;'Données projet'!$A$88,$BA$205^A64,IF(A64='Données projet'!$A$88,'Données projet'!$B$88,BD63+BC64-BL63)))</f>
        <v>221.89999999999998</v>
      </c>
      <c r="BE64" s="13">
        <f>BD64*VLOOKUP('Données projet'!$B$11,Paramètres!$A$1:$I$89,3,0)*VLOOKUP('Données projet'!$B$11,Paramètres!$A$1:$I$89,5,0)</f>
        <v>180.00528</v>
      </c>
      <c r="BF64" s="13">
        <f t="shared" si="37"/>
        <v>45.323360867280385</v>
      </c>
      <c r="BG64" s="20">
        <f t="shared" si="7"/>
        <v>392.4473828438467</v>
      </c>
      <c r="BH64" s="59">
        <f t="shared" si="8"/>
        <v>685.78071617718001</v>
      </c>
      <c r="BI64" s="59">
        <f ca="1">AVERAGE(OFFSET($BH$3,0,0,'Données projet'!$E$11+1,1))-AVERAGE(OFFSET($H$3,0,0,'Données projet'!$E$11+1,1))</f>
        <v>203.21935660591021</v>
      </c>
      <c r="BJ64" s="59">
        <f t="shared" si="38"/>
        <v>180.54762778843178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0.5426131173226667</v>
      </c>
      <c r="BQ64" s="21">
        <f>EXP(-LN(2)/25)*BQ63+(1-EXP(-LN(2)/25))/(LN(2)/25)*Calculateur!BL64*Calculateur!BN64*VLOOKUP('Données projet'!$B$11,Paramètres!$A$1:$I$89,3,0)*0.475*44/12</f>
        <v>2.4571282888486179</v>
      </c>
      <c r="BR64" s="21">
        <f>EXP(-LN(2)/2)*BR63+(1-EXP(-LN(2)/2))/(LN(2)/2)*BL64*BO64*VLOOKUP('Données projet'!$B$11,Paramètres!$A$1:$I$89,3,0)*0.475*44/12</f>
        <v>1.9556535889022863E-4</v>
      </c>
      <c r="BS64" s="22">
        <f t="shared" si="9"/>
        <v>2.9999369715301745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5.9431089743589762</v>
      </c>
      <c r="BY64" s="12">
        <f>IF('Données projet'!$A$114&gt;35,BY63+BX64-CG63,IF(A64&lt;'Données projet'!$A$114,$BV$205^A64,IF(A64='Données projet'!$A$114,'Données projet'!$B$114,BY63+BX64-CG63)))</f>
        <v>132.2003205128205</v>
      </c>
      <c r="BZ64" s="13">
        <f>BY64*VLOOKUP('Données projet'!$B$12,Paramètres!$A$1:$I$89,3,0)*VLOOKUP('Données projet'!$B$12,Paramètres!$A$1:$I$89,5,0)</f>
        <v>142.30042499999996</v>
      </c>
      <c r="CA64" s="13">
        <f t="shared" si="39"/>
        <v>36.823499638367579</v>
      </c>
      <c r="CB64" s="20">
        <f t="shared" si="10"/>
        <v>311.97416874515676</v>
      </c>
      <c r="CC64" s="59">
        <f t="shared" si="11"/>
        <v>605.30750207849007</v>
      </c>
      <c r="CD64" s="59">
        <f ca="1">AVERAGE(OFFSET($CC$3,0,0,'Données projet'!$E$12+1,1))-AVERAGE(OFFSET($H$3,0,0,'Données projet'!$E$12+1,1))</f>
        <v>211.18501783767226</v>
      </c>
      <c r="CE64" s="59">
        <f t="shared" si="40"/>
        <v>147.98306963466246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5.9431089743589762</v>
      </c>
      <c r="CT64" s="12">
        <f>IF('Données projet'!$A$140&gt;35,CT63+CS64-DB63,IF(A64&lt;'Données projet'!$A$140,$CQ$205^A64,IF(A64='Données projet'!$A$140,'Données projet'!$B$140,CT63+CS64-DB63)))</f>
        <v>132.2003205128205</v>
      </c>
      <c r="CU64" s="17">
        <f>CT64*VLOOKUP('Données projet'!$B$13,Paramètres!$A$1:$I$89,3,0)*VLOOKUP('Données projet'!$B$13,Paramètres!$A$1:$I$89,5,0)</f>
        <v>142.30042499999996</v>
      </c>
      <c r="CV64" s="13">
        <f t="shared" si="41"/>
        <v>36.823499638367579</v>
      </c>
      <c r="CW64" s="20">
        <f t="shared" si="13"/>
        <v>311.97416874515676</v>
      </c>
      <c r="CX64" s="59">
        <f t="shared" si="14"/>
        <v>605.30750207849007</v>
      </c>
      <c r="CY64" s="59">
        <f ca="1">AVERAGE(OFFSET($CX$3,0,0,'Données projet'!$E$13+1,1))-AVERAGE(OFFSET($H$3,0,0,'Données projet'!$E$13+1,1))</f>
        <v>211.18501783767226</v>
      </c>
      <c r="CZ64" s="59">
        <f t="shared" si="42"/>
        <v>147.98306963466246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-2.2737367544323206E-13</v>
      </c>
      <c r="O65" s="13">
        <f>N65*VLOOKUP('Données projet'!$B$9,Paramètres!$A$1:$I$89,3,0)*VLOOKUP('Données projet'!$B$9,Paramètres!$A$1:$I$89,5,0)</f>
        <v>-1.3596945791505279E-13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182.25704762953387</v>
      </c>
      <c r="T65" s="59">
        <f t="shared" si="34"/>
        <v>265.61788177751134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2.6515279405660483</v>
      </c>
      <c r="AA65" s="21">
        <f>EXP(-LN(2)/25)*AA64+(1-EXP(-LN(2)/25))/(LN(2)/25)*Calculateur!V65*Calculateur!X65*VLOOKUP('Données projet'!$B$9,Paramètres!$A$1:$I$89,3,0)*0.475*44/12</f>
        <v>7.0539841997042796</v>
      </c>
      <c r="AB65" s="21">
        <f>EXP(-LN(2)/2)*AB64+(1-EXP(-LN(2)/2))/(LN(2)/2)*V65*Y65*VLOOKUP('Données projet'!$B$9,Paramètres!$A$1:$I$89,3,0)*0.475*44/12</f>
        <v>4.5011930136232216E-5</v>
      </c>
      <c r="AC65" s="22">
        <f t="shared" si="3"/>
        <v>9.7055571522004644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8.374198717948719</v>
      </c>
      <c r="AI65" s="13">
        <f>IF('Données projet'!$A$62&gt;35,AI64+AH65-AQ64,IF(A65&lt;'Données projet'!$A$62,$AF$205^A65,IF(A65='Données projet'!$A$62,'Données projet'!$B$62,AI64+AH65-AQ64)))</f>
        <v>211.91426282051287</v>
      </c>
      <c r="AJ65" s="13">
        <f>AI65*VLOOKUP('Données projet'!$B$10,Paramètres!$A$1:$I$89,3,0)*VLOOKUP('Données projet'!$B$10,Paramètres!$A$1:$I$89,5,0)</f>
        <v>214.88106250000004</v>
      </c>
      <c r="AK65" s="13">
        <f t="shared" si="35"/>
        <v>53.000790097212402</v>
      </c>
      <c r="AL65" s="20">
        <f t="shared" si="4"/>
        <v>466.56089327347831</v>
      </c>
      <c r="AM65" s="59">
        <f t="shared" si="5"/>
        <v>759.89422660681157</v>
      </c>
      <c r="AN65" s="59">
        <f ca="1">AVERAGE(OFFSET($AM$3,0,0,'Données projet'!$E$10+1,1))-AVERAGE(OFFSET($H$3,0,0,'Données projet'!$E$10+1,1))</f>
        <v>263.15518481854753</v>
      </c>
      <c r="AO65" s="59">
        <f t="shared" si="36"/>
        <v>210.80755370263819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5.9</v>
      </c>
      <c r="BD65" s="12">
        <f>IF('Données projet'!$A$88&gt;35,BD64+BC65-BL64,IF(A65&lt;'Données projet'!$A$88,$BA$205^A65,IF(A65='Données projet'!$A$88,'Données projet'!$B$88,BD64+BC65-BL64)))</f>
        <v>227.79999999999998</v>
      </c>
      <c r="BE65" s="13">
        <f>BD65*VLOOKUP('Données projet'!$B$11,Paramètres!$A$1:$I$89,3,0)*VLOOKUP('Données projet'!$B$11,Paramètres!$A$1:$I$89,5,0)</f>
        <v>184.79136</v>
      </c>
      <c r="BF65" s="13">
        <f t="shared" si="37"/>
        <v>46.386540185503208</v>
      </c>
      <c r="BG65" s="20">
        <f t="shared" si="7"/>
        <v>402.63484282308474</v>
      </c>
      <c r="BH65" s="59">
        <f t="shared" si="8"/>
        <v>695.96817615641805</v>
      </c>
      <c r="BI65" s="59">
        <f ca="1">AVERAGE(OFFSET($BH$3,0,0,'Données projet'!$E$11+1,1))-AVERAGE(OFFSET($H$3,0,0,'Données projet'!$E$11+1,1))</f>
        <v>203.21935660591021</v>
      </c>
      <c r="BJ65" s="59">
        <f t="shared" si="38"/>
        <v>180.54762778843178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0.53197280505329103</v>
      </c>
      <c r="BQ65" s="21">
        <f>EXP(-LN(2)/25)*BQ64+(1-EXP(-LN(2)/25))/(LN(2)/25)*Calculateur!BL65*Calculateur!BN65*VLOOKUP('Données projet'!$B$11,Paramètres!$A$1:$I$89,3,0)*0.475*44/12</f>
        <v>2.3899379865752914</v>
      </c>
      <c r="BR65" s="21">
        <f>EXP(-LN(2)/2)*BR64+(1-EXP(-LN(2)/2))/(LN(2)/2)*BL65*BO65*VLOOKUP('Données projet'!$B$11,Paramètres!$A$1:$I$89,3,0)*0.475*44/12</f>
        <v>1.3828559143646153E-4</v>
      </c>
      <c r="BS65" s="22">
        <f t="shared" si="9"/>
        <v>2.9220490772200192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5.9431089743589762</v>
      </c>
      <c r="BY65" s="12">
        <f>IF('Données projet'!$A$114&gt;35,BY64+BX65-CG64,IF(A65&lt;'Données projet'!$A$114,$BV$205^A65,IF(A65='Données projet'!$A$114,'Données projet'!$B$114,BY64+BX65-CG64)))</f>
        <v>138.14342948717947</v>
      </c>
      <c r="BZ65" s="13">
        <f>BY65*VLOOKUP('Données projet'!$B$12,Paramètres!$A$1:$I$89,3,0)*VLOOKUP('Données projet'!$B$12,Paramètres!$A$1:$I$89,5,0)</f>
        <v>148.69758749999997</v>
      </c>
      <c r="CA65" s="13">
        <f t="shared" si="39"/>
        <v>38.282457652880126</v>
      </c>
      <c r="CB65" s="20">
        <f t="shared" si="10"/>
        <v>325.6569119745995</v>
      </c>
      <c r="CC65" s="59">
        <f t="shared" si="11"/>
        <v>618.99024530793281</v>
      </c>
      <c r="CD65" s="59">
        <f ca="1">AVERAGE(OFFSET($CC$3,0,0,'Données projet'!$E$12+1,1))-AVERAGE(OFFSET($H$3,0,0,'Données projet'!$E$12+1,1))</f>
        <v>211.18501783767226</v>
      </c>
      <c r="CE65" s="59">
        <f t="shared" si="40"/>
        <v>147.98306963466246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5.9431089743589762</v>
      </c>
      <c r="CT65" s="12">
        <f>IF('Données projet'!$A$140&gt;35,CT64+CS65-DB64,IF(A65&lt;'Données projet'!$A$140,$CQ$205^A65,IF(A65='Données projet'!$A$140,'Données projet'!$B$140,CT64+CS65-DB64)))</f>
        <v>138.14342948717947</v>
      </c>
      <c r="CU65" s="17">
        <f>CT65*VLOOKUP('Données projet'!$B$13,Paramètres!$A$1:$I$89,3,0)*VLOOKUP('Données projet'!$B$13,Paramètres!$A$1:$I$89,5,0)</f>
        <v>148.69758749999997</v>
      </c>
      <c r="CV65" s="13">
        <f t="shared" si="41"/>
        <v>38.282457652880126</v>
      </c>
      <c r="CW65" s="20">
        <f t="shared" si="13"/>
        <v>325.6569119745995</v>
      </c>
      <c r="CX65" s="59">
        <f t="shared" si="14"/>
        <v>618.99024530793281</v>
      </c>
      <c r="CY65" s="59">
        <f ca="1">AVERAGE(OFFSET($CX$3,0,0,'Données projet'!$E$13+1,1))-AVERAGE(OFFSET($H$3,0,0,'Données projet'!$E$13+1,1))</f>
        <v>211.18501783767226</v>
      </c>
      <c r="CZ65" s="59">
        <f t="shared" si="42"/>
        <v>147.98306963466246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-2.2737367544323206E-13</v>
      </c>
      <c r="O66" s="13">
        <f>N66*VLOOKUP('Données projet'!$B$9,Paramètres!$A$1:$I$89,3,0)*VLOOKUP('Données projet'!$B$9,Paramètres!$A$1:$I$89,5,0)</f>
        <v>-1.3596945791505279E-13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182.25704762953387</v>
      </c>
      <c r="T66" s="59">
        <f t="shared" si="34"/>
        <v>265.61788177751134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2.5995330949238995</v>
      </c>
      <c r="AA66" s="21">
        <f>EXP(-LN(2)/25)*AA65+(1-EXP(-LN(2)/25))/(LN(2)/25)*Calculateur!V66*Calculateur!X66*VLOOKUP('Données projet'!$B$9,Paramètres!$A$1:$I$89,3,0)*0.475*44/12</f>
        <v>6.8610926308104592</v>
      </c>
      <c r="AB66" s="21">
        <f>EXP(-LN(2)/2)*AB65+(1-EXP(-LN(2)/2))/(LN(2)/2)*V66*Y66*VLOOKUP('Données projet'!$B$9,Paramètres!$A$1:$I$89,3,0)*0.475*44/12</f>
        <v>3.1828241033624918E-5</v>
      </c>
      <c r="AC66" s="22">
        <f t="shared" si="3"/>
        <v>9.4606575539753912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220.28846153846152</v>
      </c>
      <c r="AG66" s="12">
        <f>VLOOKUP(A66,'Données projet'!$A$61:$I$81,9,0)</f>
        <v>8.374198717948719</v>
      </c>
      <c r="AH66" s="12">
        <f t="array" ref="AH66">INDEX(AG:AG,MIN(IF(ISNUMBER(AG66:AG262),ROW(AG66:AG262),"")))</f>
        <v>8.374198717948719</v>
      </c>
      <c r="AI66" s="13">
        <f>IF('Données projet'!$A$62&gt;35,AI65+AH66-AQ65,IF(A66&lt;'Données projet'!$A$62,$AF$205^A66,IF(A66='Données projet'!$A$62,'Données projet'!$B$62,AI65+AH66-AQ65)))</f>
        <v>220.2884615384616</v>
      </c>
      <c r="AJ66" s="13">
        <f>AI66*VLOOKUP('Données projet'!$B$10,Paramètres!$A$1:$I$89,3,0)*VLOOKUP('Données projet'!$B$10,Paramètres!$A$1:$I$89,5,0)</f>
        <v>223.37250000000009</v>
      </c>
      <c r="AK66" s="13">
        <f t="shared" si="35"/>
        <v>54.84723166915564</v>
      </c>
      <c r="AL66" s="20">
        <f t="shared" si="4"/>
        <v>484.56603265711283</v>
      </c>
      <c r="AM66" s="59">
        <f t="shared" si="5"/>
        <v>777.89936599044609</v>
      </c>
      <c r="AN66" s="59">
        <f ca="1">AVERAGE(OFFSET($AM$3,0,0,'Données projet'!$E$10+1,1))-AVERAGE(OFFSET($H$3,0,0,'Données projet'!$E$10+1,1))</f>
        <v>263.15518481854753</v>
      </c>
      <c r="AO66" s="59">
        <f t="shared" si="36"/>
        <v>210.80755370263819</v>
      </c>
      <c r="AP66" s="15">
        <f>IF(ISNA(VLOOKUP(A66,'Données projet'!$A$61:$I$81,3,0)),0,VLOOKUP(A66,'Données projet'!$A$61:$I$81,3,0))</f>
        <v>5</v>
      </c>
      <c r="AQ66" s="15">
        <f>IF(ISNA(VLOOKUP(A66,'Données projet'!$A$61:$I$81,4,0)),0,VLOOKUP(A66,'Données projet'!$A$61:$I$81,4,0))</f>
        <v>41.724358974358978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5.9</v>
      </c>
      <c r="BD66" s="12">
        <f>IF('Données projet'!$A$88&gt;35,BD65+BC66-BL65,IF(A66&lt;'Données projet'!$A$88,$BA$205^A66,IF(A66='Données projet'!$A$88,'Données projet'!$B$88,BD65+BC66-BL65)))</f>
        <v>233.7</v>
      </c>
      <c r="BE66" s="13">
        <f>BD66*VLOOKUP('Données projet'!$B$11,Paramètres!$A$1:$I$89,3,0)*VLOOKUP('Données projet'!$B$11,Paramètres!$A$1:$I$89,5,0)</f>
        <v>189.57744</v>
      </c>
      <c r="BF66" s="13">
        <f t="shared" si="37"/>
        <v>47.446518732558857</v>
      </c>
      <c r="BG66" s="20">
        <f t="shared" si="7"/>
        <v>412.81672812587334</v>
      </c>
      <c r="BH66" s="59">
        <f t="shared" si="8"/>
        <v>706.15006145920665</v>
      </c>
      <c r="BI66" s="59">
        <f ca="1">AVERAGE(OFFSET($BH$3,0,0,'Données projet'!$E$11+1,1))-AVERAGE(OFFSET($H$3,0,0,'Données projet'!$E$11+1,1))</f>
        <v>203.21935660591021</v>
      </c>
      <c r="BJ66" s="59">
        <f t="shared" si="38"/>
        <v>180.54762778843178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0.52154114281756814</v>
      </c>
      <c r="BQ66" s="21">
        <f>EXP(-LN(2)/25)*BQ65+(1-EXP(-LN(2)/25))/(LN(2)/25)*Calculateur!BL66*Calculateur!BN66*VLOOKUP('Données projet'!$B$11,Paramètres!$A$1:$I$89,3,0)*0.475*44/12</f>
        <v>2.3245850066510139</v>
      </c>
      <c r="BR66" s="21">
        <f>EXP(-LN(2)/2)*BR65+(1-EXP(-LN(2)/2))/(LN(2)/2)*BL66*BO66*VLOOKUP('Données projet'!$B$11,Paramètres!$A$1:$I$89,3,0)*0.475*44/12</f>
        <v>9.7782679445114314E-5</v>
      </c>
      <c r="BS66" s="22">
        <f t="shared" si="9"/>
        <v>2.8462239321480269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5.9431089743589762</v>
      </c>
      <c r="BY66" s="12">
        <f>IF('Données projet'!$A$114&gt;35,BY65+BX66-CG65,IF(A66&lt;'Données projet'!$A$114,$BV$205^A66,IF(A66='Données projet'!$A$114,'Données projet'!$B$114,BY65+BX66-CG65)))</f>
        <v>144.08653846153845</v>
      </c>
      <c r="BZ66" s="13">
        <f>BY66*VLOOKUP('Données projet'!$B$12,Paramètres!$A$1:$I$89,3,0)*VLOOKUP('Données projet'!$B$12,Paramètres!$A$1:$I$89,5,0)</f>
        <v>155.09474999999998</v>
      </c>
      <c r="CA66" s="13">
        <f t="shared" si="39"/>
        <v>39.734125562430116</v>
      </c>
      <c r="CB66" s="20">
        <f t="shared" si="10"/>
        <v>339.3269582712324</v>
      </c>
      <c r="CC66" s="59">
        <f t="shared" si="11"/>
        <v>632.66029160456571</v>
      </c>
      <c r="CD66" s="59">
        <f ca="1">AVERAGE(OFFSET($CC$3,0,0,'Données projet'!$E$12+1,1))-AVERAGE(OFFSET($H$3,0,0,'Données projet'!$E$12+1,1))</f>
        <v>211.18501783767226</v>
      </c>
      <c r="CE66" s="59">
        <f t="shared" si="40"/>
        <v>147.98306963466246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5.9431089743589762</v>
      </c>
      <c r="CT66" s="12">
        <f>IF('Données projet'!$A$140&gt;35,CT65+CS66-DB65,IF(A66&lt;'Données projet'!$A$140,$CQ$205^A66,IF(A66='Données projet'!$A$140,'Données projet'!$B$140,CT65+CS66-DB65)))</f>
        <v>144.08653846153845</v>
      </c>
      <c r="CU66" s="17">
        <f>CT66*VLOOKUP('Données projet'!$B$13,Paramètres!$A$1:$I$89,3,0)*VLOOKUP('Données projet'!$B$13,Paramètres!$A$1:$I$89,5,0)</f>
        <v>155.09474999999998</v>
      </c>
      <c r="CV66" s="13">
        <f t="shared" si="41"/>
        <v>39.734125562430116</v>
      </c>
      <c r="CW66" s="20">
        <f t="shared" si="13"/>
        <v>339.3269582712324</v>
      </c>
      <c r="CX66" s="59">
        <f t="shared" si="14"/>
        <v>632.66029160456571</v>
      </c>
      <c r="CY66" s="59">
        <f ca="1">AVERAGE(OFFSET($CX$3,0,0,'Données projet'!$E$13+1,1))-AVERAGE(OFFSET($H$3,0,0,'Données projet'!$E$13+1,1))</f>
        <v>211.18501783767226</v>
      </c>
      <c r="CZ66" s="59">
        <f t="shared" si="42"/>
        <v>147.98306963466246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-2.2737367544323206E-13</v>
      </c>
      <c r="O67" s="13">
        <f>N67*VLOOKUP('Données projet'!$B$9,Paramètres!$A$1:$I$89,3,0)*VLOOKUP('Données projet'!$B$9,Paramètres!$A$1:$I$89,5,0)</f>
        <v>-1.3596945791505279E-13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182.25704762953387</v>
      </c>
      <c r="T67" s="59">
        <f t="shared" si="34"/>
        <v>265.61788177751134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2.548557836491069</v>
      </c>
      <c r="AA67" s="21">
        <f>EXP(-LN(2)/25)*AA66+(1-EXP(-LN(2)/25))/(LN(2)/25)*Calculateur!V67*Calculateur!X67*VLOOKUP('Données projet'!$B$9,Paramètres!$A$1:$I$89,3,0)*0.475*44/12</f>
        <v>6.6734756920117668</v>
      </c>
      <c r="AB67" s="21">
        <f>EXP(-LN(2)/2)*AB66+(1-EXP(-LN(2)/2))/(LN(2)/2)*V67*Y67*VLOOKUP('Données projet'!$B$9,Paramètres!$A$1:$I$89,3,0)*0.475*44/12</f>
        <v>2.2505965068116108E-5</v>
      </c>
      <c r="AC67" s="22">
        <f t="shared" si="3"/>
        <v>9.2220560344679043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8.1001602564102555</v>
      </c>
      <c r="AI67" s="13">
        <f>IF('Données projet'!$A$62&gt;35,AI66+AH67-AQ66,IF(A67&lt;'Données projet'!$A$62,$AF$205^A67,IF(A67='Données projet'!$A$62,'Données projet'!$B$62,AI66+AH67-AQ66)))</f>
        <v>186.66426282051287</v>
      </c>
      <c r="AJ67" s="13">
        <f>AI67*VLOOKUP('Données projet'!$B$10,Paramètres!$A$1:$I$89,3,0)*VLOOKUP('Données projet'!$B$10,Paramètres!$A$1:$I$89,5,0)</f>
        <v>189.27756250000004</v>
      </c>
      <c r="AK67" s="13">
        <f t="shared" si="35"/>
        <v>47.380196781958283</v>
      </c>
      <c r="AL67" s="20">
        <f t="shared" si="4"/>
        <v>412.17893074941077</v>
      </c>
      <c r="AM67" s="59">
        <f t="shared" si="5"/>
        <v>705.51226408274408</v>
      </c>
      <c r="AN67" s="59">
        <f ca="1">AVERAGE(OFFSET($AM$3,0,0,'Données projet'!$E$10+1,1))-AVERAGE(OFFSET($H$3,0,0,'Données projet'!$E$10+1,1))</f>
        <v>263.15518481854753</v>
      </c>
      <c r="AO67" s="59">
        <f t="shared" si="36"/>
        <v>210.80755370263819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5.9</v>
      </c>
      <c r="BD67" s="12">
        <f>IF('Données projet'!$A$88&gt;35,BD66+BC67-BL66,IF(A67&lt;'Données projet'!$A$88,$BA$205^A67,IF(A67='Données projet'!$A$88,'Données projet'!$B$88,BD66+BC67-BL66)))</f>
        <v>239.6</v>
      </c>
      <c r="BE67" s="13">
        <f>BD67*VLOOKUP('Données projet'!$B$11,Paramètres!$A$1:$I$89,3,0)*VLOOKUP('Données projet'!$B$11,Paramètres!$A$1:$I$89,5,0)</f>
        <v>194.36351999999999</v>
      </c>
      <c r="BF67" s="13">
        <f t="shared" si="37"/>
        <v>48.503386608105338</v>
      </c>
      <c r="BG67" s="20">
        <f t="shared" si="7"/>
        <v>422.9931956757834</v>
      </c>
      <c r="BH67" s="59">
        <f t="shared" si="8"/>
        <v>716.32652900911671</v>
      </c>
      <c r="BI67" s="59">
        <f ca="1">AVERAGE(OFFSET($BH$3,0,0,'Données projet'!$E$11+1,1))-AVERAGE(OFFSET($H$3,0,0,'Données projet'!$E$11+1,1))</f>
        <v>203.21935660591021</v>
      </c>
      <c r="BJ67" s="59">
        <f t="shared" si="38"/>
        <v>180.54762778843178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0.51131403911560214</v>
      </c>
      <c r="BQ67" s="21">
        <f>EXP(-LN(2)/25)*BQ66+(1-EXP(-LN(2)/25))/(LN(2)/25)*Calculateur!BL67*Calculateur!BN67*VLOOKUP('Données projet'!$B$11,Paramètres!$A$1:$I$89,3,0)*0.475*44/12</f>
        <v>2.2610191073995294</v>
      </c>
      <c r="BR67" s="21">
        <f>EXP(-LN(2)/2)*BR66+(1-EXP(-LN(2)/2))/(LN(2)/2)*BL67*BO67*VLOOKUP('Données projet'!$B$11,Paramètres!$A$1:$I$89,3,0)*0.475*44/12</f>
        <v>6.9142795718230764E-5</v>
      </c>
      <c r="BS67" s="22">
        <f t="shared" si="9"/>
        <v>2.7724022893108495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5.9431089743589762</v>
      </c>
      <c r="BY67" s="12">
        <f>IF('Données projet'!$A$114&gt;35,BY66+BX67-CG66,IF(A67&lt;'Données projet'!$A$114,$BV$205^A67,IF(A67='Données projet'!$A$114,'Données projet'!$B$114,BY66+BX67-CG66)))</f>
        <v>150.02964743589743</v>
      </c>
      <c r="BZ67" s="13">
        <f>BY67*VLOOKUP('Données projet'!$B$12,Paramètres!$A$1:$I$89,3,0)*VLOOKUP('Données projet'!$B$12,Paramètres!$A$1:$I$89,5,0)</f>
        <v>161.49191249999998</v>
      </c>
      <c r="CA67" s="13">
        <f t="shared" si="39"/>
        <v>41.1788384504368</v>
      </c>
      <c r="CB67" s="20">
        <f t="shared" si="10"/>
        <v>352.98489123867739</v>
      </c>
      <c r="CC67" s="59">
        <f t="shared" si="11"/>
        <v>646.31822457201065</v>
      </c>
      <c r="CD67" s="59">
        <f ca="1">AVERAGE(OFFSET($CC$3,0,0,'Données projet'!$E$12+1,1))-AVERAGE(OFFSET($H$3,0,0,'Données projet'!$E$12+1,1))</f>
        <v>211.18501783767226</v>
      </c>
      <c r="CE67" s="59">
        <f t="shared" si="40"/>
        <v>147.98306963466246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5.9431089743589762</v>
      </c>
      <c r="CT67" s="12">
        <f>IF('Données projet'!$A$140&gt;35,CT66+CS67-DB66,IF(A67&lt;'Données projet'!$A$140,$CQ$205^A67,IF(A67='Données projet'!$A$140,'Données projet'!$B$140,CT66+CS67-DB66)))</f>
        <v>150.02964743589743</v>
      </c>
      <c r="CU67" s="17">
        <f>CT67*VLOOKUP('Données projet'!$B$13,Paramètres!$A$1:$I$89,3,0)*VLOOKUP('Données projet'!$B$13,Paramètres!$A$1:$I$89,5,0)</f>
        <v>161.49191249999998</v>
      </c>
      <c r="CV67" s="13">
        <f t="shared" si="41"/>
        <v>41.1788384504368</v>
      </c>
      <c r="CW67" s="20">
        <f t="shared" si="13"/>
        <v>352.98489123867739</v>
      </c>
      <c r="CX67" s="59">
        <f t="shared" si="14"/>
        <v>646.31822457201065</v>
      </c>
      <c r="CY67" s="59">
        <f ca="1">AVERAGE(OFFSET($CX$3,0,0,'Données projet'!$E$13+1,1))-AVERAGE(OFFSET($H$3,0,0,'Données projet'!$E$13+1,1))</f>
        <v>211.18501783767226</v>
      </c>
      <c r="CZ67" s="59">
        <f t="shared" si="42"/>
        <v>147.98306963466246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-2.2737367544323206E-13</v>
      </c>
      <c r="O68" s="13">
        <f>N68*VLOOKUP('Données projet'!$B$9,Paramètres!$A$1:$I$89,3,0)*VLOOKUP('Données projet'!$B$9,Paramètres!$A$1:$I$89,5,0)</f>
        <v>-1.3596945791505279E-13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182.25704762953387</v>
      </c>
      <c r="T68" s="59">
        <f t="shared" si="34"/>
        <v>265.61788177751134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2.4985821717842684</v>
      </c>
      <c r="AA68" s="21">
        <f>EXP(-LN(2)/25)*AA67+(1-EXP(-LN(2)/25))/(LN(2)/25)*Calculateur!V68*Calculateur!X68*VLOOKUP('Données projet'!$B$9,Paramètres!$A$1:$I$89,3,0)*0.475*44/12</f>
        <v>6.490989148270871</v>
      </c>
      <c r="AB68" s="21">
        <f>EXP(-LN(2)/2)*AB67+(1-EXP(-LN(2)/2))/(LN(2)/2)*V68*Y68*VLOOKUP('Données projet'!$B$9,Paramètres!$A$1:$I$89,3,0)*0.475*44/12</f>
        <v>1.5914120516812459E-5</v>
      </c>
      <c r="AC68" s="22">
        <f t="shared" ref="AC68:AC131" si="57">SUM(Z68:AB68)</f>
        <v>8.9895872341756569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8.1001602564102555</v>
      </c>
      <c r="AI68" s="13">
        <f>IF('Données projet'!$A$62&gt;35,AI67+AH68-AQ67,IF(A68&lt;'Données projet'!$A$62,$AF$205^A68,IF(A68='Données projet'!$A$62,'Données projet'!$B$62,AI67+AH68-AQ67)))</f>
        <v>194.76442307692312</v>
      </c>
      <c r="AJ68" s="13">
        <f>AI68*VLOOKUP('Données projet'!$B$10,Paramètres!$A$1:$I$89,3,0)*VLOOKUP('Données projet'!$B$10,Paramètres!$A$1:$I$89,5,0)</f>
        <v>197.49112500000007</v>
      </c>
      <c r="AK68" s="13">
        <f t="shared" si="35"/>
        <v>49.192388495579841</v>
      </c>
      <c r="AL68" s="20">
        <f t="shared" ref="AL68:AL131" si="58">(AJ68+AK68)*0.475*44/12</f>
        <v>429.64045267146838</v>
      </c>
      <c r="AM68" s="59">
        <f t="shared" ref="AM68:AM131" si="59">AL68+(AD68+AE68)*44/12</f>
        <v>722.9737860048017</v>
      </c>
      <c r="AN68" s="59">
        <f ca="1">AVERAGE(OFFSET($AM$3,0,0,'Données projet'!$E$10+1,1))-AVERAGE(OFFSET($H$3,0,0,'Données projet'!$E$10+1,1))</f>
        <v>263.15518481854753</v>
      </c>
      <c r="AO68" s="59">
        <f t="shared" si="36"/>
        <v>210.80755370263819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5.9</v>
      </c>
      <c r="BD68" s="12">
        <f>IF('Données projet'!$A$88&gt;35,BD67+BC68-BL67,IF(A68&lt;'Données projet'!$A$88,$BA$205^A68,IF(A68='Données projet'!$A$88,'Données projet'!$B$88,BD67+BC68-BL67)))</f>
        <v>245.5</v>
      </c>
      <c r="BE68" s="13">
        <f>BD68*VLOOKUP('Données projet'!$B$11,Paramètres!$A$1:$I$89,3,0)*VLOOKUP('Données projet'!$B$11,Paramètres!$A$1:$I$89,5,0)</f>
        <v>199.14960000000002</v>
      </c>
      <c r="BF68" s="13">
        <f t="shared" si="37"/>
        <v>49.557229221549441</v>
      </c>
      <c r="BG68" s="20">
        <f t="shared" ref="BG68:BG131" si="61">(BE68+BF68)*0.475*44/12</f>
        <v>433.164394227532</v>
      </c>
      <c r="BH68" s="59">
        <f t="shared" ref="BH68:BH131" si="62">BG68+(AY68+AZ68)*44/12</f>
        <v>726.49772756086531</v>
      </c>
      <c r="BI68" s="59">
        <f ca="1">AVERAGE(OFFSET($BH$3,0,0,'Données projet'!$E$11+1,1))-AVERAGE(OFFSET($H$3,0,0,'Données projet'!$E$11+1,1))</f>
        <v>203.21935660591021</v>
      </c>
      <c r="BJ68" s="59">
        <f t="shared" si="38"/>
        <v>180.54762778843178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0.50128748267931433</v>
      </c>
      <c r="BQ68" s="21">
        <f>EXP(-LN(2)/25)*BQ67+(1-EXP(-LN(2)/25))/(LN(2)/25)*Calculateur!BL68*Calculateur!BN68*VLOOKUP('Données projet'!$B$11,Paramètres!$A$1:$I$89,3,0)*0.475*44/12</f>
        <v>2.1991914210058621</v>
      </c>
      <c r="BR68" s="21">
        <f>EXP(-LN(2)/2)*BR67+(1-EXP(-LN(2)/2))/(LN(2)/2)*BL68*BO68*VLOOKUP('Données projet'!$B$11,Paramètres!$A$1:$I$89,3,0)*0.475*44/12</f>
        <v>4.8891339722557157E-5</v>
      </c>
      <c r="BS68" s="22">
        <f t="shared" ref="BS68:BS131" si="63">SUM(BP68:BR68)</f>
        <v>2.7005277950248989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5.9431089743589762</v>
      </c>
      <c r="BY68" s="12">
        <f>IF('Données projet'!$A$114&gt;35,BY67+BX68-CG67,IF(A68&lt;'Données projet'!$A$114,$BV$205^A68,IF(A68='Données projet'!$A$114,'Données projet'!$B$114,BY67+BX68-CG67)))</f>
        <v>155.97275641025641</v>
      </c>
      <c r="BZ68" s="13">
        <f>BY68*VLOOKUP('Données projet'!$B$12,Paramètres!$A$1:$I$89,3,0)*VLOOKUP('Données projet'!$B$12,Paramètres!$A$1:$I$89,5,0)</f>
        <v>167.88907499999999</v>
      </c>
      <c r="CA68" s="13">
        <f t="shared" si="39"/>
        <v>42.616903350229627</v>
      </c>
      <c r="CB68" s="20">
        <f t="shared" ref="CB68:CB131" si="64">(BZ68+CA68)*0.475*44/12</f>
        <v>366.6312456266499</v>
      </c>
      <c r="CC68" s="59">
        <f t="shared" ref="CC68:CC131" si="65">CB68+(BT68+BU68)*44/12</f>
        <v>659.96457895998321</v>
      </c>
      <c r="CD68" s="59">
        <f ca="1">AVERAGE(OFFSET($CC$3,0,0,'Données projet'!$E$12+1,1))-AVERAGE(OFFSET($H$3,0,0,'Données projet'!$E$12+1,1))</f>
        <v>211.18501783767226</v>
      </c>
      <c r="CE68" s="59">
        <f t="shared" si="40"/>
        <v>147.98306963466246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5.9431089743589762</v>
      </c>
      <c r="CT68" s="12">
        <f>IF('Données projet'!$A$140&gt;35,CT67+CS68-DB67,IF(A68&lt;'Données projet'!$A$140,$CQ$205^A68,IF(A68='Données projet'!$A$140,'Données projet'!$B$140,CT67+CS68-DB67)))</f>
        <v>155.97275641025641</v>
      </c>
      <c r="CU68" s="17">
        <f>CT68*VLOOKUP('Données projet'!$B$13,Paramètres!$A$1:$I$89,3,0)*VLOOKUP('Données projet'!$B$13,Paramètres!$A$1:$I$89,5,0)</f>
        <v>167.88907499999999</v>
      </c>
      <c r="CV68" s="13">
        <f t="shared" si="41"/>
        <v>42.616903350229627</v>
      </c>
      <c r="CW68" s="20">
        <f t="shared" ref="CW68:CW131" si="67">(CU68+CV68)*0.475*44/12</f>
        <v>366.6312456266499</v>
      </c>
      <c r="CX68" s="59">
        <f t="shared" ref="CX68:CX131" si="68">CW68+(CO68+CP68)*44/12</f>
        <v>659.96457895998321</v>
      </c>
      <c r="CY68" s="59">
        <f ca="1">AVERAGE(OFFSET($CX$3,0,0,'Données projet'!$E$13+1,1))-AVERAGE(OFFSET($H$3,0,0,'Données projet'!$E$13+1,1))</f>
        <v>211.18501783767226</v>
      </c>
      <c r="CZ68" s="59">
        <f t="shared" si="42"/>
        <v>147.98306963466246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-2.2737367544323206E-13</v>
      </c>
      <c r="O69" s="13">
        <f>N69*VLOOKUP('Données projet'!$B$9,Paramètres!$A$1:$I$89,3,0)*VLOOKUP('Données projet'!$B$9,Paramètres!$A$1:$I$89,5,0)</f>
        <v>-1.3596945791505279E-13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182.25704762953387</v>
      </c>
      <c r="T69" s="59">
        <f t="shared" ref="T69:T132" si="88">$T$3</f>
        <v>265.61788177751134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2.4495864993802225</v>
      </c>
      <c r="AA69" s="21">
        <f>EXP(-LN(2)/25)*AA68+(1-EXP(-LN(2)/25))/(LN(2)/25)*Calculateur!V69*Calculateur!X69*VLOOKUP('Données projet'!$B$9,Paramètres!$A$1:$I$89,3,0)*0.475*44/12</f>
        <v>6.3134927086651205</v>
      </c>
      <c r="AB69" s="21">
        <f>EXP(-LN(2)/2)*AB68+(1-EXP(-LN(2)/2))/(LN(2)/2)*V69*Y69*VLOOKUP('Données projet'!$B$9,Paramètres!$A$1:$I$89,3,0)*0.475*44/12</f>
        <v>1.1252982534058054E-5</v>
      </c>
      <c r="AC69" s="22">
        <f t="shared" si="57"/>
        <v>8.7630904610278773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8.1001602564102555</v>
      </c>
      <c r="AI69" s="13">
        <f>IF('Données projet'!$A$62&gt;35,AI68+AH69-AQ68,IF(A69&lt;'Données projet'!$A$62,$AF$205^A69,IF(A69='Données projet'!$A$62,'Données projet'!$B$62,AI68+AH69-AQ68)))</f>
        <v>202.86458333333337</v>
      </c>
      <c r="AJ69" s="13">
        <f>AI69*VLOOKUP('Données projet'!$B$10,Paramètres!$A$1:$I$89,3,0)*VLOOKUP('Données projet'!$B$10,Paramètres!$A$1:$I$89,5,0)</f>
        <v>205.70468750000003</v>
      </c>
      <c r="AK69" s="13">
        <f t="shared" ref="AK69:AK132" si="89">EXP(-1.0587+0.8836*LN(AJ69)+0.284)</f>
        <v>50.99582588645972</v>
      </c>
      <c r="AL69" s="20">
        <f t="shared" si="58"/>
        <v>447.08672748141743</v>
      </c>
      <c r="AM69" s="59">
        <f t="shared" si="59"/>
        <v>740.42006081475074</v>
      </c>
      <c r="AN69" s="59">
        <f ca="1">AVERAGE(OFFSET($AM$3,0,0,'Données projet'!$E$10+1,1))-AVERAGE(OFFSET($H$3,0,0,'Données projet'!$E$10+1,1))</f>
        <v>263.15518481854753</v>
      </c>
      <c r="AO69" s="59">
        <f t="shared" ref="AO69:AO132" si="90">$AO$3</f>
        <v>210.80755370263819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5.9</v>
      </c>
      <c r="BD69" s="12">
        <f>IF('Données projet'!$A$88&gt;35,BD68+BC69-BL68,IF(A69&lt;'Données projet'!$A$88,$BA$205^A69,IF(A69='Données projet'!$A$88,'Données projet'!$B$88,BD68+BC69-BL68)))</f>
        <v>251.4</v>
      </c>
      <c r="BE69" s="13">
        <f>BD69*VLOOKUP('Données projet'!$B$11,Paramètres!$A$1:$I$89,3,0)*VLOOKUP('Données projet'!$B$11,Paramètres!$A$1:$I$89,5,0)</f>
        <v>203.93568000000002</v>
      </c>
      <c r="BF69" s="13">
        <f t="shared" ref="BF69:BF132" si="91">EXP(-1.0587+0.8836*LN(BE69)+0.284)</f>
        <v>50.608127642968469</v>
      </c>
      <c r="BG69" s="20">
        <f t="shared" si="61"/>
        <v>443.33046497817014</v>
      </c>
      <c r="BH69" s="59">
        <f t="shared" si="62"/>
        <v>736.66379831150346</v>
      </c>
      <c r="BI69" s="59">
        <f ca="1">AVERAGE(OFFSET($BH$3,0,0,'Données projet'!$E$11+1,1))-AVERAGE(OFFSET($H$3,0,0,'Données projet'!$E$11+1,1))</f>
        <v>203.21935660591021</v>
      </c>
      <c r="BJ69" s="59">
        <f t="shared" ref="BJ69:BJ132" si="92">$BJ$3</f>
        <v>180.54762778843178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0.49145754089914662</v>
      </c>
      <c r="BQ69" s="21">
        <f>EXP(-LN(2)/25)*BQ68+(1-EXP(-LN(2)/25))/(LN(2)/25)*Calculateur!BL69*Calculateur!BN69*VLOOKUP('Données projet'!$B$11,Paramètres!$A$1:$I$89,3,0)*0.475*44/12</f>
        <v>2.139054415948006</v>
      </c>
      <c r="BR69" s="21">
        <f>EXP(-LN(2)/2)*BR68+(1-EXP(-LN(2)/2))/(LN(2)/2)*BL69*BO69*VLOOKUP('Données projet'!$B$11,Paramètres!$A$1:$I$89,3,0)*0.475*44/12</f>
        <v>3.4571397859115382E-5</v>
      </c>
      <c r="BS69" s="22">
        <f t="shared" si="63"/>
        <v>2.630546528245012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5.9431089743589762</v>
      </c>
      <c r="BY69" s="12">
        <f>IF('Données projet'!$A$114&gt;35,BY68+BX69-CG68,IF(A69&lt;'Données projet'!$A$114,$BV$205^A69,IF(A69='Données projet'!$A$114,'Données projet'!$B$114,BY68+BX69-CG68)))</f>
        <v>161.91586538461539</v>
      </c>
      <c r="BZ69" s="13">
        <f>BY69*VLOOKUP('Données projet'!$B$12,Paramètres!$A$1:$I$89,3,0)*VLOOKUP('Données projet'!$B$12,Paramètres!$A$1:$I$89,5,0)</f>
        <v>174.2862375</v>
      </c>
      <c r="CA69" s="13">
        <f t="shared" ref="CA69:CA132" si="93">EXP(-1.0587+0.8836*LN(BZ69)+0.284)</f>
        <v>44.048602571819437</v>
      </c>
      <c r="CB69" s="20">
        <f t="shared" si="64"/>
        <v>380.26651312508551</v>
      </c>
      <c r="CC69" s="59">
        <f t="shared" si="65"/>
        <v>673.59984645841882</v>
      </c>
      <c r="CD69" s="59">
        <f ca="1">AVERAGE(OFFSET($CC$3,0,0,'Données projet'!$E$12+1,1))-AVERAGE(OFFSET($H$3,0,0,'Données projet'!$E$12+1,1))</f>
        <v>211.18501783767226</v>
      </c>
      <c r="CE69" s="59">
        <f t="shared" ref="CE69:CE132" si="94">$CE$3</f>
        <v>147.98306963466246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5.9431089743589762</v>
      </c>
      <c r="CT69" s="12">
        <f>IF('Données projet'!$A$140&gt;35,CT68+CS69-DB68,IF(A69&lt;'Données projet'!$A$140,$CQ$205^A69,IF(A69='Données projet'!$A$140,'Données projet'!$B$140,CT68+CS69-DB68)))</f>
        <v>161.91586538461539</v>
      </c>
      <c r="CU69" s="17">
        <f>CT69*VLOOKUP('Données projet'!$B$13,Paramètres!$A$1:$I$89,3,0)*VLOOKUP('Données projet'!$B$13,Paramètres!$A$1:$I$89,5,0)</f>
        <v>174.2862375</v>
      </c>
      <c r="CV69" s="13">
        <f t="shared" ref="CV69:CV132" si="95">EXP(-1.0587+0.8836*LN(CU69)+0.284)</f>
        <v>44.048602571819437</v>
      </c>
      <c r="CW69" s="20">
        <f t="shared" si="67"/>
        <v>380.26651312508551</v>
      </c>
      <c r="CX69" s="59">
        <f t="shared" si="68"/>
        <v>673.59984645841882</v>
      </c>
      <c r="CY69" s="59">
        <f ca="1">AVERAGE(OFFSET($CX$3,0,0,'Données projet'!$E$13+1,1))-AVERAGE(OFFSET($H$3,0,0,'Données projet'!$E$13+1,1))</f>
        <v>211.18501783767226</v>
      </c>
      <c r="CZ69" s="59">
        <f t="shared" ref="CZ69:CZ132" si="96">$CZ$3</f>
        <v>147.98306963466246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-2.2737367544323206E-13</v>
      </c>
      <c r="O70" s="13">
        <f>N70*VLOOKUP('Données projet'!$B$9,Paramètres!$A$1:$I$89,3,0)*VLOOKUP('Données projet'!$B$9,Paramètres!$A$1:$I$89,5,0)</f>
        <v>-1.3596945791505279E-13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182.25704762953387</v>
      </c>
      <c r="T70" s="59">
        <f t="shared" si="88"/>
        <v>265.61788177751134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2.4015516022276109</v>
      </c>
      <c r="AA70" s="21">
        <f>EXP(-LN(2)/25)*AA69+(1-EXP(-LN(2)/25))/(LN(2)/25)*Calculateur!V70*Calculateur!X70*VLOOKUP('Données projet'!$B$9,Paramètres!$A$1:$I$89,3,0)*0.475*44/12</f>
        <v>6.1408499185345207</v>
      </c>
      <c r="AB70" s="21">
        <f>EXP(-LN(2)/2)*AB69+(1-EXP(-LN(2)/2))/(LN(2)/2)*V70*Y70*VLOOKUP('Données projet'!$B$9,Paramètres!$A$1:$I$89,3,0)*0.475*44/12</f>
        <v>7.9570602584062294E-6</v>
      </c>
      <c r="AC70" s="22">
        <f t="shared" si="57"/>
        <v>8.5424094778223907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8.1001602564102555</v>
      </c>
      <c r="AI70" s="13">
        <f>IF('Données projet'!$A$62&gt;35,AI69+AH70-AQ69,IF(A70&lt;'Données projet'!$A$62,$AF$205^A70,IF(A70='Données projet'!$A$62,'Données projet'!$B$62,AI69+AH70-AQ69)))</f>
        <v>210.96474358974362</v>
      </c>
      <c r="AJ70" s="13">
        <f>AI70*VLOOKUP('Données projet'!$B$10,Paramètres!$A$1:$I$89,3,0)*VLOOKUP('Données projet'!$B$10,Paramètres!$A$1:$I$89,5,0)</f>
        <v>213.91825000000006</v>
      </c>
      <c r="AK70" s="13">
        <f t="shared" si="89"/>
        <v>52.790898498252119</v>
      </c>
      <c r="AL70" s="20">
        <f t="shared" si="58"/>
        <v>464.51843363445579</v>
      </c>
      <c r="AM70" s="59">
        <f t="shared" si="59"/>
        <v>757.8517669677891</v>
      </c>
      <c r="AN70" s="59">
        <f ca="1">AVERAGE(OFFSET($AM$3,0,0,'Données projet'!$E$10+1,1))-AVERAGE(OFFSET($H$3,0,0,'Données projet'!$E$10+1,1))</f>
        <v>263.15518481854753</v>
      </c>
      <c r="AO70" s="59">
        <f t="shared" si="90"/>
        <v>210.80755370263819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5.9</v>
      </c>
      <c r="BD70" s="12">
        <f>IF('Données projet'!$A$88&gt;35,BD69+BC70-BL69,IF(A70&lt;'Données projet'!$A$88,$BA$205^A70,IF(A70='Données projet'!$A$88,'Données projet'!$B$88,BD69+BC70-BL69)))</f>
        <v>257.3</v>
      </c>
      <c r="BE70" s="13">
        <f>BD70*VLOOKUP('Données projet'!$B$11,Paramètres!$A$1:$I$89,3,0)*VLOOKUP('Données projet'!$B$11,Paramètres!$A$1:$I$89,5,0)</f>
        <v>208.72176000000005</v>
      </c>
      <c r="BF70" s="13">
        <f t="shared" si="91"/>
        <v>51.656158920162433</v>
      </c>
      <c r="BG70" s="20">
        <f t="shared" si="61"/>
        <v>453.49154211928294</v>
      </c>
      <c r="BH70" s="59">
        <f t="shared" si="62"/>
        <v>746.8248754526162</v>
      </c>
      <c r="BI70" s="59">
        <f ca="1">AVERAGE(OFFSET($BH$3,0,0,'Données projet'!$E$11+1,1))-AVERAGE(OFFSET($H$3,0,0,'Données projet'!$E$11+1,1))</f>
        <v>203.21935660591021</v>
      </c>
      <c r="BJ70" s="59">
        <f t="shared" si="92"/>
        <v>180.54762778843178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0.48182035828161551</v>
      </c>
      <c r="BQ70" s="21">
        <f>EXP(-LN(2)/25)*BQ69+(1-EXP(-LN(2)/25))/(LN(2)/25)*Calculateur!BL70*Calculateur!BN70*VLOOKUP('Données projet'!$B$11,Paramètres!$A$1:$I$89,3,0)*0.475*44/12</f>
        <v>2.0805618604559251</v>
      </c>
      <c r="BR70" s="21">
        <f>EXP(-LN(2)/2)*BR69+(1-EXP(-LN(2)/2))/(LN(2)/2)*BL70*BO70*VLOOKUP('Données projet'!$B$11,Paramètres!$A$1:$I$89,3,0)*0.475*44/12</f>
        <v>2.4445669861278578E-5</v>
      </c>
      <c r="BS70" s="22">
        <f t="shared" si="63"/>
        <v>2.5624066644074017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>
        <f>VLOOKUP(A70,'Données projet'!$A$113:$I$133,2,0)</f>
        <v>167.85897435897436</v>
      </c>
      <c r="BW70" s="12">
        <f>VLOOKUP(A70,'Données projet'!$A$113:$I$133,9,0)</f>
        <v>5.9431089743589762</v>
      </c>
      <c r="BX70" s="12">
        <f t="array" ref="BX70">INDEX(BW:BW,MIN(IF(ISNUMBER(BW70:BW266),ROW(BW70:BW266),"")))</f>
        <v>5.9431089743589762</v>
      </c>
      <c r="BY70" s="12">
        <f>IF('Données projet'!$A$114&gt;35,BY69+BX70-CG69,IF(A70&lt;'Données projet'!$A$114,$BV$205^A70,IF(A70='Données projet'!$A$114,'Données projet'!$B$114,BY69+BX70-CG69)))</f>
        <v>167.85897435897436</v>
      </c>
      <c r="BZ70" s="13">
        <f>BY70*VLOOKUP('Données projet'!$B$12,Paramètres!$A$1:$I$89,3,0)*VLOOKUP('Données projet'!$B$12,Paramètres!$A$1:$I$89,5,0)</f>
        <v>180.68340000000001</v>
      </c>
      <c r="CA70" s="13">
        <f t="shared" si="93"/>
        <v>45.474196526503945</v>
      </c>
      <c r="CB70" s="20">
        <f t="shared" si="64"/>
        <v>393.89114728366098</v>
      </c>
      <c r="CC70" s="59">
        <f t="shared" si="65"/>
        <v>687.22448061699424</v>
      </c>
      <c r="CD70" s="59">
        <f ca="1">AVERAGE(OFFSET($CC$3,0,0,'Données projet'!$E$12+1,1))-AVERAGE(OFFSET($H$3,0,0,'Données projet'!$E$12+1,1))</f>
        <v>211.18501783767226</v>
      </c>
      <c r="CE70" s="59">
        <f t="shared" si="94"/>
        <v>147.98306963466246</v>
      </c>
      <c r="CF70" s="15">
        <f>IF(ISNA(VLOOKUP(A70,'Données projet'!$A$113:$I$133,3,0)),0,VLOOKUP(A70,'Données projet'!$A$113:$I$133,3,0))</f>
        <v>4</v>
      </c>
      <c r="CG70" s="15">
        <f>IF(ISNA(VLOOKUP(A70,'Données projet'!$A$113:$I$133,4,0)),0,VLOOKUP(A70,'Données projet'!$A$113:$I$133,4,0))</f>
        <v>31.993589743589741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>
        <f>VLOOKUP(A70,'Données projet'!$A$139:$I$159,2,0)</f>
        <v>167.85897435897436</v>
      </c>
      <c r="CR70" s="12">
        <f>VLOOKUP(A70,'Données projet'!$A$139:$I$159,9,0)</f>
        <v>5.9431089743589762</v>
      </c>
      <c r="CS70" s="12">
        <f t="array" ref="CS70">INDEX(CR:CR,MIN(IF(ISNUMBER(CR70:CR266),ROW(CR70:CR266),"")))</f>
        <v>5.9431089743589762</v>
      </c>
      <c r="CT70" s="12">
        <f>IF('Données projet'!$A$140&gt;35,CT69+CS70-DB69,IF(A70&lt;'Données projet'!$A$140,$CQ$205^A70,IF(A70='Données projet'!$A$140,'Données projet'!$B$140,CT69+CS70-DB69)))</f>
        <v>167.85897435897436</v>
      </c>
      <c r="CU70" s="17">
        <f>CT70*VLOOKUP('Données projet'!$B$13,Paramètres!$A$1:$I$89,3,0)*VLOOKUP('Données projet'!$B$13,Paramètres!$A$1:$I$89,5,0)</f>
        <v>180.68340000000001</v>
      </c>
      <c r="CV70" s="13">
        <f t="shared" si="95"/>
        <v>45.474196526503945</v>
      </c>
      <c r="CW70" s="20">
        <f t="shared" si="67"/>
        <v>393.89114728366098</v>
      </c>
      <c r="CX70" s="59">
        <f t="shared" si="68"/>
        <v>687.22448061699424</v>
      </c>
      <c r="CY70" s="59">
        <f ca="1">AVERAGE(OFFSET($CX$3,0,0,'Données projet'!$E$13+1,1))-AVERAGE(OFFSET($H$3,0,0,'Données projet'!$E$13+1,1))</f>
        <v>211.18501783767226</v>
      </c>
      <c r="CZ70" s="59">
        <f t="shared" si="96"/>
        <v>147.98306963466246</v>
      </c>
      <c r="DA70" s="15">
        <f>IF(ISNA(VLOOKUP(A70,'Données projet'!$A$139:$I$159,3,0)),0,VLOOKUP(A70,'Données projet'!$A$139:$I$159,3,0))</f>
        <v>4</v>
      </c>
      <c r="DB70" s="15">
        <f>IF(ISNA(VLOOKUP(A70,'Données projet'!$A$139:$I$159,4,0)),0,VLOOKUP(A70,'Données projet'!$A$139:$I$159,4,0))</f>
        <v>31.993589743589741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-2.2737367544323206E-13</v>
      </c>
      <c r="O71" s="13">
        <f>N71*VLOOKUP('Données projet'!$B$9,Paramètres!$A$1:$I$89,3,0)*VLOOKUP('Données projet'!$B$9,Paramètres!$A$1:$I$89,5,0)</f>
        <v>-1.3596945791505279E-13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182.25704762953387</v>
      </c>
      <c r="T71" s="59">
        <f t="shared" si="88"/>
        <v>265.61788177751134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2.3544586401097676</v>
      </c>
      <c r="AA71" s="21">
        <f>EXP(-LN(2)/25)*AA70+(1-EXP(-LN(2)/25))/(LN(2)/25)*Calculateur!V71*Calculateur!X71*VLOOKUP('Données projet'!$B$9,Paramètres!$A$1:$I$89,3,0)*0.475*44/12</f>
        <v>5.9729280545789321</v>
      </c>
      <c r="AB71" s="21">
        <f>EXP(-LN(2)/2)*AB70+(1-EXP(-LN(2)/2))/(LN(2)/2)*V71*Y71*VLOOKUP('Données projet'!$B$9,Paramètres!$A$1:$I$89,3,0)*0.475*44/12</f>
        <v>5.626491267029027E-6</v>
      </c>
      <c r="AC71" s="22">
        <f t="shared" si="57"/>
        <v>8.3273923211799676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8.1001602564102555</v>
      </c>
      <c r="AI71" s="13">
        <f>IF('Données projet'!$A$62&gt;35,AI70+AH71-AQ70,IF(A71&lt;'Données projet'!$A$62,$AF$205^A71,IF(A71='Données projet'!$A$62,'Données projet'!$B$62,AI70+AH71-AQ70)))</f>
        <v>219.06490384615387</v>
      </c>
      <c r="AJ71" s="13">
        <f>AI71*VLOOKUP('Données projet'!$B$10,Paramètres!$A$1:$I$89,3,0)*VLOOKUP('Données projet'!$B$10,Paramètres!$A$1:$I$89,5,0)</f>
        <v>222.13181250000002</v>
      </c>
      <c r="AK71" s="13">
        <f t="shared" si="89"/>
        <v>54.577964266842734</v>
      </c>
      <c r="AL71" s="20">
        <f t="shared" si="58"/>
        <v>481.93619453558449</v>
      </c>
      <c r="AM71" s="59">
        <f t="shared" si="59"/>
        <v>775.26952786891775</v>
      </c>
      <c r="AN71" s="59">
        <f ca="1">AVERAGE(OFFSET($AM$3,0,0,'Données projet'!$E$10+1,1))-AVERAGE(OFFSET($H$3,0,0,'Données projet'!$E$10+1,1))</f>
        <v>263.15518481854753</v>
      </c>
      <c r="AO71" s="59">
        <f t="shared" si="90"/>
        <v>210.80755370263819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5.9</v>
      </c>
      <c r="BD71" s="12">
        <f>IF('Données projet'!$A$88&gt;35,BD70+BC71-BL70,IF(A71&lt;'Données projet'!$A$88,$BA$205^A71,IF(A71='Données projet'!$A$88,'Données projet'!$B$88,BD70+BC71-BL70)))</f>
        <v>263.2</v>
      </c>
      <c r="BE71" s="13">
        <f>BD71*VLOOKUP('Données projet'!$B$11,Paramètres!$A$1:$I$89,3,0)*VLOOKUP('Données projet'!$B$11,Paramètres!$A$1:$I$89,5,0)</f>
        <v>213.50784000000002</v>
      </c>
      <c r="BF71" s="13">
        <f t="shared" si="91"/>
        <v>52.701396365805124</v>
      </c>
      <c r="BG71" s="20">
        <f t="shared" si="61"/>
        <v>463.6477533371106</v>
      </c>
      <c r="BH71" s="59">
        <f t="shared" si="62"/>
        <v>756.98108667044391</v>
      </c>
      <c r="BI71" s="59">
        <f ca="1">AVERAGE(OFFSET($BH$3,0,0,'Données projet'!$E$11+1,1))-AVERAGE(OFFSET($H$3,0,0,'Données projet'!$E$11+1,1))</f>
        <v>203.21935660591021</v>
      </c>
      <c r="BJ71" s="59">
        <f t="shared" si="92"/>
        <v>180.54762778843178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0.47237215493711321</v>
      </c>
      <c r="BQ71" s="21">
        <f>EXP(-LN(2)/25)*BQ70+(1-EXP(-LN(2)/25))/(LN(2)/25)*Calculateur!BL71*Calculateur!BN71*VLOOKUP('Données projet'!$B$11,Paramètres!$A$1:$I$89,3,0)*0.475*44/12</f>
        <v>2.0236687869697647</v>
      </c>
      <c r="BR71" s="21">
        <f>EXP(-LN(2)/2)*BR70+(1-EXP(-LN(2)/2))/(LN(2)/2)*BL71*BO71*VLOOKUP('Données projet'!$B$11,Paramètres!$A$1:$I$89,3,0)*0.475*44/12</f>
        <v>1.7285698929557691E-5</v>
      </c>
      <c r="BS71" s="22">
        <f t="shared" si="63"/>
        <v>2.4960582276058076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5.6899038461538431</v>
      </c>
      <c r="BY71" s="12">
        <f>IF('Données projet'!$A$114&gt;35,BY70+BX71-CG70,IF(A71&lt;'Données projet'!$A$114,$BV$205^A71,IF(A71='Données projet'!$A$114,'Données projet'!$B$114,BY70+BX71-CG70)))</f>
        <v>141.55528846153845</v>
      </c>
      <c r="BZ71" s="13">
        <f>BY71*VLOOKUP('Données projet'!$B$12,Paramètres!$A$1:$I$89,3,0)*VLOOKUP('Données projet'!$B$12,Paramètres!$A$1:$I$89,5,0)</f>
        <v>152.3701125</v>
      </c>
      <c r="CA71" s="13">
        <f t="shared" si="93"/>
        <v>39.116709765867299</v>
      </c>
      <c r="CB71" s="20">
        <f t="shared" si="64"/>
        <v>333.50621544638557</v>
      </c>
      <c r="CC71" s="59">
        <f t="shared" si="65"/>
        <v>626.83954877971883</v>
      </c>
      <c r="CD71" s="59">
        <f ca="1">AVERAGE(OFFSET($CC$3,0,0,'Données projet'!$E$12+1,1))-AVERAGE(OFFSET($H$3,0,0,'Données projet'!$E$12+1,1))</f>
        <v>211.18501783767226</v>
      </c>
      <c r="CE71" s="59">
        <f t="shared" si="94"/>
        <v>147.98306963466246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5.6899038461538431</v>
      </c>
      <c r="CT71" s="12">
        <f>IF('Données projet'!$A$140&gt;35,CT70+CS71-DB70,IF(A71&lt;'Données projet'!$A$140,$CQ$205^A71,IF(A71='Données projet'!$A$140,'Données projet'!$B$140,CT70+CS71-DB70)))</f>
        <v>141.55528846153845</v>
      </c>
      <c r="CU71" s="17">
        <f>CT71*VLOOKUP('Données projet'!$B$13,Paramètres!$A$1:$I$89,3,0)*VLOOKUP('Données projet'!$B$13,Paramètres!$A$1:$I$89,5,0)</f>
        <v>152.3701125</v>
      </c>
      <c r="CV71" s="13">
        <f t="shared" si="95"/>
        <v>39.116709765867299</v>
      </c>
      <c r="CW71" s="20">
        <f t="shared" si="67"/>
        <v>333.50621544638557</v>
      </c>
      <c r="CX71" s="59">
        <f t="shared" si="68"/>
        <v>626.83954877971883</v>
      </c>
      <c r="CY71" s="59">
        <f ca="1">AVERAGE(OFFSET($CX$3,0,0,'Données projet'!$E$13+1,1))-AVERAGE(OFFSET($H$3,0,0,'Données projet'!$E$13+1,1))</f>
        <v>211.18501783767226</v>
      </c>
      <c r="CZ71" s="59">
        <f t="shared" si="96"/>
        <v>147.98306963466246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-2.2737367544323206E-13</v>
      </c>
      <c r="O72" s="13">
        <f>N72*VLOOKUP('Données projet'!$B$9,Paramètres!$A$1:$I$89,3,0)*VLOOKUP('Données projet'!$B$9,Paramètres!$A$1:$I$89,5,0)</f>
        <v>-1.3596945791505279E-13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182.25704762953387</v>
      </c>
      <c r="T72" s="59">
        <f t="shared" si="88"/>
        <v>265.61788177751134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2.3082891422551848</v>
      </c>
      <c r="AA72" s="21">
        <f>EXP(-LN(2)/25)*AA71+(1-EXP(-LN(2)/25))/(LN(2)/25)*Calculateur!V72*Calculateur!X72*VLOOKUP('Données projet'!$B$9,Paramètres!$A$1:$I$89,3,0)*0.475*44/12</f>
        <v>5.8095980228238364</v>
      </c>
      <c r="AB72" s="21">
        <f>EXP(-LN(2)/2)*AB71+(1-EXP(-LN(2)/2))/(LN(2)/2)*V72*Y72*VLOOKUP('Données projet'!$B$9,Paramètres!$A$1:$I$89,3,0)*0.475*44/12</f>
        <v>3.9785301292031147E-6</v>
      </c>
      <c r="AC72" s="22">
        <f t="shared" si="57"/>
        <v>8.1178911436091514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8.1001602564102555</v>
      </c>
      <c r="AI72" s="13">
        <f>IF('Données projet'!$A$62&gt;35,AI71+AH72-AQ71,IF(A72&lt;'Données projet'!$A$62,$AF$205^A72,IF(A72='Données projet'!$A$62,'Données projet'!$B$62,AI71+AH72-AQ71)))</f>
        <v>227.16506410256412</v>
      </c>
      <c r="AJ72" s="13">
        <f>AI72*VLOOKUP('Données projet'!$B$10,Paramètres!$A$1:$I$89,3,0)*VLOOKUP('Données projet'!$B$10,Paramètres!$A$1:$I$89,5,0)</f>
        <v>230.34537500000002</v>
      </c>
      <c r="AK72" s="13">
        <f t="shared" si="89"/>
        <v>56.35735315816526</v>
      </c>
      <c r="AL72" s="20">
        <f t="shared" si="58"/>
        <v>499.34058487547105</v>
      </c>
      <c r="AM72" s="59">
        <f t="shared" si="59"/>
        <v>792.67391820880437</v>
      </c>
      <c r="AN72" s="59">
        <f ca="1">AVERAGE(OFFSET($AM$3,0,0,'Données projet'!$E$10+1,1))-AVERAGE(OFFSET($H$3,0,0,'Données projet'!$E$10+1,1))</f>
        <v>263.15518481854753</v>
      </c>
      <c r="AO72" s="59">
        <f t="shared" si="90"/>
        <v>210.80755370263819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5.9</v>
      </c>
      <c r="BD72" s="12">
        <f>IF('Données projet'!$A$88&gt;35,BD71+BC72-BL71,IF(A72&lt;'Données projet'!$A$88,$BA$205^A72,IF(A72='Données projet'!$A$88,'Données projet'!$B$88,BD71+BC72-BL71)))</f>
        <v>269.09999999999997</v>
      </c>
      <c r="BE72" s="13">
        <f>BD72*VLOOKUP('Données projet'!$B$11,Paramètres!$A$1:$I$89,3,0)*VLOOKUP('Données projet'!$B$11,Paramètres!$A$1:$I$89,5,0)</f>
        <v>218.29391999999999</v>
      </c>
      <c r="BF72" s="13">
        <f t="shared" si="91"/>
        <v>53.743909818122162</v>
      </c>
      <c r="BG72" s="20">
        <f t="shared" si="61"/>
        <v>473.79922026656277</v>
      </c>
      <c r="BH72" s="59">
        <f t="shared" si="62"/>
        <v>767.13255359989603</v>
      </c>
      <c r="BI72" s="59">
        <f ca="1">AVERAGE(OFFSET($BH$3,0,0,'Données projet'!$E$11+1,1))-AVERAGE(OFFSET($H$3,0,0,'Données projet'!$E$11+1,1))</f>
        <v>203.21935660591021</v>
      </c>
      <c r="BJ72" s="59">
        <f t="shared" si="92"/>
        <v>180.54762778843178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0.46310922509736158</v>
      </c>
      <c r="BQ72" s="21">
        <f>EXP(-LN(2)/25)*BQ71+(1-EXP(-LN(2)/25))/(LN(2)/25)*Calculateur!BL72*Calculateur!BN72*VLOOKUP('Données projet'!$B$11,Paramètres!$A$1:$I$89,3,0)*0.475*44/12</f>
        <v>1.9683314575699602</v>
      </c>
      <c r="BR72" s="21">
        <f>EXP(-LN(2)/2)*BR71+(1-EXP(-LN(2)/2))/(LN(2)/2)*BL72*BO72*VLOOKUP('Données projet'!$B$11,Paramètres!$A$1:$I$89,3,0)*0.475*44/12</f>
        <v>1.2222834930639289E-5</v>
      </c>
      <c r="BS72" s="22">
        <f t="shared" si="63"/>
        <v>2.4314529055022525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5.6899038461538431</v>
      </c>
      <c r="BY72" s="12">
        <f>IF('Données projet'!$A$114&gt;35,BY71+BX72-CG71,IF(A72&lt;'Données projet'!$A$114,$BV$205^A72,IF(A72='Données projet'!$A$114,'Données projet'!$B$114,BY71+BX72-CG71)))</f>
        <v>147.24519230769229</v>
      </c>
      <c r="BZ72" s="13">
        <f>BY72*VLOOKUP('Données projet'!$B$12,Paramètres!$A$1:$I$89,3,0)*VLOOKUP('Données projet'!$B$12,Paramètres!$A$1:$I$89,5,0)</f>
        <v>158.49472499999999</v>
      </c>
      <c r="CA72" s="13">
        <f t="shared" si="93"/>
        <v>40.502809873112795</v>
      </c>
      <c r="CB72" s="20">
        <f t="shared" si="64"/>
        <v>346.58737323733811</v>
      </c>
      <c r="CC72" s="59">
        <f t="shared" si="65"/>
        <v>639.92070657067143</v>
      </c>
      <c r="CD72" s="59">
        <f ca="1">AVERAGE(OFFSET($CC$3,0,0,'Données projet'!$E$12+1,1))-AVERAGE(OFFSET($H$3,0,0,'Données projet'!$E$12+1,1))</f>
        <v>211.18501783767226</v>
      </c>
      <c r="CE72" s="59">
        <f t="shared" si="94"/>
        <v>147.98306963466246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5.6899038461538431</v>
      </c>
      <c r="CT72" s="12">
        <f>IF('Données projet'!$A$140&gt;35,CT71+CS72-DB71,IF(A72&lt;'Données projet'!$A$140,$CQ$205^A72,IF(A72='Données projet'!$A$140,'Données projet'!$B$140,CT71+CS72-DB71)))</f>
        <v>147.24519230769229</v>
      </c>
      <c r="CU72" s="17">
        <f>CT72*VLOOKUP('Données projet'!$B$13,Paramètres!$A$1:$I$89,3,0)*VLOOKUP('Données projet'!$B$13,Paramètres!$A$1:$I$89,5,0)</f>
        <v>158.49472499999999</v>
      </c>
      <c r="CV72" s="13">
        <f t="shared" si="95"/>
        <v>40.502809873112795</v>
      </c>
      <c r="CW72" s="20">
        <f t="shared" si="67"/>
        <v>346.58737323733811</v>
      </c>
      <c r="CX72" s="59">
        <f t="shared" si="68"/>
        <v>639.92070657067143</v>
      </c>
      <c r="CY72" s="59">
        <f ca="1">AVERAGE(OFFSET($CX$3,0,0,'Données projet'!$E$13+1,1))-AVERAGE(OFFSET($H$3,0,0,'Données projet'!$E$13+1,1))</f>
        <v>211.18501783767226</v>
      </c>
      <c r="CZ72" s="59">
        <f t="shared" si="96"/>
        <v>147.98306963466246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0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-2.2737367544323206E-13</v>
      </c>
      <c r="O73" s="13">
        <f>N73*VLOOKUP('Données projet'!$B$9,Paramètres!$A$1:$I$89,3,0)*VLOOKUP('Données projet'!$B$9,Paramètres!$A$1:$I$89,5,0)</f>
        <v>-1.3596945791505279E-13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182.25704762953387</v>
      </c>
      <c r="T73" s="59">
        <f t="shared" si="88"/>
        <v>265.61788177751134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2.2630250000929171</v>
      </c>
      <c r="AA73" s="21">
        <f>EXP(-LN(2)/25)*AA72+(1-EXP(-LN(2)/25))/(LN(2)/25)*Calculateur!V73*Calculateur!X73*VLOOKUP('Données projet'!$B$9,Paramètres!$A$1:$I$89,3,0)*0.475*44/12</f>
        <v>5.6507342593762369</v>
      </c>
      <c r="AB73" s="21">
        <f>EXP(-LN(2)/2)*AB72+(1-EXP(-LN(2)/2))/(LN(2)/2)*V73*Y73*VLOOKUP('Données projet'!$B$9,Paramètres!$A$1:$I$89,3,0)*0.475*44/12</f>
        <v>2.8132456335145135E-6</v>
      </c>
      <c r="AC73" s="22">
        <f t="shared" si="57"/>
        <v>7.9137620727147882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8.1001602564102555</v>
      </c>
      <c r="AI73" s="13">
        <f>IF('Données projet'!$A$62&gt;35,AI72+AH73-AQ72,IF(A73&lt;'Données projet'!$A$62,$AF$205^A73,IF(A73='Données projet'!$A$62,'Données projet'!$B$62,AI72+AH73-AQ72)))</f>
        <v>235.26522435897436</v>
      </c>
      <c r="AJ73" s="13">
        <f>AI73*VLOOKUP('Données projet'!$B$10,Paramètres!$A$1:$I$89,3,0)*VLOOKUP('Données projet'!$B$10,Paramètres!$A$1:$I$89,5,0)</f>
        <v>238.55893750000004</v>
      </c>
      <c r="AK73" s="13">
        <f t="shared" si="89"/>
        <v>58.129370272573652</v>
      </c>
      <c r="AL73" s="20">
        <f t="shared" si="58"/>
        <v>516.73213603723241</v>
      </c>
      <c r="AM73" s="59">
        <f t="shared" si="59"/>
        <v>810.06546937056578</v>
      </c>
      <c r="AN73" s="59">
        <f ca="1">AVERAGE(OFFSET($AM$3,0,0,'Données projet'!$E$10+1,1))-AVERAGE(OFFSET($H$3,0,0,'Données projet'!$E$10+1,1))</f>
        <v>263.15518481854753</v>
      </c>
      <c r="AO73" s="59">
        <f t="shared" si="90"/>
        <v>210.80755370263819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275</v>
      </c>
      <c r="BB73" s="12">
        <f>VLOOKUP(A73,'Données projet'!$A$87:$I$107,9,0)</f>
        <v>5.9</v>
      </c>
      <c r="BC73" s="12">
        <f t="array" ref="BC73">INDEX(BB:BB,MIN(IF(ISNUMBER(BB73:BB269),ROW(BB73:BB269),"")))</f>
        <v>5.9</v>
      </c>
      <c r="BD73" s="12">
        <f>IF('Données projet'!$A$88&gt;35,BD72+BC73-BL72,IF(A73&lt;'Données projet'!$A$88,$BA$205^A73,IF(A73='Données projet'!$A$88,'Données projet'!$B$88,BD72+BC73-BL72)))</f>
        <v>274.99999999999994</v>
      </c>
      <c r="BE73" s="13">
        <f>BD73*VLOOKUP('Données projet'!$B$11,Paramètres!$A$1:$I$89,3,0)*VLOOKUP('Données projet'!$B$11,Paramètres!$A$1:$I$89,5,0)</f>
        <v>223.07999999999996</v>
      </c>
      <c r="BF73" s="13">
        <f t="shared" si="91"/>
        <v>54.783765878062667</v>
      </c>
      <c r="BG73" s="20">
        <f t="shared" si="61"/>
        <v>483.94605890429233</v>
      </c>
      <c r="BH73" s="59">
        <f t="shared" si="62"/>
        <v>777.27939223762564</v>
      </c>
      <c r="BI73" s="59">
        <f ca="1">AVERAGE(OFFSET($BH$3,0,0,'Données projet'!$E$11+1,1))-AVERAGE(OFFSET($H$3,0,0,'Données projet'!$E$11+1,1))</f>
        <v>203.21935660591021</v>
      </c>
      <c r="BJ73" s="59">
        <f t="shared" si="92"/>
        <v>180.54762778843178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34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0.45402793566193816</v>
      </c>
      <c r="BQ73" s="21">
        <f>EXP(-LN(2)/25)*BQ72+(1-EXP(-LN(2)/25))/(LN(2)/25)*Calculateur!BL73*Calculateur!BN73*VLOOKUP('Données projet'!$B$11,Paramètres!$A$1:$I$89,3,0)*0.475*44/12</f>
        <v>1.914507330352657</v>
      </c>
      <c r="BR73" s="21">
        <f>EXP(-LN(2)/2)*BR72+(1-EXP(-LN(2)/2))/(LN(2)/2)*BL73*BO73*VLOOKUP('Données projet'!$B$11,Paramètres!$A$1:$I$89,3,0)*0.475*44/12</f>
        <v>8.6428494647788455E-6</v>
      </c>
      <c r="BS73" s="22">
        <f t="shared" si="63"/>
        <v>2.3685439088640599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5.6899038461538431</v>
      </c>
      <c r="BY73" s="12">
        <f>IF('Données projet'!$A$114&gt;35,BY72+BX73-CG72,IF(A73&lt;'Données projet'!$A$114,$BV$205^A73,IF(A73='Données projet'!$A$114,'Données projet'!$B$114,BY72+BX73-CG72)))</f>
        <v>152.93509615384613</v>
      </c>
      <c r="BZ73" s="13">
        <f>BY73*VLOOKUP('Données projet'!$B$12,Paramètres!$A$1:$I$89,3,0)*VLOOKUP('Données projet'!$B$12,Paramètres!$A$1:$I$89,5,0)</f>
        <v>164.61933749999997</v>
      </c>
      <c r="CA73" s="13">
        <f t="shared" si="93"/>
        <v>41.882687705397203</v>
      </c>
      <c r="CB73" s="20">
        <f t="shared" si="64"/>
        <v>359.65769389940004</v>
      </c>
      <c r="CC73" s="59">
        <f t="shared" si="65"/>
        <v>652.99102723273336</v>
      </c>
      <c r="CD73" s="59">
        <f ca="1">AVERAGE(OFFSET($CC$3,0,0,'Données projet'!$E$12+1,1))-AVERAGE(OFFSET($H$3,0,0,'Données projet'!$E$12+1,1))</f>
        <v>211.18501783767226</v>
      </c>
      <c r="CE73" s="59">
        <f t="shared" si="94"/>
        <v>147.98306963466246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5.6899038461538431</v>
      </c>
      <c r="CT73" s="12">
        <f>IF('Données projet'!$A$140&gt;35,CT72+CS73-DB72,IF(A73&lt;'Données projet'!$A$140,$CQ$205^A73,IF(A73='Données projet'!$A$140,'Données projet'!$B$140,CT72+CS73-DB72)))</f>
        <v>152.93509615384613</v>
      </c>
      <c r="CU73" s="17">
        <f>CT73*VLOOKUP('Données projet'!$B$13,Paramètres!$A$1:$I$89,3,0)*VLOOKUP('Données projet'!$B$13,Paramètres!$A$1:$I$89,5,0)</f>
        <v>164.61933749999997</v>
      </c>
      <c r="CV73" s="13">
        <f t="shared" si="95"/>
        <v>41.882687705397203</v>
      </c>
      <c r="CW73" s="20">
        <f t="shared" si="67"/>
        <v>359.65769389940004</v>
      </c>
      <c r="CX73" s="59">
        <f t="shared" si="68"/>
        <v>652.99102723273336</v>
      </c>
      <c r="CY73" s="59">
        <f ca="1">AVERAGE(OFFSET($CX$3,0,0,'Données projet'!$E$13+1,1))-AVERAGE(OFFSET($H$3,0,0,'Données projet'!$E$13+1,1))</f>
        <v>211.18501783767226</v>
      </c>
      <c r="CZ73" s="59">
        <f t="shared" si="96"/>
        <v>147.98306963466246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0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-2.2737367544323206E-13</v>
      </c>
      <c r="O74" s="13">
        <f>N74*VLOOKUP('Données projet'!$B$9,Paramètres!$A$1:$I$89,3,0)*VLOOKUP('Données projet'!$B$9,Paramètres!$A$1:$I$89,5,0)</f>
        <v>-1.3596945791505279E-13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182.25704762953387</v>
      </c>
      <c r="T74" s="59">
        <f t="shared" si="88"/>
        <v>265.61788177751134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2.2186484601500509</v>
      </c>
      <c r="AA74" s="21">
        <f>EXP(-LN(2)/25)*AA73+(1-EXP(-LN(2)/25))/(LN(2)/25)*Calculateur!V74*Calculateur!X74*VLOOKUP('Données projet'!$B$9,Paramètres!$A$1:$I$89,3,0)*0.475*44/12</f>
        <v>5.496214633894394</v>
      </c>
      <c r="AB74" s="21">
        <f>EXP(-LN(2)/2)*AB73+(1-EXP(-LN(2)/2))/(LN(2)/2)*V74*Y74*VLOOKUP('Données projet'!$B$9,Paramètres!$A$1:$I$89,3,0)*0.475*44/12</f>
        <v>1.9892650646015574E-6</v>
      </c>
      <c r="AC74" s="22">
        <f t="shared" si="57"/>
        <v>7.7148650833095092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>
        <f>VLOOKUP(A74,'Données projet'!$A$61:$I$81,2,0)</f>
        <v>243.36538461538458</v>
      </c>
      <c r="AG74" s="12">
        <f>VLOOKUP(A74,'Données projet'!$A$61:$I$81,9,0)</f>
        <v>8.1001602564102555</v>
      </c>
      <c r="AH74" s="12">
        <f t="array" ref="AH74">INDEX(AG:AG,MIN(IF(ISNUMBER(AG74:AG270),ROW(AG74:AG270),"")))</f>
        <v>8.1001602564102555</v>
      </c>
      <c r="AI74" s="13">
        <f>IF('Données projet'!$A$62&gt;35,AI73+AH74-AQ73,IF(A74&lt;'Données projet'!$A$62,$AF$205^A74,IF(A74='Données projet'!$A$62,'Données projet'!$B$62,AI73+AH74-AQ73)))</f>
        <v>243.36538461538461</v>
      </c>
      <c r="AJ74" s="13">
        <f>AI74*VLOOKUP('Données projet'!$B$10,Paramètres!$A$1:$I$89,3,0)*VLOOKUP('Données projet'!$B$10,Paramètres!$A$1:$I$89,5,0)</f>
        <v>246.77250000000001</v>
      </c>
      <c r="AK74" s="13">
        <f t="shared" si="89"/>
        <v>59.894298509670548</v>
      </c>
      <c r="AL74" s="20">
        <f t="shared" si="58"/>
        <v>534.11134073767619</v>
      </c>
      <c r="AM74" s="59">
        <f t="shared" si="59"/>
        <v>827.44467407100956</v>
      </c>
      <c r="AN74" s="59">
        <f ca="1">AVERAGE(OFFSET($AM$3,0,0,'Données projet'!$E$10+1,1))-AVERAGE(OFFSET($H$3,0,0,'Données projet'!$E$10+1,1))</f>
        <v>263.15518481854753</v>
      </c>
      <c r="AO74" s="59">
        <f t="shared" si="90"/>
        <v>210.80755370263819</v>
      </c>
      <c r="AP74" s="15">
        <f>IF(ISNA(VLOOKUP(A74,'Données projet'!$A$61:$I$81,3,0)),0,VLOOKUP(A74,'Données projet'!$A$61:$I$81,3,0))</f>
        <v>6</v>
      </c>
      <c r="AQ74" s="15">
        <f>IF(ISNA(VLOOKUP(A74,'Données projet'!$A$61:$I$81,4,0)),0,VLOOKUP(A74,'Données projet'!$A$61:$I$81,4,0))</f>
        <v>39.935897435897431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5.2</v>
      </c>
      <c r="BD74" s="12">
        <f>IF('Données projet'!$A$88&gt;35,BD73+BC74-BL73,IF(A74&lt;'Données projet'!$A$88,$BA$205^A74,IF(A74='Données projet'!$A$88,'Données projet'!$B$88,BD73+BC74-BL73)))</f>
        <v>246.19999999999993</v>
      </c>
      <c r="BE74" s="13">
        <f>BD74*VLOOKUP('Données projet'!$B$11,Paramètres!$A$1:$I$89,3,0)*VLOOKUP('Données projet'!$B$11,Paramètres!$A$1:$I$89,5,0)</f>
        <v>199.71743999999995</v>
      </c>
      <c r="BF74" s="13">
        <f t="shared" si="91"/>
        <v>49.682064480920445</v>
      </c>
      <c r="BG74" s="20">
        <f t="shared" si="61"/>
        <v>434.37080363760305</v>
      </c>
      <c r="BH74" s="59">
        <f t="shared" si="62"/>
        <v>727.70413697093636</v>
      </c>
      <c r="BI74" s="59">
        <f ca="1">AVERAGE(OFFSET($BH$3,0,0,'Données projet'!$E$11+1,1))-AVERAGE(OFFSET($H$3,0,0,'Données projet'!$E$11+1,1))</f>
        <v>203.21935660591021</v>
      </c>
      <c r="BJ74" s="59">
        <f t="shared" si="92"/>
        <v>180.54762778843178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0.44512472477330378</v>
      </c>
      <c r="BQ74" s="21">
        <f>EXP(-LN(2)/25)*BQ73+(1-EXP(-LN(2)/25))/(LN(2)/25)*Calculateur!BL74*Calculateur!BN74*VLOOKUP('Données projet'!$B$11,Paramètres!$A$1:$I$89,3,0)*0.475*44/12</f>
        <v>1.8621550267245988</v>
      </c>
      <c r="BR74" s="21">
        <f>EXP(-LN(2)/2)*BR73+(1-EXP(-LN(2)/2))/(LN(2)/2)*BL74*BO74*VLOOKUP('Données projet'!$B$11,Paramètres!$A$1:$I$89,3,0)*0.475*44/12</f>
        <v>6.1114174653196446E-6</v>
      </c>
      <c r="BS74" s="22">
        <f t="shared" si="63"/>
        <v>2.3072858629153679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5.6899038461538431</v>
      </c>
      <c r="BY74" s="12">
        <f>IF('Données projet'!$A$114&gt;35,BY73+BX74-CG73,IF(A74&lt;'Données projet'!$A$114,$BV$205^A74,IF(A74='Données projet'!$A$114,'Données projet'!$B$114,BY73+BX74-CG73)))</f>
        <v>158.62499999999997</v>
      </c>
      <c r="BZ74" s="13">
        <f>BY74*VLOOKUP('Données projet'!$B$12,Paramètres!$A$1:$I$89,3,0)*VLOOKUP('Données projet'!$B$12,Paramètres!$A$1:$I$89,5,0)</f>
        <v>170.74394999999996</v>
      </c>
      <c r="CA74" s="13">
        <f t="shared" si="93"/>
        <v>43.256601269244634</v>
      </c>
      <c r="CB74" s="20">
        <f t="shared" si="64"/>
        <v>372.71762679393436</v>
      </c>
      <c r="CC74" s="59">
        <f t="shared" si="65"/>
        <v>666.05096012726767</v>
      </c>
      <c r="CD74" s="59">
        <f ca="1">AVERAGE(OFFSET($CC$3,0,0,'Données projet'!$E$12+1,1))-AVERAGE(OFFSET($H$3,0,0,'Données projet'!$E$12+1,1))</f>
        <v>211.18501783767226</v>
      </c>
      <c r="CE74" s="59">
        <f t="shared" si="94"/>
        <v>147.98306963466246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5.6899038461538431</v>
      </c>
      <c r="CT74" s="12">
        <f>IF('Données projet'!$A$140&gt;35,CT73+CS74-DB73,IF(A74&lt;'Données projet'!$A$140,$CQ$205^A74,IF(A74='Données projet'!$A$140,'Données projet'!$B$140,CT73+CS74-DB73)))</f>
        <v>158.62499999999997</v>
      </c>
      <c r="CU74" s="17">
        <f>CT74*VLOOKUP('Données projet'!$B$13,Paramètres!$A$1:$I$89,3,0)*VLOOKUP('Données projet'!$B$13,Paramètres!$A$1:$I$89,5,0)</f>
        <v>170.74394999999996</v>
      </c>
      <c r="CV74" s="13">
        <f t="shared" si="95"/>
        <v>43.256601269244634</v>
      </c>
      <c r="CW74" s="20">
        <f t="shared" si="67"/>
        <v>372.71762679393436</v>
      </c>
      <c r="CX74" s="59">
        <f t="shared" si="68"/>
        <v>666.05096012726767</v>
      </c>
      <c r="CY74" s="59">
        <f ca="1">AVERAGE(OFFSET($CX$3,0,0,'Données projet'!$E$13+1,1))-AVERAGE(OFFSET($H$3,0,0,'Données projet'!$E$13+1,1))</f>
        <v>211.18501783767226</v>
      </c>
      <c r="CZ74" s="59">
        <f t="shared" si="96"/>
        <v>147.98306963466246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0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-2.2737367544323206E-13</v>
      </c>
      <c r="O75" s="13">
        <f>N75*VLOOKUP('Données projet'!$B$9,Paramètres!$A$1:$I$89,3,0)*VLOOKUP('Données projet'!$B$9,Paramètres!$A$1:$I$89,5,0)</f>
        <v>-1.3596945791505279E-13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182.25704762953387</v>
      </c>
      <c r="T75" s="59">
        <f t="shared" si="88"/>
        <v>265.61788177751134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2.1751421170884475</v>
      </c>
      <c r="AA75" s="21">
        <f>EXP(-LN(2)/25)*AA74+(1-EXP(-LN(2)/25))/(LN(2)/25)*Calculateur!V75*Calculateur!X75*VLOOKUP('Données projet'!$B$9,Paramètres!$A$1:$I$89,3,0)*0.475*44/12</f>
        <v>5.3459203556971859</v>
      </c>
      <c r="AB75" s="21">
        <f>EXP(-LN(2)/2)*AB74+(1-EXP(-LN(2)/2))/(LN(2)/2)*V75*Y75*VLOOKUP('Données projet'!$B$9,Paramètres!$A$1:$I$89,3,0)*0.475*44/12</f>
        <v>1.4066228167572567E-6</v>
      </c>
      <c r="AC75" s="22">
        <f t="shared" si="57"/>
        <v>7.5210638794084499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7.8425925925925934</v>
      </c>
      <c r="AI75" s="13">
        <f>IF('Données projet'!$A$62&gt;35,AI74+AH75-AQ74,IF(A75&lt;'Données projet'!$A$62,$AF$205^A75,IF(A75='Données projet'!$A$62,'Données projet'!$B$62,AI74+AH75-AQ74)))</f>
        <v>211.27207977207976</v>
      </c>
      <c r="AJ75" s="13">
        <f>AI75*VLOOKUP('Données projet'!$B$10,Paramètres!$A$1:$I$89,3,0)*VLOOKUP('Données projet'!$B$10,Paramètres!$A$1:$I$89,5,0)</f>
        <v>214.22988888888889</v>
      </c>
      <c r="AK75" s="13">
        <f t="shared" si="89"/>
        <v>52.858847294468191</v>
      </c>
      <c r="AL75" s="20">
        <f t="shared" si="58"/>
        <v>465.17954885268017</v>
      </c>
      <c r="AM75" s="59">
        <f t="shared" si="59"/>
        <v>758.51288218601348</v>
      </c>
      <c r="AN75" s="59">
        <f ca="1">AVERAGE(OFFSET($AM$3,0,0,'Données projet'!$E$10+1,1))-AVERAGE(OFFSET($H$3,0,0,'Données projet'!$E$10+1,1))</f>
        <v>263.15518481854753</v>
      </c>
      <c r="AO75" s="59">
        <f t="shared" si="90"/>
        <v>210.80755370263819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5.2</v>
      </c>
      <c r="BD75" s="12">
        <f>IF('Données projet'!$A$88&gt;35,BD74+BC75-BL74,IF(A75&lt;'Données projet'!$A$88,$BA$205^A75,IF(A75='Données projet'!$A$88,'Données projet'!$B$88,BD74+BC75-BL74)))</f>
        <v>251.39999999999992</v>
      </c>
      <c r="BE75" s="13">
        <f>BD75*VLOOKUP('Données projet'!$B$11,Paramètres!$A$1:$I$89,3,0)*VLOOKUP('Données projet'!$B$11,Paramètres!$A$1:$I$89,5,0)</f>
        <v>203.93567999999993</v>
      </c>
      <c r="BF75" s="13">
        <f t="shared" si="91"/>
        <v>50.608127642968469</v>
      </c>
      <c r="BG75" s="20">
        <f t="shared" si="61"/>
        <v>443.33046497816991</v>
      </c>
      <c r="BH75" s="59">
        <f t="shared" si="62"/>
        <v>736.66379831150323</v>
      </c>
      <c r="BI75" s="59">
        <f ca="1">AVERAGE(OFFSET($BH$3,0,0,'Données projet'!$E$11+1,1))-AVERAGE(OFFSET($H$3,0,0,'Données projet'!$E$11+1,1))</f>
        <v>203.21935660591021</v>
      </c>
      <c r="BJ75" s="59">
        <f t="shared" si="92"/>
        <v>180.54762778843178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0.43639610041977306</v>
      </c>
      <c r="BQ75" s="21">
        <f>EXP(-LN(2)/25)*BQ74+(1-EXP(-LN(2)/25))/(LN(2)/25)*Calculateur!BL75*Calculateur!BN75*VLOOKUP('Données projet'!$B$11,Paramètres!$A$1:$I$89,3,0)*0.475*44/12</f>
        <v>1.8112342995923378</v>
      </c>
      <c r="BR75" s="21">
        <f>EXP(-LN(2)/2)*BR74+(1-EXP(-LN(2)/2))/(LN(2)/2)*BL75*BO75*VLOOKUP('Données projet'!$B$11,Paramètres!$A$1:$I$89,3,0)*0.475*44/12</f>
        <v>4.3214247323894227E-6</v>
      </c>
      <c r="BS75" s="22">
        <f t="shared" si="63"/>
        <v>2.2476347214368433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5.6899038461538431</v>
      </c>
      <c r="BY75" s="12">
        <f>IF('Données projet'!$A$114&gt;35,BY74+BX75-CG74,IF(A75&lt;'Données projet'!$A$114,$BV$205^A75,IF(A75='Données projet'!$A$114,'Données projet'!$B$114,BY74+BX75-CG74)))</f>
        <v>164.31490384615381</v>
      </c>
      <c r="BZ75" s="13">
        <f>BY75*VLOOKUP('Données projet'!$B$12,Paramètres!$A$1:$I$89,3,0)*VLOOKUP('Données projet'!$B$12,Paramètres!$A$1:$I$89,5,0)</f>
        <v>176.86856249999997</v>
      </c>
      <c r="CA75" s="13">
        <f t="shared" si="93"/>
        <v>44.624789012503541</v>
      </c>
      <c r="CB75" s="20">
        <f t="shared" si="64"/>
        <v>385.76758721761024</v>
      </c>
      <c r="CC75" s="59">
        <f t="shared" si="65"/>
        <v>679.10092055094356</v>
      </c>
      <c r="CD75" s="59">
        <f ca="1">AVERAGE(OFFSET($CC$3,0,0,'Données projet'!$E$12+1,1))-AVERAGE(OFFSET($H$3,0,0,'Données projet'!$E$12+1,1))</f>
        <v>211.18501783767226</v>
      </c>
      <c r="CE75" s="59">
        <f t="shared" si="94"/>
        <v>147.98306963466246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5.6899038461538431</v>
      </c>
      <c r="CT75" s="12">
        <f>IF('Données projet'!$A$140&gt;35,CT74+CS75-DB74,IF(A75&lt;'Données projet'!$A$140,$CQ$205^A75,IF(A75='Données projet'!$A$140,'Données projet'!$B$140,CT74+CS75-DB74)))</f>
        <v>164.31490384615381</v>
      </c>
      <c r="CU75" s="17">
        <f>CT75*VLOOKUP('Données projet'!$B$13,Paramètres!$A$1:$I$89,3,0)*VLOOKUP('Données projet'!$B$13,Paramètres!$A$1:$I$89,5,0)</f>
        <v>176.86856249999997</v>
      </c>
      <c r="CV75" s="13">
        <f t="shared" si="95"/>
        <v>44.624789012503541</v>
      </c>
      <c r="CW75" s="20">
        <f t="shared" si="67"/>
        <v>385.76758721761024</v>
      </c>
      <c r="CX75" s="59">
        <f t="shared" si="68"/>
        <v>679.10092055094356</v>
      </c>
      <c r="CY75" s="59">
        <f ca="1">AVERAGE(OFFSET($CX$3,0,0,'Données projet'!$E$13+1,1))-AVERAGE(OFFSET($H$3,0,0,'Données projet'!$E$13+1,1))</f>
        <v>211.18501783767226</v>
      </c>
      <c r="CZ75" s="59">
        <f t="shared" si="96"/>
        <v>147.98306963466246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0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-2.2737367544323206E-13</v>
      </c>
      <c r="O76" s="13">
        <f>N76*VLOOKUP('Données projet'!$B$9,Paramètres!$A$1:$I$89,3,0)*VLOOKUP('Données projet'!$B$9,Paramètres!$A$1:$I$89,5,0)</f>
        <v>-1.3596945791505279E-13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182.25704762953387</v>
      </c>
      <c r="T76" s="59">
        <f t="shared" si="88"/>
        <v>265.61788177751134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2.1324889068780331</v>
      </c>
      <c r="AA76" s="21">
        <f>EXP(-LN(2)/25)*AA75+(1-EXP(-LN(2)/25))/(LN(2)/25)*Calculateur!V76*Calculateur!X76*VLOOKUP('Données projet'!$B$9,Paramètres!$A$1:$I$89,3,0)*0.475*44/12</f>
        <v>5.1997358824409128</v>
      </c>
      <c r="AB76" s="21">
        <f>EXP(-LN(2)/2)*AB75+(1-EXP(-LN(2)/2))/(LN(2)/2)*V76*Y76*VLOOKUP('Données projet'!$B$9,Paramètres!$A$1:$I$89,3,0)*0.475*44/12</f>
        <v>9.9463253230077868E-7</v>
      </c>
      <c r="AC76" s="22">
        <f t="shared" si="57"/>
        <v>7.3322257839514782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7.8425925925925934</v>
      </c>
      <c r="AI76" s="13">
        <f>IF('Données projet'!$A$62&gt;35,AI75+AH76-AQ75,IF(A76&lt;'Données projet'!$A$62,$AF$205^A76,IF(A76='Données projet'!$A$62,'Données projet'!$B$62,AI75+AH76-AQ75)))</f>
        <v>219.11467236467234</v>
      </c>
      <c r="AJ76" s="13">
        <f>AI76*VLOOKUP('Données projet'!$B$10,Paramètres!$A$1:$I$89,3,0)*VLOOKUP('Données projet'!$B$10,Paramètres!$A$1:$I$89,5,0)</f>
        <v>222.18227777777776</v>
      </c>
      <c r="AK76" s="13">
        <f t="shared" si="89"/>
        <v>54.588920195757801</v>
      </c>
      <c r="AL76" s="20">
        <f t="shared" si="58"/>
        <v>482.04316980390769</v>
      </c>
      <c r="AM76" s="59">
        <f t="shared" si="59"/>
        <v>775.376503137241</v>
      </c>
      <c r="AN76" s="59">
        <f ca="1">AVERAGE(OFFSET($AM$3,0,0,'Données projet'!$E$10+1,1))-AVERAGE(OFFSET($H$3,0,0,'Données projet'!$E$10+1,1))</f>
        <v>263.15518481854753</v>
      </c>
      <c r="AO76" s="59">
        <f t="shared" si="90"/>
        <v>210.80755370263819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5.2</v>
      </c>
      <c r="BD76" s="12">
        <f>IF('Données projet'!$A$88&gt;35,BD75+BC76-BL75,IF(A76&lt;'Données projet'!$A$88,$BA$205^A76,IF(A76='Données projet'!$A$88,'Données projet'!$B$88,BD75+BC76-BL75)))</f>
        <v>256.59999999999991</v>
      </c>
      <c r="BE76" s="13">
        <f>BD76*VLOOKUP('Données projet'!$B$11,Paramètres!$A$1:$I$89,3,0)*VLOOKUP('Données projet'!$B$11,Paramètres!$A$1:$I$89,5,0)</f>
        <v>208.15391999999994</v>
      </c>
      <c r="BF76" s="13">
        <f t="shared" si="91"/>
        <v>51.531963694915518</v>
      </c>
      <c r="BG76" s="20">
        <f t="shared" si="61"/>
        <v>452.28624743531105</v>
      </c>
      <c r="BH76" s="59">
        <f t="shared" si="62"/>
        <v>745.61958076864437</v>
      </c>
      <c r="BI76" s="59">
        <f ca="1">AVERAGE(OFFSET($BH$3,0,0,'Données projet'!$E$11+1,1))-AVERAGE(OFFSET($H$3,0,0,'Données projet'!$E$11+1,1))</f>
        <v>203.21935660591021</v>
      </c>
      <c r="BJ76" s="59">
        <f t="shared" si="92"/>
        <v>180.54762778843178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0.42783863906587993</v>
      </c>
      <c r="BQ76" s="21">
        <f>EXP(-LN(2)/25)*BQ75+(1-EXP(-LN(2)/25))/(LN(2)/25)*Calculateur!BL76*Calculateur!BN76*VLOOKUP('Données projet'!$B$11,Paramètres!$A$1:$I$89,3,0)*0.475*44/12</f>
        <v>1.7617060024213131</v>
      </c>
      <c r="BR76" s="21">
        <f>EXP(-LN(2)/2)*BR75+(1-EXP(-LN(2)/2))/(LN(2)/2)*BL76*BO76*VLOOKUP('Données projet'!$B$11,Paramètres!$A$1:$I$89,3,0)*0.475*44/12</f>
        <v>3.0557087326598223E-6</v>
      </c>
      <c r="BS76" s="22">
        <f t="shared" si="63"/>
        <v>2.1895476971959256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5.6899038461538431</v>
      </c>
      <c r="BY76" s="12">
        <f>IF('Données projet'!$A$114&gt;35,BY75+BX76-CG75,IF(A76&lt;'Données projet'!$A$114,$BV$205^A76,IF(A76='Données projet'!$A$114,'Données projet'!$B$114,BY75+BX76-CG75)))</f>
        <v>170.00480769230765</v>
      </c>
      <c r="BZ76" s="13">
        <f>BY76*VLOOKUP('Données projet'!$B$12,Paramètres!$A$1:$I$89,3,0)*VLOOKUP('Données projet'!$B$12,Paramètres!$A$1:$I$89,5,0)</f>
        <v>182.99317499999995</v>
      </c>
      <c r="CA76" s="13">
        <f t="shared" si="93"/>
        <v>45.987471932496092</v>
      </c>
      <c r="CB76" s="20">
        <f t="shared" si="64"/>
        <v>398.80796007409725</v>
      </c>
      <c r="CC76" s="59">
        <f t="shared" si="65"/>
        <v>692.14129340743057</v>
      </c>
      <c r="CD76" s="59">
        <f ca="1">AVERAGE(OFFSET($CC$3,0,0,'Données projet'!$E$12+1,1))-AVERAGE(OFFSET($H$3,0,0,'Données projet'!$E$12+1,1))</f>
        <v>211.18501783767226</v>
      </c>
      <c r="CE76" s="59">
        <f t="shared" si="94"/>
        <v>147.98306963466246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5.6899038461538431</v>
      </c>
      <c r="CT76" s="12">
        <f>IF('Données projet'!$A$140&gt;35,CT75+CS76-DB75,IF(A76&lt;'Données projet'!$A$140,$CQ$205^A76,IF(A76='Données projet'!$A$140,'Données projet'!$B$140,CT75+CS76-DB75)))</f>
        <v>170.00480769230765</v>
      </c>
      <c r="CU76" s="17">
        <f>CT76*VLOOKUP('Données projet'!$B$13,Paramètres!$A$1:$I$89,3,0)*VLOOKUP('Données projet'!$B$13,Paramètres!$A$1:$I$89,5,0)</f>
        <v>182.99317499999995</v>
      </c>
      <c r="CV76" s="13">
        <f t="shared" si="95"/>
        <v>45.987471932496092</v>
      </c>
      <c r="CW76" s="20">
        <f t="shared" si="67"/>
        <v>398.80796007409725</v>
      </c>
      <c r="CX76" s="59">
        <f t="shared" si="68"/>
        <v>692.14129340743057</v>
      </c>
      <c r="CY76" s="59">
        <f ca="1">AVERAGE(OFFSET($CX$3,0,0,'Données projet'!$E$13+1,1))-AVERAGE(OFFSET($H$3,0,0,'Données projet'!$E$13+1,1))</f>
        <v>211.18501783767226</v>
      </c>
      <c r="CZ76" s="59">
        <f t="shared" si="96"/>
        <v>147.98306963466246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0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-2.2737367544323206E-13</v>
      </c>
      <c r="O77" s="13">
        <f>N77*VLOOKUP('Données projet'!$B$9,Paramètres!$A$1:$I$89,3,0)*VLOOKUP('Données projet'!$B$9,Paramètres!$A$1:$I$89,5,0)</f>
        <v>-1.3596945791505279E-13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182.25704762953387</v>
      </c>
      <c r="T77" s="59">
        <f t="shared" si="88"/>
        <v>265.61788177751134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2.0906721001039554</v>
      </c>
      <c r="AA77" s="21">
        <f>EXP(-LN(2)/25)*AA76+(1-EXP(-LN(2)/25))/(LN(2)/25)*Calculateur!V77*Calculateur!X77*VLOOKUP('Données projet'!$B$9,Paramètres!$A$1:$I$89,3,0)*0.475*44/12</f>
        <v>5.0575488312933405</v>
      </c>
      <c r="AB77" s="21">
        <f>EXP(-LN(2)/2)*AB76+(1-EXP(-LN(2)/2))/(LN(2)/2)*V77*Y77*VLOOKUP('Données projet'!$B$9,Paramètres!$A$1:$I$89,3,0)*0.475*44/12</f>
        <v>7.0331140837862837E-7</v>
      </c>
      <c r="AC77" s="22">
        <f t="shared" si="57"/>
        <v>7.1482216347087038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7.8425925925925934</v>
      </c>
      <c r="AI77" s="13">
        <f>IF('Données projet'!$A$62&gt;35,AI76+AH77-AQ76,IF(A77&lt;'Données projet'!$A$62,$AF$205^A77,IF(A77='Données projet'!$A$62,'Données projet'!$B$62,AI76+AH77-AQ76)))</f>
        <v>226.95726495726493</v>
      </c>
      <c r="AJ77" s="13">
        <f>AI77*VLOOKUP('Données projet'!$B$10,Paramètres!$A$1:$I$89,3,0)*VLOOKUP('Données projet'!$B$10,Paramètres!$A$1:$I$89,5,0)</f>
        <v>230.13466666666665</v>
      </c>
      <c r="AK77" s="13">
        <f t="shared" si="89"/>
        <v>56.311798620954733</v>
      </c>
      <c r="AL77" s="20">
        <f t="shared" si="58"/>
        <v>498.89426037594058</v>
      </c>
      <c r="AM77" s="59">
        <f t="shared" si="59"/>
        <v>792.22759370927383</v>
      </c>
      <c r="AN77" s="59">
        <f ca="1">AVERAGE(OFFSET($AM$3,0,0,'Données projet'!$E$10+1,1))-AVERAGE(OFFSET($H$3,0,0,'Données projet'!$E$10+1,1))</f>
        <v>263.15518481854753</v>
      </c>
      <c r="AO77" s="59">
        <f t="shared" si="90"/>
        <v>210.80755370263819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5.2</v>
      </c>
      <c r="BD77" s="12">
        <f>IF('Données projet'!$A$88&gt;35,BD76+BC77-BL76,IF(A77&lt;'Données projet'!$A$88,$BA$205^A77,IF(A77='Données projet'!$A$88,'Données projet'!$B$88,BD76+BC77-BL76)))</f>
        <v>261.7999999999999</v>
      </c>
      <c r="BE77" s="13">
        <f>BD77*VLOOKUP('Données projet'!$B$11,Paramètres!$A$1:$I$89,3,0)*VLOOKUP('Données projet'!$B$11,Paramètres!$A$1:$I$89,5,0)</f>
        <v>212.37215999999992</v>
      </c>
      <c r="BF77" s="13">
        <f t="shared" si="91"/>
        <v>52.453622970141602</v>
      </c>
      <c r="BG77" s="20">
        <f t="shared" si="61"/>
        <v>461.23823867299643</v>
      </c>
      <c r="BH77" s="59">
        <f t="shared" si="62"/>
        <v>754.57157200632969</v>
      </c>
      <c r="BI77" s="59">
        <f ca="1">AVERAGE(OFFSET($BH$3,0,0,'Données projet'!$E$11+1,1))-AVERAGE(OFFSET($H$3,0,0,'Données projet'!$E$11+1,1))</f>
        <v>203.21935660591021</v>
      </c>
      <c r="BJ77" s="59">
        <f t="shared" si="92"/>
        <v>180.54762778843178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0.41944898430960059</v>
      </c>
      <c r="BQ77" s="21">
        <f>EXP(-LN(2)/25)*BQ76+(1-EXP(-LN(2)/25))/(LN(2)/25)*Calculateur!BL77*Calculateur!BN77*VLOOKUP('Données projet'!$B$11,Paramètres!$A$1:$I$89,3,0)*0.475*44/12</f>
        <v>1.7135320591410101</v>
      </c>
      <c r="BR77" s="21">
        <f>EXP(-LN(2)/2)*BR76+(1-EXP(-LN(2)/2))/(LN(2)/2)*BL77*BO77*VLOOKUP('Données projet'!$B$11,Paramètres!$A$1:$I$89,3,0)*0.475*44/12</f>
        <v>2.1607123661947114E-6</v>
      </c>
      <c r="BS77" s="22">
        <f t="shared" si="63"/>
        <v>2.132983204162977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5.6899038461538431</v>
      </c>
      <c r="BY77" s="12">
        <f>IF('Données projet'!$A$114&gt;35,BY76+BX77-CG76,IF(A77&lt;'Données projet'!$A$114,$BV$205^A77,IF(A77='Données projet'!$A$114,'Données projet'!$B$114,BY76+BX77-CG76)))</f>
        <v>175.69471153846149</v>
      </c>
      <c r="BZ77" s="13">
        <f>BY77*VLOOKUP('Données projet'!$B$12,Paramètres!$A$1:$I$89,3,0)*VLOOKUP('Données projet'!$B$12,Paramètres!$A$1:$I$89,5,0)</f>
        <v>189.11778749999993</v>
      </c>
      <c r="CA77" s="13">
        <f t="shared" si="93"/>
        <v>47.344855394007666</v>
      </c>
      <c r="CB77" s="20">
        <f t="shared" si="64"/>
        <v>411.83910304039659</v>
      </c>
      <c r="CC77" s="59">
        <f t="shared" si="65"/>
        <v>705.17243637372985</v>
      </c>
      <c r="CD77" s="59">
        <f ca="1">AVERAGE(OFFSET($CC$3,0,0,'Données projet'!$E$12+1,1))-AVERAGE(OFFSET($H$3,0,0,'Données projet'!$E$12+1,1))</f>
        <v>211.18501783767226</v>
      </c>
      <c r="CE77" s="59">
        <f t="shared" si="94"/>
        <v>147.98306963466246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5.6899038461538431</v>
      </c>
      <c r="CT77" s="12">
        <f>IF('Données projet'!$A$140&gt;35,CT76+CS77-DB76,IF(A77&lt;'Données projet'!$A$140,$CQ$205^A77,IF(A77='Données projet'!$A$140,'Données projet'!$B$140,CT76+CS77-DB76)))</f>
        <v>175.69471153846149</v>
      </c>
      <c r="CU77" s="17">
        <f>CT77*VLOOKUP('Données projet'!$B$13,Paramètres!$A$1:$I$89,3,0)*VLOOKUP('Données projet'!$B$13,Paramètres!$A$1:$I$89,5,0)</f>
        <v>189.11778749999993</v>
      </c>
      <c r="CV77" s="13">
        <f t="shared" si="95"/>
        <v>47.344855394007666</v>
      </c>
      <c r="CW77" s="20">
        <f t="shared" si="67"/>
        <v>411.83910304039659</v>
      </c>
      <c r="CX77" s="59">
        <f t="shared" si="68"/>
        <v>705.17243637372985</v>
      </c>
      <c r="CY77" s="59">
        <f ca="1">AVERAGE(OFFSET($CX$3,0,0,'Données projet'!$E$13+1,1))-AVERAGE(OFFSET($H$3,0,0,'Données projet'!$E$13+1,1))</f>
        <v>211.18501783767226</v>
      </c>
      <c r="CZ77" s="59">
        <f t="shared" si="96"/>
        <v>147.98306963466246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0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-2.2737367544323206E-13</v>
      </c>
      <c r="O78" s="13">
        <f>N78*VLOOKUP('Données projet'!$B$9,Paramètres!$A$1:$I$89,3,0)*VLOOKUP('Données projet'!$B$9,Paramètres!$A$1:$I$89,5,0)</f>
        <v>-1.3596945791505279E-13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182.25704762953387</v>
      </c>
      <c r="T78" s="59">
        <f t="shared" si="88"/>
        <v>265.61788177751134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2.0496752954049842</v>
      </c>
      <c r="AA78" s="21">
        <f>EXP(-LN(2)/25)*AA77+(1-EXP(-LN(2)/25))/(LN(2)/25)*Calculateur!V78*Calculateur!X78*VLOOKUP('Données projet'!$B$9,Paramètres!$A$1:$I$89,3,0)*0.475*44/12</f>
        <v>4.9192498925366905</v>
      </c>
      <c r="AB78" s="21">
        <f>EXP(-LN(2)/2)*AB77+(1-EXP(-LN(2)/2))/(LN(2)/2)*V78*Y78*VLOOKUP('Données projet'!$B$9,Paramètres!$A$1:$I$89,3,0)*0.475*44/12</f>
        <v>4.9731626615038934E-7</v>
      </c>
      <c r="AC78" s="22">
        <f t="shared" si="57"/>
        <v>6.9689256852579415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7.8425925925925934</v>
      </c>
      <c r="AI78" s="13">
        <f>IF('Données projet'!$A$62&gt;35,AI77+AH78-AQ77,IF(A78&lt;'Données projet'!$A$62,$AF$205^A78,IF(A78='Données projet'!$A$62,'Données projet'!$B$62,AI77+AH78-AQ77)))</f>
        <v>234.79985754985751</v>
      </c>
      <c r="AJ78" s="13">
        <f>AI78*VLOOKUP('Données projet'!$B$10,Paramètres!$A$1:$I$89,3,0)*VLOOKUP('Données projet'!$B$10,Paramètres!$A$1:$I$89,5,0)</f>
        <v>238.08705555555554</v>
      </c>
      <c r="AK78" s="13">
        <f t="shared" si="89"/>
        <v>58.027759670447047</v>
      </c>
      <c r="AL78" s="20">
        <f t="shared" si="58"/>
        <v>515.73330318528781</v>
      </c>
      <c r="AM78" s="59">
        <f t="shared" si="59"/>
        <v>809.06663651862118</v>
      </c>
      <c r="AN78" s="59">
        <f ca="1">AVERAGE(OFFSET($AM$3,0,0,'Données projet'!$E$10+1,1))-AVERAGE(OFFSET($H$3,0,0,'Données projet'!$E$10+1,1))</f>
        <v>263.15518481854753</v>
      </c>
      <c r="AO78" s="59">
        <f t="shared" si="90"/>
        <v>210.80755370263819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5.2</v>
      </c>
      <c r="BD78" s="12">
        <f>IF('Données projet'!$A$88&gt;35,BD77+BC78-BL77,IF(A78&lt;'Données projet'!$A$88,$BA$205^A78,IF(A78='Données projet'!$A$88,'Données projet'!$B$88,BD77+BC78-BL77)))</f>
        <v>266.99999999999989</v>
      </c>
      <c r="BE78" s="13">
        <f>BD78*VLOOKUP('Données projet'!$B$11,Paramètres!$A$1:$I$89,3,0)*VLOOKUP('Données projet'!$B$11,Paramètres!$A$1:$I$89,5,0)</f>
        <v>216.59039999999993</v>
      </c>
      <c r="BF78" s="13">
        <f t="shared" si="91"/>
        <v>53.373153688190953</v>
      </c>
      <c r="BG78" s="20">
        <f t="shared" si="61"/>
        <v>470.18652267359909</v>
      </c>
      <c r="BH78" s="59">
        <f t="shared" si="62"/>
        <v>763.5198560069324</v>
      </c>
      <c r="BI78" s="59">
        <f ca="1">AVERAGE(OFFSET($BH$3,0,0,'Données projet'!$E$11+1,1))-AVERAGE(OFFSET($H$3,0,0,'Données projet'!$E$11+1,1))</f>
        <v>203.21935660591021</v>
      </c>
      <c r="BJ78" s="59">
        <f t="shared" si="92"/>
        <v>180.54762778843178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0.4112238455659078</v>
      </c>
      <c r="BQ78" s="21">
        <f>EXP(-LN(2)/25)*BQ77+(1-EXP(-LN(2)/25))/(LN(2)/25)*Calculateur!BL78*Calculateur!BN78*VLOOKUP('Données projet'!$B$11,Paramètres!$A$1:$I$89,3,0)*0.475*44/12</f>
        <v>1.6666754348730646</v>
      </c>
      <c r="BR78" s="21">
        <f>EXP(-LN(2)/2)*BR77+(1-EXP(-LN(2)/2))/(LN(2)/2)*BL78*BO78*VLOOKUP('Données projet'!$B$11,Paramètres!$A$1:$I$89,3,0)*0.475*44/12</f>
        <v>1.5278543663299111E-6</v>
      </c>
      <c r="BS78" s="22">
        <f t="shared" si="63"/>
        <v>2.0779008082933386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181.38461538461536</v>
      </c>
      <c r="BW78" s="12">
        <f>VLOOKUP(A78,'Données projet'!$A$113:$I$133,9,0)</f>
        <v>5.6899038461538431</v>
      </c>
      <c r="BX78" s="12">
        <f t="array" ref="BX78">INDEX(BW:BW,MIN(IF(ISNUMBER(BW78:BW274),ROW(BW78:BW274),"")))</f>
        <v>5.6899038461538431</v>
      </c>
      <c r="BY78" s="12">
        <f>IF('Données projet'!$A$114&gt;35,BY77+BX78-CG77,IF(A78&lt;'Données projet'!$A$114,$BV$205^A78,IF(A78='Données projet'!$A$114,'Données projet'!$B$114,BY77+BX78-CG77)))</f>
        <v>181.38461538461533</v>
      </c>
      <c r="BZ78" s="13">
        <f>BY78*VLOOKUP('Données projet'!$B$12,Paramètres!$A$1:$I$89,3,0)*VLOOKUP('Données projet'!$B$12,Paramètres!$A$1:$I$89,5,0)</f>
        <v>195.24239999999992</v>
      </c>
      <c r="CA78" s="13">
        <f t="shared" si="93"/>
        <v>48.697130705157342</v>
      </c>
      <c r="CB78" s="20">
        <f t="shared" si="64"/>
        <v>424.86134931148223</v>
      </c>
      <c r="CC78" s="59">
        <f t="shared" si="65"/>
        <v>718.19468264481554</v>
      </c>
      <c r="CD78" s="59">
        <f ca="1">AVERAGE(OFFSET($CC$3,0,0,'Données projet'!$E$12+1,1))-AVERAGE(OFFSET($H$3,0,0,'Données projet'!$E$12+1,1))</f>
        <v>211.18501783767226</v>
      </c>
      <c r="CE78" s="59">
        <f t="shared" si="94"/>
        <v>147.98306963466246</v>
      </c>
      <c r="CF78" s="15">
        <f>IF(ISNA(VLOOKUP(A78,'Données projet'!$A$113:$I$133,3,0)),0,VLOOKUP(A78,'Données projet'!$A$113:$I$133,3,0))</f>
        <v>5</v>
      </c>
      <c r="CG78" s="15">
        <f>IF(ISNA(VLOOKUP(A78,'Données projet'!$A$113:$I$133,4,0)),0,VLOOKUP(A78,'Données projet'!$A$113:$I$133,4,0))</f>
        <v>30.916666666666664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181.38461538461536</v>
      </c>
      <c r="CR78" s="12">
        <f>VLOOKUP(A78,'Données projet'!$A$139:$I$159,9,0)</f>
        <v>5.6899038461538431</v>
      </c>
      <c r="CS78" s="12">
        <f t="array" ref="CS78">INDEX(CR:CR,MIN(IF(ISNUMBER(CR78:CR274),ROW(CR78:CR274),"")))</f>
        <v>5.6899038461538431</v>
      </c>
      <c r="CT78" s="12">
        <f>IF('Données projet'!$A$140&gt;35,CT77+CS78-DB77,IF(A78&lt;'Données projet'!$A$140,$CQ$205^A78,IF(A78='Données projet'!$A$140,'Données projet'!$B$140,CT77+CS78-DB77)))</f>
        <v>181.38461538461533</v>
      </c>
      <c r="CU78" s="17">
        <f>CT78*VLOOKUP('Données projet'!$B$13,Paramètres!$A$1:$I$89,3,0)*VLOOKUP('Données projet'!$B$13,Paramètres!$A$1:$I$89,5,0)</f>
        <v>195.24239999999992</v>
      </c>
      <c r="CV78" s="13">
        <f t="shared" si="95"/>
        <v>48.697130705157342</v>
      </c>
      <c r="CW78" s="20">
        <f t="shared" si="67"/>
        <v>424.86134931148223</v>
      </c>
      <c r="CX78" s="59">
        <f t="shared" si="68"/>
        <v>718.19468264481554</v>
      </c>
      <c r="CY78" s="59">
        <f ca="1">AVERAGE(OFFSET($CX$3,0,0,'Données projet'!$E$13+1,1))-AVERAGE(OFFSET($H$3,0,0,'Données projet'!$E$13+1,1))</f>
        <v>211.18501783767226</v>
      </c>
      <c r="CZ78" s="59">
        <f t="shared" si="96"/>
        <v>147.98306963466246</v>
      </c>
      <c r="DA78" s="15">
        <f>IF(ISNA(VLOOKUP(A78,'Données projet'!$A$139:$I$159,3,0)),0,VLOOKUP(A78,'Données projet'!$A$139:$I$159,3,0))</f>
        <v>5</v>
      </c>
      <c r="DB78" s="15">
        <f>IF(ISNA(VLOOKUP(A78,'Données projet'!$A$139:$I$159,4,0)),0,VLOOKUP(A78,'Données projet'!$A$139:$I$159,4,0))</f>
        <v>30.916666666666664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0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-2.2737367544323206E-13</v>
      </c>
      <c r="O79" s="13">
        <f>N79*VLOOKUP('Données projet'!$B$9,Paramètres!$A$1:$I$89,3,0)*VLOOKUP('Données projet'!$B$9,Paramètres!$A$1:$I$89,5,0)</f>
        <v>-1.3596945791505279E-13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182.25704762953387</v>
      </c>
      <c r="T79" s="59">
        <f t="shared" si="88"/>
        <v>265.61788177751134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2.009482413040578</v>
      </c>
      <c r="AA79" s="21">
        <f>EXP(-LN(2)/25)*AA78+(1-EXP(-LN(2)/25))/(LN(2)/25)*Calculateur!V79*Calculateur!X79*VLOOKUP('Données projet'!$B$9,Paramètres!$A$1:$I$89,3,0)*0.475*44/12</f>
        <v>4.7847327455331659</v>
      </c>
      <c r="AB79" s="21">
        <f>EXP(-LN(2)/2)*AB78+(1-EXP(-LN(2)/2))/(LN(2)/2)*V79*Y79*VLOOKUP('Données projet'!$B$9,Paramètres!$A$1:$I$89,3,0)*0.475*44/12</f>
        <v>3.5165570418931419E-7</v>
      </c>
      <c r="AC79" s="22">
        <f t="shared" si="57"/>
        <v>6.7942155102294484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7.8425925925925934</v>
      </c>
      <c r="AI79" s="13">
        <f>IF('Données projet'!$A$62&gt;35,AI78+AH79-AQ78,IF(A79&lt;'Données projet'!$A$62,$AF$205^A79,IF(A79='Données projet'!$A$62,'Données projet'!$B$62,AI78+AH79-AQ78)))</f>
        <v>242.64245014245009</v>
      </c>
      <c r="AJ79" s="13">
        <f>AI79*VLOOKUP('Données projet'!$B$10,Paramètres!$A$1:$I$89,3,0)*VLOOKUP('Données projet'!$B$10,Paramètres!$A$1:$I$89,5,0)</f>
        <v>246.0394444444444</v>
      </c>
      <c r="AK79" s="13">
        <f t="shared" si="89"/>
        <v>59.737060883292756</v>
      </c>
      <c r="AL79" s="20">
        <f t="shared" si="58"/>
        <v>532.56074677914216</v>
      </c>
      <c r="AM79" s="59">
        <f t="shared" si="59"/>
        <v>825.89408011247542</v>
      </c>
      <c r="AN79" s="59">
        <f ca="1">AVERAGE(OFFSET($AM$3,0,0,'Données projet'!$E$10+1,1))-AVERAGE(OFFSET($H$3,0,0,'Données projet'!$E$10+1,1))</f>
        <v>263.15518481854753</v>
      </c>
      <c r="AO79" s="59">
        <f t="shared" si="90"/>
        <v>210.80755370263819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5.2</v>
      </c>
      <c r="BD79" s="12">
        <f>IF('Données projet'!$A$88&gt;35,BD78+BC79-BL78,IF(A79&lt;'Données projet'!$A$88,$BA$205^A79,IF(A79='Données projet'!$A$88,'Données projet'!$B$88,BD78+BC79-BL78)))</f>
        <v>272.19999999999987</v>
      </c>
      <c r="BE79" s="13">
        <f>BD79*VLOOKUP('Données projet'!$B$11,Paramètres!$A$1:$I$89,3,0)*VLOOKUP('Données projet'!$B$11,Paramètres!$A$1:$I$89,5,0)</f>
        <v>220.80863999999988</v>
      </c>
      <c r="BF79" s="13">
        <f t="shared" si="91"/>
        <v>54.290602082955985</v>
      </c>
      <c r="BG79" s="20">
        <f t="shared" si="61"/>
        <v>479.13117996114812</v>
      </c>
      <c r="BH79" s="59">
        <f t="shared" si="62"/>
        <v>772.46451329448143</v>
      </c>
      <c r="BI79" s="59">
        <f ca="1">AVERAGE(OFFSET($BH$3,0,0,'Données projet'!$E$11+1,1))-AVERAGE(OFFSET($H$3,0,0,'Données projet'!$E$11+1,1))</f>
        <v>203.21935660591021</v>
      </c>
      <c r="BJ79" s="59">
        <f t="shared" si="92"/>
        <v>180.54762778843178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0.40315999677613956</v>
      </c>
      <c r="BQ79" s="21">
        <f>EXP(-LN(2)/25)*BQ78+(1-EXP(-LN(2)/25))/(LN(2)/25)*Calculateur!BL79*Calculateur!BN79*VLOOKUP('Données projet'!$B$11,Paramètres!$A$1:$I$89,3,0)*0.475*44/12</f>
        <v>1.6211001074598088</v>
      </c>
      <c r="BR79" s="21">
        <f>EXP(-LN(2)/2)*BR78+(1-EXP(-LN(2)/2))/(LN(2)/2)*BL79*BO79*VLOOKUP('Données projet'!$B$11,Paramètres!$A$1:$I$89,3,0)*0.475*44/12</f>
        <v>1.0803561830973557E-6</v>
      </c>
      <c r="BS79" s="22">
        <f t="shared" si="63"/>
        <v>2.0242611845921314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5.5042735042735051</v>
      </c>
      <c r="BY79" s="12">
        <f>IF('Données projet'!$A$114&gt;35,BY78+BX79-CG78,IF(A79&lt;'Données projet'!$A$114,$BV$205^A79,IF(A79='Données projet'!$A$114,'Données projet'!$B$114,BY78+BX79-CG78)))</f>
        <v>155.97222222222217</v>
      </c>
      <c r="BZ79" s="13">
        <f>BY79*VLOOKUP('Données projet'!$B$12,Paramètres!$A$1:$I$89,3,0)*VLOOKUP('Données projet'!$B$12,Paramètres!$A$1:$I$89,5,0)</f>
        <v>167.88849999999994</v>
      </c>
      <c r="CA79" s="13">
        <f t="shared" si="93"/>
        <v>42.616774381895034</v>
      </c>
      <c r="CB79" s="20">
        <f t="shared" si="64"/>
        <v>366.63001954846703</v>
      </c>
      <c r="CC79" s="59">
        <f t="shared" si="65"/>
        <v>659.96335288180035</v>
      </c>
      <c r="CD79" s="59">
        <f ca="1">AVERAGE(OFFSET($CC$3,0,0,'Données projet'!$E$12+1,1))-AVERAGE(OFFSET($H$3,0,0,'Données projet'!$E$12+1,1))</f>
        <v>211.18501783767226</v>
      </c>
      <c r="CE79" s="59">
        <f t="shared" si="94"/>
        <v>147.98306963466246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5.5042735042735051</v>
      </c>
      <c r="CT79" s="12">
        <f>IF('Données projet'!$A$140&gt;35,CT78+CS79-DB78,IF(A79&lt;'Données projet'!$A$140,$CQ$205^A79,IF(A79='Données projet'!$A$140,'Données projet'!$B$140,CT78+CS79-DB78)))</f>
        <v>155.97222222222217</v>
      </c>
      <c r="CU79" s="17">
        <f>CT79*VLOOKUP('Données projet'!$B$13,Paramètres!$A$1:$I$89,3,0)*VLOOKUP('Données projet'!$B$13,Paramètres!$A$1:$I$89,5,0)</f>
        <v>167.88849999999994</v>
      </c>
      <c r="CV79" s="13">
        <f t="shared" si="95"/>
        <v>42.616774381895034</v>
      </c>
      <c r="CW79" s="20">
        <f t="shared" si="67"/>
        <v>366.63001954846703</v>
      </c>
      <c r="CX79" s="59">
        <f t="shared" si="68"/>
        <v>659.96335288180035</v>
      </c>
      <c r="CY79" s="59">
        <f ca="1">AVERAGE(OFFSET($CX$3,0,0,'Données projet'!$E$13+1,1))-AVERAGE(OFFSET($H$3,0,0,'Données projet'!$E$13+1,1))</f>
        <v>211.18501783767226</v>
      </c>
      <c r="CZ79" s="59">
        <f t="shared" si="96"/>
        <v>147.98306963466246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0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-2.2737367544323206E-13</v>
      </c>
      <c r="O80" s="13">
        <f>N80*VLOOKUP('Données projet'!$B$9,Paramètres!$A$1:$I$89,3,0)*VLOOKUP('Données projet'!$B$9,Paramètres!$A$1:$I$89,5,0)</f>
        <v>-1.3596945791505279E-13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182.25704762953387</v>
      </c>
      <c r="T80" s="59">
        <f t="shared" si="88"/>
        <v>265.61788177751134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1.9700776885841</v>
      </c>
      <c r="AA80" s="21">
        <f>EXP(-LN(2)/25)*AA79+(1-EXP(-LN(2)/25))/(LN(2)/25)*Calculateur!V80*Calculateur!X80*VLOOKUP('Données projet'!$B$9,Paramètres!$A$1:$I$89,3,0)*0.475*44/12</f>
        <v>4.6538939769884022</v>
      </c>
      <c r="AB80" s="21">
        <f>EXP(-LN(2)/2)*AB79+(1-EXP(-LN(2)/2))/(LN(2)/2)*V80*Y80*VLOOKUP('Données projet'!$B$9,Paramètres!$A$1:$I$89,3,0)*0.475*44/12</f>
        <v>2.4865813307519467E-7</v>
      </c>
      <c r="AC80" s="22">
        <f t="shared" si="57"/>
        <v>6.6239719142306352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7.8425925925925934</v>
      </c>
      <c r="AI80" s="13">
        <f>IF('Données projet'!$A$62&gt;35,AI79+AH80-AQ79,IF(A80&lt;'Données projet'!$A$62,$AF$205^A80,IF(A80='Données projet'!$A$62,'Données projet'!$B$62,AI79+AH80-AQ79)))</f>
        <v>250.48504273504267</v>
      </c>
      <c r="AJ80" s="13">
        <f>AI80*VLOOKUP('Données projet'!$B$10,Paramètres!$A$1:$I$89,3,0)*VLOOKUP('Données projet'!$B$10,Paramètres!$A$1:$I$89,5,0)</f>
        <v>253.99183333333329</v>
      </c>
      <c r="AK80" s="13">
        <f t="shared" si="89"/>
        <v>61.439942205271514</v>
      </c>
      <c r="AL80" s="20">
        <f t="shared" si="58"/>
        <v>549.37700906307009</v>
      </c>
      <c r="AM80" s="59">
        <f t="shared" si="59"/>
        <v>842.71034239640335</v>
      </c>
      <c r="AN80" s="59">
        <f ca="1">AVERAGE(OFFSET($AM$3,0,0,'Données projet'!$E$10+1,1))-AVERAGE(OFFSET($H$3,0,0,'Données projet'!$E$10+1,1))</f>
        <v>263.15518481854753</v>
      </c>
      <c r="AO80" s="59">
        <f t="shared" si="90"/>
        <v>210.80755370263819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5.2</v>
      </c>
      <c r="BD80" s="12">
        <f>IF('Données projet'!$A$88&gt;35,BD79+BC80-BL79,IF(A80&lt;'Données projet'!$A$88,$BA$205^A80,IF(A80='Données projet'!$A$88,'Données projet'!$B$88,BD79+BC80-BL79)))</f>
        <v>277.39999999999986</v>
      </c>
      <c r="BE80" s="13">
        <f>BD80*VLOOKUP('Données projet'!$B$11,Paramètres!$A$1:$I$89,3,0)*VLOOKUP('Données projet'!$B$11,Paramètres!$A$1:$I$89,5,0)</f>
        <v>225.02687999999989</v>
      </c>
      <c r="BF80" s="13">
        <f t="shared" si="91"/>
        <v>55.206012520789535</v>
      </c>
      <c r="BG80" s="20">
        <f t="shared" si="61"/>
        <v>488.07228780704162</v>
      </c>
      <c r="BH80" s="59">
        <f t="shared" si="62"/>
        <v>781.40562114037493</v>
      </c>
      <c r="BI80" s="59">
        <f ca="1">AVERAGE(OFFSET($BH$3,0,0,'Données projet'!$E$11+1,1))-AVERAGE(OFFSET($H$3,0,0,'Données projet'!$E$11+1,1))</f>
        <v>203.21935660591021</v>
      </c>
      <c r="BJ80" s="59">
        <f t="shared" si="92"/>
        <v>180.54762778843178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0.39525427514267658</v>
      </c>
      <c r="BQ80" s="21">
        <f>EXP(-LN(2)/25)*BQ79+(1-EXP(-LN(2)/25))/(LN(2)/25)*Calculateur!BL80*Calculateur!BN80*VLOOKUP('Données projet'!$B$11,Paramètres!$A$1:$I$89,3,0)*0.475*44/12</f>
        <v>1.5767710397713708</v>
      </c>
      <c r="BR80" s="21">
        <f>EXP(-LN(2)/2)*BR79+(1-EXP(-LN(2)/2))/(LN(2)/2)*BL80*BO80*VLOOKUP('Données projet'!$B$11,Paramètres!$A$1:$I$89,3,0)*0.475*44/12</f>
        <v>7.6392718316495557E-7</v>
      </c>
      <c r="BS80" s="22">
        <f t="shared" si="63"/>
        <v>1.9720260788412305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5.5042735042735051</v>
      </c>
      <c r="BY80" s="12">
        <f>IF('Données projet'!$A$114&gt;35,BY79+BX80-CG79,IF(A80&lt;'Données projet'!$A$114,$BV$205^A80,IF(A80='Données projet'!$A$114,'Données projet'!$B$114,BY79+BX80-CG79)))</f>
        <v>161.47649572649567</v>
      </c>
      <c r="BZ80" s="13">
        <f>BY80*VLOOKUP('Données projet'!$B$12,Paramètres!$A$1:$I$89,3,0)*VLOOKUP('Données projet'!$B$12,Paramètres!$A$1:$I$89,5,0)</f>
        <v>173.81329999999994</v>
      </c>
      <c r="CA80" s="13">
        <f t="shared" si="93"/>
        <v>43.94297017087338</v>
      </c>
      <c r="CB80" s="20">
        <f t="shared" si="64"/>
        <v>379.25883721427107</v>
      </c>
      <c r="CC80" s="59">
        <f t="shared" si="65"/>
        <v>672.59217054760438</v>
      </c>
      <c r="CD80" s="59">
        <f ca="1">AVERAGE(OFFSET($CC$3,0,0,'Données projet'!$E$12+1,1))-AVERAGE(OFFSET($H$3,0,0,'Données projet'!$E$12+1,1))</f>
        <v>211.18501783767226</v>
      </c>
      <c r="CE80" s="59">
        <f t="shared" si="94"/>
        <v>147.98306963466246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5.5042735042735051</v>
      </c>
      <c r="CT80" s="12">
        <f>IF('Données projet'!$A$140&gt;35,CT79+CS80-DB79,IF(A80&lt;'Données projet'!$A$140,$CQ$205^A80,IF(A80='Données projet'!$A$140,'Données projet'!$B$140,CT79+CS80-DB79)))</f>
        <v>161.47649572649567</v>
      </c>
      <c r="CU80" s="17">
        <f>CT80*VLOOKUP('Données projet'!$B$13,Paramètres!$A$1:$I$89,3,0)*VLOOKUP('Données projet'!$B$13,Paramètres!$A$1:$I$89,5,0)</f>
        <v>173.81329999999994</v>
      </c>
      <c r="CV80" s="13">
        <f t="shared" si="95"/>
        <v>43.94297017087338</v>
      </c>
      <c r="CW80" s="20">
        <f t="shared" si="67"/>
        <v>379.25883721427107</v>
      </c>
      <c r="CX80" s="59">
        <f t="shared" si="68"/>
        <v>672.59217054760438</v>
      </c>
      <c r="CY80" s="59">
        <f ca="1">AVERAGE(OFFSET($CX$3,0,0,'Données projet'!$E$13+1,1))-AVERAGE(OFFSET($H$3,0,0,'Données projet'!$E$13+1,1))</f>
        <v>211.18501783767226</v>
      </c>
      <c r="CZ80" s="59">
        <f t="shared" si="96"/>
        <v>147.98306963466246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0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-2.2737367544323206E-13</v>
      </c>
      <c r="O81" s="13">
        <f>N81*VLOOKUP('Données projet'!$B$9,Paramètres!$A$1:$I$89,3,0)*VLOOKUP('Données projet'!$B$9,Paramètres!$A$1:$I$89,5,0)</f>
        <v>-1.3596945791505279E-13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182.25704762953387</v>
      </c>
      <c r="T81" s="59">
        <f t="shared" si="88"/>
        <v>265.61788177751134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1.9314456667397049</v>
      </c>
      <c r="AA81" s="21">
        <f>EXP(-LN(2)/25)*AA80+(1-EXP(-LN(2)/25))/(LN(2)/25)*Calculateur!V81*Calculateur!X81*VLOOKUP('Données projet'!$B$9,Paramètres!$A$1:$I$89,3,0)*0.475*44/12</f>
        <v>4.5266330014500067</v>
      </c>
      <c r="AB81" s="21">
        <f>EXP(-LN(2)/2)*AB80+(1-EXP(-LN(2)/2))/(LN(2)/2)*V81*Y81*VLOOKUP('Données projet'!$B$9,Paramètres!$A$1:$I$89,3,0)*0.475*44/12</f>
        <v>1.7582785209465709E-7</v>
      </c>
      <c r="AC81" s="22">
        <f t="shared" si="57"/>
        <v>6.4580788440175638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7.8425925925925934</v>
      </c>
      <c r="AI81" s="13">
        <f>IF('Données projet'!$A$62&gt;35,AI80+AH81-AQ80,IF(A81&lt;'Données projet'!$A$62,$AF$205^A81,IF(A81='Données projet'!$A$62,'Données projet'!$B$62,AI80+AH81-AQ80)))</f>
        <v>258.32763532763528</v>
      </c>
      <c r="AJ81" s="13">
        <f>AI81*VLOOKUP('Données projet'!$B$10,Paramètres!$A$1:$I$89,3,0)*VLOOKUP('Données projet'!$B$10,Paramètres!$A$1:$I$89,5,0)</f>
        <v>261.94422222222221</v>
      </c>
      <c r="AK81" s="13">
        <f t="shared" si="89"/>
        <v>63.136627703535808</v>
      </c>
      <c r="AL81" s="20">
        <f t="shared" si="58"/>
        <v>566.18248028736184</v>
      </c>
      <c r="AM81" s="59">
        <f t="shared" si="59"/>
        <v>859.5158136206951</v>
      </c>
      <c r="AN81" s="59">
        <f ca="1">AVERAGE(OFFSET($AM$3,0,0,'Données projet'!$E$10+1,1))-AVERAGE(OFFSET($H$3,0,0,'Données projet'!$E$10+1,1))</f>
        <v>263.15518481854753</v>
      </c>
      <c r="AO81" s="59">
        <f t="shared" si="90"/>
        <v>210.80755370263819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5.2</v>
      </c>
      <c r="BD81" s="12">
        <f>IF('Données projet'!$A$88&gt;35,BD80+BC81-BL80,IF(A81&lt;'Données projet'!$A$88,$BA$205^A81,IF(A81='Données projet'!$A$88,'Données projet'!$B$88,BD80+BC81-BL80)))</f>
        <v>282.59999999999985</v>
      </c>
      <c r="BE81" s="13">
        <f>BD81*VLOOKUP('Données projet'!$B$11,Paramètres!$A$1:$I$89,3,0)*VLOOKUP('Données projet'!$B$11,Paramètres!$A$1:$I$89,5,0)</f>
        <v>229.24511999999993</v>
      </c>
      <c r="BF81" s="13">
        <f t="shared" si="91"/>
        <v>56.119427609510183</v>
      </c>
      <c r="BG81" s="20">
        <f t="shared" si="61"/>
        <v>497.00992041989667</v>
      </c>
      <c r="BH81" s="59">
        <f t="shared" si="62"/>
        <v>790.34325375322999</v>
      </c>
      <c r="BI81" s="59">
        <f ca="1">AVERAGE(OFFSET($BH$3,0,0,'Données projet'!$E$11+1,1))-AVERAGE(OFFSET($H$3,0,0,'Données projet'!$E$11+1,1))</f>
        <v>203.21935660591021</v>
      </c>
      <c r="BJ81" s="59">
        <f t="shared" si="92"/>
        <v>180.54762778843178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0.3875035798884317</v>
      </c>
      <c r="BQ81" s="21">
        <f>EXP(-LN(2)/25)*BQ80+(1-EXP(-LN(2)/25))/(LN(2)/25)*Calculateur!BL81*Calculateur!BN81*VLOOKUP('Données projet'!$B$11,Paramètres!$A$1:$I$89,3,0)*0.475*44/12</f>
        <v>1.5336541527700374</v>
      </c>
      <c r="BR81" s="21">
        <f>EXP(-LN(2)/2)*BR80+(1-EXP(-LN(2)/2))/(LN(2)/2)*BL81*BO81*VLOOKUP('Données projet'!$B$11,Paramètres!$A$1:$I$89,3,0)*0.475*44/12</f>
        <v>5.4017809154867784E-7</v>
      </c>
      <c r="BS81" s="22">
        <f t="shared" si="63"/>
        <v>1.9211582728365606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5.5042735042735051</v>
      </c>
      <c r="BY81" s="12">
        <f>IF('Données projet'!$A$114&gt;35,BY80+BX81-CG80,IF(A81&lt;'Données projet'!$A$114,$BV$205^A81,IF(A81='Données projet'!$A$114,'Données projet'!$B$114,BY80+BX81-CG80)))</f>
        <v>166.98076923076917</v>
      </c>
      <c r="BZ81" s="13">
        <f>BY81*VLOOKUP('Données projet'!$B$12,Paramètres!$A$1:$I$89,3,0)*VLOOKUP('Données projet'!$B$12,Paramètres!$A$1:$I$89,5,0)</f>
        <v>179.73809999999995</v>
      </c>
      <c r="CA81" s="13">
        <f t="shared" si="93"/>
        <v>45.263913304925367</v>
      </c>
      <c r="CB81" s="20">
        <f t="shared" si="64"/>
        <v>391.87850650607828</v>
      </c>
      <c r="CC81" s="59">
        <f t="shared" si="65"/>
        <v>685.2118398394116</v>
      </c>
      <c r="CD81" s="59">
        <f ca="1">AVERAGE(OFFSET($CC$3,0,0,'Données projet'!$E$12+1,1))-AVERAGE(OFFSET($H$3,0,0,'Données projet'!$E$12+1,1))</f>
        <v>211.18501783767226</v>
      </c>
      <c r="CE81" s="59">
        <f t="shared" si="94"/>
        <v>147.98306963466246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5.5042735042735051</v>
      </c>
      <c r="CT81" s="12">
        <f>IF('Données projet'!$A$140&gt;35,CT80+CS81-DB80,IF(A81&lt;'Données projet'!$A$140,$CQ$205^A81,IF(A81='Données projet'!$A$140,'Données projet'!$B$140,CT80+CS81-DB80)))</f>
        <v>166.98076923076917</v>
      </c>
      <c r="CU81" s="17">
        <f>CT81*VLOOKUP('Données projet'!$B$13,Paramètres!$A$1:$I$89,3,0)*VLOOKUP('Données projet'!$B$13,Paramètres!$A$1:$I$89,5,0)</f>
        <v>179.73809999999995</v>
      </c>
      <c r="CV81" s="13">
        <f t="shared" si="95"/>
        <v>45.263913304925367</v>
      </c>
      <c r="CW81" s="20">
        <f t="shared" si="67"/>
        <v>391.87850650607828</v>
      </c>
      <c r="CX81" s="59">
        <f t="shared" si="68"/>
        <v>685.2118398394116</v>
      </c>
      <c r="CY81" s="59">
        <f ca="1">AVERAGE(OFFSET($CX$3,0,0,'Données projet'!$E$13+1,1))-AVERAGE(OFFSET($H$3,0,0,'Données projet'!$E$13+1,1))</f>
        <v>211.18501783767226</v>
      </c>
      <c r="CZ81" s="59">
        <f t="shared" si="96"/>
        <v>147.98306963466246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0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-2.2737367544323206E-13</v>
      </c>
      <c r="O82" s="13">
        <f>N82*VLOOKUP('Données projet'!$B$9,Paramètres!$A$1:$I$89,3,0)*VLOOKUP('Données projet'!$B$9,Paramètres!$A$1:$I$89,5,0)</f>
        <v>-1.3596945791505279E-13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182.25704762953387</v>
      </c>
      <c r="T82" s="59">
        <f t="shared" si="88"/>
        <v>265.61788177751134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1.8935711952804717</v>
      </c>
      <c r="AA82" s="21">
        <f>EXP(-LN(2)/25)*AA81+(1-EXP(-LN(2)/25))/(LN(2)/25)*Calculateur!V82*Calculateur!X82*VLOOKUP('Données projet'!$B$9,Paramètres!$A$1:$I$89,3,0)*0.475*44/12</f>
        <v>4.4028519839800726</v>
      </c>
      <c r="AB82" s="21">
        <f>EXP(-LN(2)/2)*AB81+(1-EXP(-LN(2)/2))/(LN(2)/2)*V82*Y82*VLOOKUP('Données projet'!$B$9,Paramètres!$A$1:$I$89,3,0)*0.475*44/12</f>
        <v>1.2432906653759733E-7</v>
      </c>
      <c r="AC82" s="22">
        <f t="shared" si="57"/>
        <v>6.2964233035896102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7.8425925925925934</v>
      </c>
      <c r="AI82" s="13">
        <f>IF('Données projet'!$A$62&gt;35,AI81+AH82-AQ81,IF(A82&lt;'Données projet'!$A$62,$AF$205^A82,IF(A82='Données projet'!$A$62,'Données projet'!$B$62,AI81+AH82-AQ81)))</f>
        <v>266.17022792022789</v>
      </c>
      <c r="AJ82" s="13">
        <f>AI82*VLOOKUP('Données projet'!$B$10,Paramètres!$A$1:$I$89,3,0)*VLOOKUP('Données projet'!$B$10,Paramètres!$A$1:$I$89,5,0)</f>
        <v>269.8966111111111</v>
      </c>
      <c r="AK82" s="13">
        <f t="shared" si="89"/>
        <v>64.827327067191803</v>
      </c>
      <c r="AL82" s="20">
        <f t="shared" si="58"/>
        <v>582.97752566054419</v>
      </c>
      <c r="AM82" s="59">
        <f t="shared" si="59"/>
        <v>876.31085899387745</v>
      </c>
      <c r="AN82" s="59">
        <f ca="1">AVERAGE(OFFSET($AM$3,0,0,'Données projet'!$E$10+1,1))-AVERAGE(OFFSET($H$3,0,0,'Données projet'!$E$10+1,1))</f>
        <v>263.15518481854753</v>
      </c>
      <c r="AO82" s="59">
        <f t="shared" si="90"/>
        <v>210.80755370263819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5.2</v>
      </c>
      <c r="BD82" s="12">
        <f>IF('Données projet'!$A$88&gt;35,BD81+BC82-BL81,IF(A82&lt;'Données projet'!$A$88,$BA$205^A82,IF(A82='Données projet'!$A$88,'Données projet'!$B$88,BD81+BC82-BL81)))</f>
        <v>287.79999999999984</v>
      </c>
      <c r="BE82" s="13">
        <f>BD82*VLOOKUP('Données projet'!$B$11,Paramètres!$A$1:$I$89,3,0)*VLOOKUP('Données projet'!$B$11,Paramètres!$A$1:$I$89,5,0)</f>
        <v>233.46335999999988</v>
      </c>
      <c r="BF82" s="13">
        <f t="shared" si="91"/>
        <v>57.030888299157333</v>
      </c>
      <c r="BG82" s="20">
        <f t="shared" si="61"/>
        <v>505.94414912103213</v>
      </c>
      <c r="BH82" s="59">
        <f t="shared" si="62"/>
        <v>799.27748245436544</v>
      </c>
      <c r="BI82" s="59">
        <f ca="1">AVERAGE(OFFSET($BH$3,0,0,'Données projet'!$E$11+1,1))-AVERAGE(OFFSET($H$3,0,0,'Données projet'!$E$11+1,1))</f>
        <v>203.21935660591021</v>
      </c>
      <c r="BJ82" s="59">
        <f t="shared" si="92"/>
        <v>180.54762778843178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0.37990487104066528</v>
      </c>
      <c r="BQ82" s="21">
        <f>EXP(-LN(2)/25)*BQ81+(1-EXP(-LN(2)/25))/(LN(2)/25)*Calculateur!BL82*Calculateur!BN82*VLOOKUP('Données projet'!$B$11,Paramètres!$A$1:$I$89,3,0)*0.475*44/12</f>
        <v>1.4917162993111741</v>
      </c>
      <c r="BR82" s="21">
        <f>EXP(-LN(2)/2)*BR81+(1-EXP(-LN(2)/2))/(LN(2)/2)*BL82*BO82*VLOOKUP('Données projet'!$B$11,Paramètres!$A$1:$I$89,3,0)*0.475*44/12</f>
        <v>3.8196359158247779E-7</v>
      </c>
      <c r="BS82" s="22">
        <f t="shared" si="63"/>
        <v>1.8716215523154311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5.5042735042735051</v>
      </c>
      <c r="BY82" s="12">
        <f>IF('Données projet'!$A$114&gt;35,BY81+BX82-CG81,IF(A82&lt;'Données projet'!$A$114,$BV$205^A82,IF(A82='Données projet'!$A$114,'Données projet'!$B$114,BY81+BX82-CG81)))</f>
        <v>172.48504273504267</v>
      </c>
      <c r="BZ82" s="13">
        <f>BY82*VLOOKUP('Données projet'!$B$12,Paramètres!$A$1:$I$89,3,0)*VLOOKUP('Données projet'!$B$12,Paramètres!$A$1:$I$89,5,0)</f>
        <v>185.66289999999992</v>
      </c>
      <c r="CA82" s="13">
        <f t="shared" si="93"/>
        <v>46.579796784838557</v>
      </c>
      <c r="CB82" s="20">
        <f t="shared" si="64"/>
        <v>404.48936356692701</v>
      </c>
      <c r="CC82" s="59">
        <f t="shared" si="65"/>
        <v>697.82269690026033</v>
      </c>
      <c r="CD82" s="59">
        <f ca="1">AVERAGE(OFFSET($CC$3,0,0,'Données projet'!$E$12+1,1))-AVERAGE(OFFSET($H$3,0,0,'Données projet'!$E$12+1,1))</f>
        <v>211.18501783767226</v>
      </c>
      <c r="CE82" s="59">
        <f t="shared" si="94"/>
        <v>147.98306963466246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5.5042735042735051</v>
      </c>
      <c r="CT82" s="12">
        <f>IF('Données projet'!$A$140&gt;35,CT81+CS82-DB81,IF(A82&lt;'Données projet'!$A$140,$CQ$205^A82,IF(A82='Données projet'!$A$140,'Données projet'!$B$140,CT81+CS82-DB81)))</f>
        <v>172.48504273504267</v>
      </c>
      <c r="CU82" s="17">
        <f>CT82*VLOOKUP('Données projet'!$B$13,Paramètres!$A$1:$I$89,3,0)*VLOOKUP('Données projet'!$B$13,Paramètres!$A$1:$I$89,5,0)</f>
        <v>185.66289999999992</v>
      </c>
      <c r="CV82" s="13">
        <f t="shared" si="95"/>
        <v>46.579796784838557</v>
      </c>
      <c r="CW82" s="20">
        <f t="shared" si="67"/>
        <v>404.48936356692701</v>
      </c>
      <c r="CX82" s="59">
        <f t="shared" si="68"/>
        <v>697.82269690026033</v>
      </c>
      <c r="CY82" s="59">
        <f ca="1">AVERAGE(OFFSET($CX$3,0,0,'Données projet'!$E$13+1,1))-AVERAGE(OFFSET($H$3,0,0,'Données projet'!$E$13+1,1))</f>
        <v>211.18501783767226</v>
      </c>
      <c r="CZ82" s="59">
        <f t="shared" si="96"/>
        <v>147.98306963466246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0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-2.2737367544323206E-13</v>
      </c>
      <c r="O83" s="13">
        <f>N83*VLOOKUP('Données projet'!$B$9,Paramètres!$A$1:$I$89,3,0)*VLOOKUP('Données projet'!$B$9,Paramètres!$A$1:$I$89,5,0)</f>
        <v>-1.3596945791505279E-13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182.25704762953387</v>
      </c>
      <c r="T83" s="59">
        <f t="shared" si="88"/>
        <v>265.61788177751134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1.8564394191054074</v>
      </c>
      <c r="AA83" s="21">
        <f>EXP(-LN(2)/25)*AA82+(1-EXP(-LN(2)/25))/(LN(2)/25)*Calculateur!V83*Calculateur!X83*VLOOKUP('Données projet'!$B$9,Paramètres!$A$1:$I$89,3,0)*0.475*44/12</f>
        <v>4.2824557649422141</v>
      </c>
      <c r="AB83" s="21">
        <f>EXP(-LN(2)/2)*AB82+(1-EXP(-LN(2)/2))/(LN(2)/2)*V83*Y83*VLOOKUP('Données projet'!$B$9,Paramètres!$A$1:$I$89,3,0)*0.475*44/12</f>
        <v>8.7913926047328547E-8</v>
      </c>
      <c r="AC83" s="22">
        <f t="shared" si="57"/>
        <v>6.1388952719615473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274.0128205128205</v>
      </c>
      <c r="AG83" s="12">
        <f>VLOOKUP(A83,'Données projet'!$A$61:$I$81,9,0)</f>
        <v>7.8425925925925934</v>
      </c>
      <c r="AH83" s="12">
        <f t="array" ref="AH83">INDEX(AG:AG,MIN(IF(ISNUMBER(AG83:AG279),ROW(AG83:AG279),"")))</f>
        <v>7.8425925925925934</v>
      </c>
      <c r="AI83" s="13">
        <f>IF('Données projet'!$A$62&gt;35,AI82+AH83-AQ82,IF(A83&lt;'Données projet'!$A$62,$AF$205^A83,IF(A83='Données projet'!$A$62,'Données projet'!$B$62,AI82+AH83-AQ82)))</f>
        <v>274.0128205128205</v>
      </c>
      <c r="AJ83" s="13">
        <f>AI83*VLOOKUP('Données projet'!$B$10,Paramètres!$A$1:$I$89,3,0)*VLOOKUP('Données projet'!$B$10,Paramètres!$A$1:$I$89,5,0)</f>
        <v>277.84899999999999</v>
      </c>
      <c r="AK83" s="13">
        <f t="shared" si="89"/>
        <v>66.512236926053788</v>
      </c>
      <c r="AL83" s="20">
        <f t="shared" si="58"/>
        <v>599.76248764621027</v>
      </c>
      <c r="AM83" s="59">
        <f t="shared" si="59"/>
        <v>893.09582097954353</v>
      </c>
      <c r="AN83" s="59">
        <f ca="1">AVERAGE(OFFSET($AM$3,0,0,'Données projet'!$E$10+1,1))-AVERAGE(OFFSET($H$3,0,0,'Données projet'!$E$10+1,1))</f>
        <v>263.15518481854753</v>
      </c>
      <c r="AO83" s="59">
        <f t="shared" si="90"/>
        <v>210.80755370263819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45.608974358974358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293</v>
      </c>
      <c r="BB83" s="12">
        <f>VLOOKUP(A83,'Données projet'!$A$87:$I$107,9,0)</f>
        <v>5.2</v>
      </c>
      <c r="BC83" s="12">
        <f t="array" ref="BC83">INDEX(BB:BB,MIN(IF(ISNUMBER(BB83:BB279),ROW(BB83:BB279),"")))</f>
        <v>5.2</v>
      </c>
      <c r="BD83" s="12">
        <f>IF('Données projet'!$A$88&gt;35,BD82+BC83-BL82,IF(A83&lt;'Données projet'!$A$88,$BA$205^A83,IF(A83='Données projet'!$A$88,'Données projet'!$B$88,BD82+BC83-BL82)))</f>
        <v>292.99999999999983</v>
      </c>
      <c r="BE83" s="13">
        <f>BD83*VLOOKUP('Données projet'!$B$11,Paramètres!$A$1:$I$89,3,0)*VLOOKUP('Données projet'!$B$11,Paramètres!$A$1:$I$89,5,0)</f>
        <v>237.68159999999989</v>
      </c>
      <c r="BF83" s="13">
        <f t="shared" si="91"/>
        <v>57.940433975259054</v>
      </c>
      <c r="BG83" s="20">
        <f t="shared" si="61"/>
        <v>514.87504250690938</v>
      </c>
      <c r="BH83" s="59">
        <f t="shared" si="62"/>
        <v>808.20837584024275</v>
      </c>
      <c r="BI83" s="59">
        <f ca="1">AVERAGE(OFFSET($BH$3,0,0,'Données projet'!$E$11+1,1))-AVERAGE(OFFSET($H$3,0,0,'Données projet'!$E$11+1,1))</f>
        <v>203.21935660591021</v>
      </c>
      <c r="BJ83" s="59">
        <f t="shared" si="92"/>
        <v>180.54762778843178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33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0.37245516823864883</v>
      </c>
      <c r="BQ83" s="21">
        <f>EXP(-LN(2)/25)*BQ82+(1-EXP(-LN(2)/25))/(LN(2)/25)*Calculateur!BL83*Calculateur!BN83*VLOOKUP('Données projet'!$B$11,Paramètres!$A$1:$I$89,3,0)*0.475*44/12</f>
        <v>1.4509252386605593</v>
      </c>
      <c r="BR83" s="21">
        <f>EXP(-LN(2)/2)*BR82+(1-EXP(-LN(2)/2))/(LN(2)/2)*BL83*BO83*VLOOKUP('Données projet'!$B$11,Paramètres!$A$1:$I$89,3,0)*0.475*44/12</f>
        <v>2.7008904577433892E-7</v>
      </c>
      <c r="BS83" s="22">
        <f t="shared" si="63"/>
        <v>1.8233806769882539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5.5042735042735051</v>
      </c>
      <c r="BY83" s="12">
        <f>IF('Données projet'!$A$114&gt;35,BY82+BX83-CG82,IF(A83&lt;'Données projet'!$A$114,$BV$205^A83,IF(A83='Données projet'!$A$114,'Données projet'!$B$114,BY82+BX83-CG82)))</f>
        <v>177.98931623931617</v>
      </c>
      <c r="BZ83" s="13">
        <f>BY83*VLOOKUP('Données projet'!$B$12,Paramètres!$A$1:$I$89,3,0)*VLOOKUP('Données projet'!$B$12,Paramètres!$A$1:$I$89,5,0)</f>
        <v>191.58769999999993</v>
      </c>
      <c r="CA83" s="13">
        <f t="shared" si="93"/>
        <v>47.890800594040364</v>
      </c>
      <c r="CB83" s="20">
        <f t="shared" si="64"/>
        <v>417.09172186795348</v>
      </c>
      <c r="CC83" s="59">
        <f t="shared" si="65"/>
        <v>710.4250552012868</v>
      </c>
      <c r="CD83" s="59">
        <f ca="1">AVERAGE(OFFSET($CC$3,0,0,'Données projet'!$E$12+1,1))-AVERAGE(OFFSET($H$3,0,0,'Données projet'!$E$12+1,1))</f>
        <v>211.18501783767226</v>
      </c>
      <c r="CE83" s="59">
        <f t="shared" si="94"/>
        <v>147.98306963466246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5.5042735042735051</v>
      </c>
      <c r="CT83" s="12">
        <f>IF('Données projet'!$A$140&gt;35,CT82+CS83-DB82,IF(A83&lt;'Données projet'!$A$140,$CQ$205^A83,IF(A83='Données projet'!$A$140,'Données projet'!$B$140,CT82+CS83-DB82)))</f>
        <v>177.98931623931617</v>
      </c>
      <c r="CU83" s="17">
        <f>CT83*VLOOKUP('Données projet'!$B$13,Paramètres!$A$1:$I$89,3,0)*VLOOKUP('Données projet'!$B$13,Paramètres!$A$1:$I$89,5,0)</f>
        <v>191.58769999999993</v>
      </c>
      <c r="CV83" s="13">
        <f t="shared" si="95"/>
        <v>47.890800594040364</v>
      </c>
      <c r="CW83" s="20">
        <f t="shared" si="67"/>
        <v>417.09172186795348</v>
      </c>
      <c r="CX83" s="59">
        <f t="shared" si="68"/>
        <v>710.4250552012868</v>
      </c>
      <c r="CY83" s="59">
        <f ca="1">AVERAGE(OFFSET($CX$3,0,0,'Données projet'!$E$13+1,1))-AVERAGE(OFFSET($H$3,0,0,'Données projet'!$E$13+1,1))</f>
        <v>211.18501783767226</v>
      </c>
      <c r="CZ83" s="59">
        <f t="shared" si="96"/>
        <v>147.98306963466246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0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-1.3596945791505279E-13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182.25704762953387</v>
      </c>
      <c r="T84" s="59">
        <f t="shared" si="88"/>
        <v>265.61788177751134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1.8200357744129891</v>
      </c>
      <c r="AA84" s="21">
        <f>EXP(-LN(2)/25)*AA83+(1-EXP(-LN(2)/25))/(LN(2)/25)*Calculateur!V84*Calculateur!X84*VLOOKUP('Données projet'!$B$9,Paramètres!$A$1:$I$89,3,0)*0.475*44/12</f>
        <v>4.1653517868453083</v>
      </c>
      <c r="AB84" s="21">
        <f>EXP(-LN(2)/2)*AB83+(1-EXP(-LN(2)/2))/(LN(2)/2)*V84*Y84*VLOOKUP('Données projet'!$B$9,Paramètres!$A$1:$I$89,3,0)*0.475*44/12</f>
        <v>6.2164533268798667E-8</v>
      </c>
      <c r="AC84" s="22">
        <f t="shared" si="57"/>
        <v>5.9853876234228309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7.4950142450142483</v>
      </c>
      <c r="AI84" s="13">
        <f>IF('Données projet'!$A$62&gt;35,AI83+AH84-AQ83,IF(A84&lt;'Données projet'!$A$62,$AF$205^A84,IF(A84='Données projet'!$A$62,'Données projet'!$B$62,AI83+AH84-AQ83)))</f>
        <v>235.89886039886039</v>
      </c>
      <c r="AJ84" s="13">
        <f>AI84*VLOOKUP('Données projet'!$B$10,Paramètres!$A$1:$I$89,3,0)*VLOOKUP('Données projet'!$B$10,Paramètres!$A$1:$I$89,5,0)</f>
        <v>239.20144444444443</v>
      </c>
      <c r="AK84" s="13">
        <f t="shared" si="89"/>
        <v>58.267684051527326</v>
      </c>
      <c r="AL84" s="20">
        <f t="shared" si="58"/>
        <v>518.09206546381745</v>
      </c>
      <c r="AM84" s="59">
        <f t="shared" si="59"/>
        <v>811.42539879715082</v>
      </c>
      <c r="AN84" s="59">
        <f ca="1">AVERAGE(OFFSET($AM$3,0,0,'Données projet'!$E$10+1,1))-AVERAGE(OFFSET($H$3,0,0,'Données projet'!$E$10+1,1))</f>
        <v>263.15518481854753</v>
      </c>
      <c r="AO84" s="59">
        <f t="shared" si="90"/>
        <v>210.80755370263819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4.7</v>
      </c>
      <c r="BD84" s="12">
        <f>IF('Données projet'!$A$88&gt;35,BD83+BC84-BL83,IF(A84&lt;'Données projet'!$A$88,$BA$205^A84,IF(A84='Données projet'!$A$88,'Données projet'!$B$88,BD83+BC84-BL83)))</f>
        <v>264.69999999999982</v>
      </c>
      <c r="BE84" s="13">
        <f>BD84*VLOOKUP('Données projet'!$B$11,Paramètres!$A$1:$I$89,3,0)*VLOOKUP('Données projet'!$B$11,Paramètres!$A$1:$I$89,5,0)</f>
        <v>214.72463999999988</v>
      </c>
      <c r="BF84" s="13">
        <f t="shared" si="91"/>
        <v>52.96669770036759</v>
      </c>
      <c r="BG84" s="20">
        <f t="shared" si="61"/>
        <v>466.22907982813996</v>
      </c>
      <c r="BH84" s="59">
        <f t="shared" si="62"/>
        <v>759.56241316147327</v>
      </c>
      <c r="BI84" s="59">
        <f ca="1">AVERAGE(OFFSET($BH$3,0,0,'Données projet'!$E$11+1,1))-AVERAGE(OFFSET($H$3,0,0,'Données projet'!$E$11+1,1))</f>
        <v>203.21935660591021</v>
      </c>
      <c r="BJ84" s="59">
        <f t="shared" si="92"/>
        <v>180.54762778843178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0.36515154956470985</v>
      </c>
      <c r="BQ84" s="21">
        <f>EXP(-LN(2)/25)*BQ83+(1-EXP(-LN(2)/25))/(LN(2)/25)*Calculateur!BL84*Calculateur!BN84*VLOOKUP('Données projet'!$B$11,Paramètres!$A$1:$I$89,3,0)*0.475*44/12</f>
        <v>1.4112496117085442</v>
      </c>
      <c r="BR84" s="21">
        <f>EXP(-LN(2)/2)*BR83+(1-EXP(-LN(2)/2))/(LN(2)/2)*BL84*BO84*VLOOKUP('Données projet'!$B$11,Paramètres!$A$1:$I$89,3,0)*0.475*44/12</f>
        <v>1.9098179579123889E-7</v>
      </c>
      <c r="BS84" s="22">
        <f t="shared" si="63"/>
        <v>1.7764013522550499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5.5042735042735051</v>
      </c>
      <c r="BY84" s="12">
        <f>IF('Données projet'!$A$114&gt;35,BY83+BX84-CG83,IF(A84&lt;'Données projet'!$A$114,$BV$205^A84,IF(A84='Données projet'!$A$114,'Données projet'!$B$114,BY83+BX84-CG83)))</f>
        <v>183.49358974358967</v>
      </c>
      <c r="BZ84" s="13">
        <f>BY84*VLOOKUP('Données projet'!$B$12,Paramètres!$A$1:$I$89,3,0)*VLOOKUP('Données projet'!$B$12,Paramètres!$A$1:$I$89,5,0)</f>
        <v>197.5124999999999</v>
      </c>
      <c r="CA84" s="13">
        <f t="shared" si="93"/>
        <v>49.197092951689569</v>
      </c>
      <c r="CB84" s="20">
        <f t="shared" si="64"/>
        <v>429.68587439085917</v>
      </c>
      <c r="CC84" s="59">
        <f t="shared" si="65"/>
        <v>723.01920772419248</v>
      </c>
      <c r="CD84" s="59">
        <f ca="1">AVERAGE(OFFSET($CC$3,0,0,'Données projet'!$E$12+1,1))-AVERAGE(OFFSET($H$3,0,0,'Données projet'!$E$12+1,1))</f>
        <v>211.18501783767226</v>
      </c>
      <c r="CE84" s="59">
        <f t="shared" si="94"/>
        <v>147.98306963466246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5.5042735042735051</v>
      </c>
      <c r="CT84" s="12">
        <f>IF('Données projet'!$A$140&gt;35,CT83+CS84-DB83,IF(A84&lt;'Données projet'!$A$140,$CQ$205^A84,IF(A84='Données projet'!$A$140,'Données projet'!$B$140,CT83+CS84-DB83)))</f>
        <v>183.49358974358967</v>
      </c>
      <c r="CU84" s="17">
        <f>CT84*VLOOKUP('Données projet'!$B$13,Paramètres!$A$1:$I$89,3,0)*VLOOKUP('Données projet'!$B$13,Paramètres!$A$1:$I$89,5,0)</f>
        <v>197.5124999999999</v>
      </c>
      <c r="CV84" s="13">
        <f t="shared" si="95"/>
        <v>49.197092951689569</v>
      </c>
      <c r="CW84" s="20">
        <f t="shared" si="67"/>
        <v>429.68587439085917</v>
      </c>
      <c r="CX84" s="59">
        <f t="shared" si="68"/>
        <v>723.01920772419248</v>
      </c>
      <c r="CY84" s="59">
        <f ca="1">AVERAGE(OFFSET($CX$3,0,0,'Données projet'!$E$13+1,1))-AVERAGE(OFFSET($H$3,0,0,'Données projet'!$E$13+1,1))</f>
        <v>211.18501783767226</v>
      </c>
      <c r="CZ84" s="59">
        <f t="shared" si="96"/>
        <v>147.98306963466246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0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-1.3596945791505279E-13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182.25704762953387</v>
      </c>
      <c r="T85" s="59">
        <f t="shared" si="88"/>
        <v>265.61788177751134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1.7843459829889583</v>
      </c>
      <c r="AA85" s="21">
        <f>EXP(-LN(2)/25)*AA84+(1-EXP(-LN(2)/25))/(LN(2)/25)*Calculateur!V85*Calculateur!X85*VLOOKUP('Données projet'!$B$9,Paramètres!$A$1:$I$89,3,0)*0.475*44/12</f>
        <v>4.0514500231876927</v>
      </c>
      <c r="AB85" s="21">
        <f>EXP(-LN(2)/2)*AB84+(1-EXP(-LN(2)/2))/(LN(2)/2)*V85*Y85*VLOOKUP('Données projet'!$B$9,Paramètres!$A$1:$I$89,3,0)*0.475*44/12</f>
        <v>4.3956963023664273E-8</v>
      </c>
      <c r="AC85" s="22">
        <f t="shared" si="57"/>
        <v>5.8357960501336139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7.4950142450142483</v>
      </c>
      <c r="AI85" s="13">
        <f>IF('Données projet'!$A$62&gt;35,AI84+AH85-AQ84,IF(A85&lt;'Données projet'!$A$62,$AF$205^A85,IF(A85='Données projet'!$A$62,'Données projet'!$B$62,AI84+AH85-AQ84)))</f>
        <v>243.39387464387465</v>
      </c>
      <c r="AJ85" s="13">
        <f>AI85*VLOOKUP('Données projet'!$B$10,Paramètres!$A$1:$I$89,3,0)*VLOOKUP('Données projet'!$B$10,Paramètres!$A$1:$I$89,5,0)</f>
        <v>246.80138888888891</v>
      </c>
      <c r="AK85" s="13">
        <f t="shared" si="89"/>
        <v>59.900493951858685</v>
      </c>
      <c r="AL85" s="20">
        <f t="shared" si="58"/>
        <v>534.17244594763531</v>
      </c>
      <c r="AM85" s="59">
        <f t="shared" si="59"/>
        <v>827.50577928096868</v>
      </c>
      <c r="AN85" s="59">
        <f ca="1">AVERAGE(OFFSET($AM$3,0,0,'Données projet'!$E$10+1,1))-AVERAGE(OFFSET($H$3,0,0,'Données projet'!$E$10+1,1))</f>
        <v>263.15518481854753</v>
      </c>
      <c r="AO85" s="59">
        <f t="shared" si="90"/>
        <v>210.80755370263819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4.7</v>
      </c>
      <c r="BD85" s="12">
        <f>IF('Données projet'!$A$88&gt;35,BD84+BC85-BL84,IF(A85&lt;'Données projet'!$A$88,$BA$205^A85,IF(A85='Données projet'!$A$88,'Données projet'!$B$88,BD84+BC85-BL84)))</f>
        <v>269.39999999999981</v>
      </c>
      <c r="BE85" s="13">
        <f>BD85*VLOOKUP('Données projet'!$B$11,Paramètres!$A$1:$I$89,3,0)*VLOOKUP('Données projet'!$B$11,Paramètres!$A$1:$I$89,5,0)</f>
        <v>218.53727999999987</v>
      </c>
      <c r="BF85" s="13">
        <f t="shared" si="91"/>
        <v>53.796847431080771</v>
      </c>
      <c r="BG85" s="20">
        <f t="shared" si="61"/>
        <v>474.31527194246542</v>
      </c>
      <c r="BH85" s="59">
        <f t="shared" si="62"/>
        <v>767.64860527579867</v>
      </c>
      <c r="BI85" s="59">
        <f ca="1">AVERAGE(OFFSET($BH$3,0,0,'Données projet'!$E$11+1,1))-AVERAGE(OFFSET($H$3,0,0,'Données projet'!$E$11+1,1))</f>
        <v>203.21935660591021</v>
      </c>
      <c r="BJ85" s="59">
        <f t="shared" si="92"/>
        <v>180.54762778843178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0.35799115039819929</v>
      </c>
      <c r="BQ85" s="21">
        <f>EXP(-LN(2)/25)*BQ84+(1-EXP(-LN(2)/25))/(LN(2)/25)*Calculateur!BL85*Calculateur!BN85*VLOOKUP('Données projet'!$B$11,Paramètres!$A$1:$I$89,3,0)*0.475*44/12</f>
        <v>1.3726589168619825</v>
      </c>
      <c r="BR85" s="21">
        <f>EXP(-LN(2)/2)*BR84+(1-EXP(-LN(2)/2))/(LN(2)/2)*BL85*BO85*VLOOKUP('Données projet'!$B$11,Paramètres!$A$1:$I$89,3,0)*0.475*44/12</f>
        <v>1.3504452288716946E-7</v>
      </c>
      <c r="BS85" s="22">
        <f t="shared" si="63"/>
        <v>1.7306502023047046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5.5042735042735051</v>
      </c>
      <c r="BY85" s="12">
        <f>IF('Données projet'!$A$114&gt;35,BY84+BX85-CG84,IF(A85&lt;'Données projet'!$A$114,$BV$205^A85,IF(A85='Données projet'!$A$114,'Données projet'!$B$114,BY84+BX85-CG84)))</f>
        <v>188.99786324786317</v>
      </c>
      <c r="BZ85" s="13">
        <f>BY85*VLOOKUP('Données projet'!$B$12,Paramètres!$A$1:$I$89,3,0)*VLOOKUP('Données projet'!$B$12,Paramètres!$A$1:$I$89,5,0)</f>
        <v>203.43729999999988</v>
      </c>
      <c r="CA85" s="13">
        <f t="shared" si="93"/>
        <v>50.498831411186444</v>
      </c>
      <c r="CB85" s="20">
        <f t="shared" si="64"/>
        <v>442.27209554114955</v>
      </c>
      <c r="CC85" s="59">
        <f t="shared" si="65"/>
        <v>735.60542887448287</v>
      </c>
      <c r="CD85" s="59">
        <f ca="1">AVERAGE(OFFSET($CC$3,0,0,'Données projet'!$E$12+1,1))-AVERAGE(OFFSET($H$3,0,0,'Données projet'!$E$12+1,1))</f>
        <v>211.18501783767226</v>
      </c>
      <c r="CE85" s="59">
        <f t="shared" si="94"/>
        <v>147.98306963466246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5.5042735042735051</v>
      </c>
      <c r="CT85" s="12">
        <f>IF('Données projet'!$A$140&gt;35,CT84+CS85-DB84,IF(A85&lt;'Données projet'!$A$140,$CQ$205^A85,IF(A85='Données projet'!$A$140,'Données projet'!$B$140,CT84+CS85-DB84)))</f>
        <v>188.99786324786317</v>
      </c>
      <c r="CU85" s="17">
        <f>CT85*VLOOKUP('Données projet'!$B$13,Paramètres!$A$1:$I$89,3,0)*VLOOKUP('Données projet'!$B$13,Paramètres!$A$1:$I$89,5,0)</f>
        <v>203.43729999999988</v>
      </c>
      <c r="CV85" s="13">
        <f t="shared" si="95"/>
        <v>50.498831411186444</v>
      </c>
      <c r="CW85" s="20">
        <f t="shared" si="67"/>
        <v>442.27209554114955</v>
      </c>
      <c r="CX85" s="59">
        <f t="shared" si="68"/>
        <v>735.60542887448287</v>
      </c>
      <c r="CY85" s="59">
        <f ca="1">AVERAGE(OFFSET($CX$3,0,0,'Données projet'!$E$13+1,1))-AVERAGE(OFFSET($H$3,0,0,'Données projet'!$E$13+1,1))</f>
        <v>211.18501783767226</v>
      </c>
      <c r="CZ85" s="59">
        <f t="shared" si="96"/>
        <v>147.98306963466246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0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-1.3596945791505279E-13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182.25704762953387</v>
      </c>
      <c r="T86" s="59">
        <f t="shared" si="88"/>
        <v>265.61788177751134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1.7493560466061295</v>
      </c>
      <c r="AA86" s="21">
        <f>EXP(-LN(2)/25)*AA85+(1-EXP(-LN(2)/25))/(LN(2)/25)*Calculateur!V86*Calculateur!X86*VLOOKUP('Données projet'!$B$9,Paramètres!$A$1:$I$89,3,0)*0.475*44/12</f>
        <v>3.9406629092471284</v>
      </c>
      <c r="AB86" s="21">
        <f>EXP(-LN(2)/2)*AB85+(1-EXP(-LN(2)/2))/(LN(2)/2)*V86*Y86*VLOOKUP('Données projet'!$B$9,Paramètres!$A$1:$I$89,3,0)*0.475*44/12</f>
        <v>3.1082266634399334E-8</v>
      </c>
      <c r="AC86" s="22">
        <f t="shared" si="57"/>
        <v>5.6900189869355247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7.4950142450142483</v>
      </c>
      <c r="AI86" s="13">
        <f>IF('Données projet'!$A$62&gt;35,AI85+AH86-AQ85,IF(A86&lt;'Données projet'!$A$62,$AF$205^A86,IF(A86='Données projet'!$A$62,'Données projet'!$B$62,AI85+AH86-AQ85)))</f>
        <v>250.88888888888891</v>
      </c>
      <c r="AJ86" s="13">
        <f>AI86*VLOOKUP('Données projet'!$B$10,Paramètres!$A$1:$I$89,3,0)*VLOOKUP('Données projet'!$B$10,Paramètres!$A$1:$I$89,5,0)</f>
        <v>254.40133333333338</v>
      </c>
      <c r="AK86" s="13">
        <f t="shared" si="89"/>
        <v>61.527460718284551</v>
      </c>
      <c r="AL86" s="20">
        <f t="shared" si="58"/>
        <v>550.24264963990129</v>
      </c>
      <c r="AM86" s="59">
        <f t="shared" si="59"/>
        <v>843.57598297323466</v>
      </c>
      <c r="AN86" s="59">
        <f ca="1">AVERAGE(OFFSET($AM$3,0,0,'Données projet'!$E$10+1,1))-AVERAGE(OFFSET($H$3,0,0,'Données projet'!$E$10+1,1))</f>
        <v>263.15518481854753</v>
      </c>
      <c r="AO86" s="59">
        <f t="shared" si="90"/>
        <v>210.80755370263819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4.7</v>
      </c>
      <c r="BD86" s="12">
        <f>IF('Données projet'!$A$88&gt;35,BD85+BC86-BL85,IF(A86&lt;'Données projet'!$A$88,$BA$205^A86,IF(A86='Données projet'!$A$88,'Données projet'!$B$88,BD85+BC86-BL85)))</f>
        <v>274.0999999999998</v>
      </c>
      <c r="BE86" s="13">
        <f>BD86*VLOOKUP('Données projet'!$B$11,Paramètres!$A$1:$I$89,3,0)*VLOOKUP('Données projet'!$B$11,Paramètres!$A$1:$I$89,5,0)</f>
        <v>222.34991999999986</v>
      </c>
      <c r="BF86" s="13">
        <f t="shared" si="91"/>
        <v>54.625312967947693</v>
      </c>
      <c r="BG86" s="20">
        <f t="shared" si="61"/>
        <v>482.39853075250858</v>
      </c>
      <c r="BH86" s="59">
        <f t="shared" si="62"/>
        <v>775.73186408584183</v>
      </c>
      <c r="BI86" s="59">
        <f ca="1">AVERAGE(OFFSET($BH$3,0,0,'Données projet'!$E$11+1,1))-AVERAGE(OFFSET($H$3,0,0,'Données projet'!$E$11+1,1))</f>
        <v>203.21935660591021</v>
      </c>
      <c r="BJ86" s="59">
        <f t="shared" si="92"/>
        <v>180.54762778843178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0.35097116229193176</v>
      </c>
      <c r="BQ86" s="21">
        <f>EXP(-LN(2)/25)*BQ85+(1-EXP(-LN(2)/25))/(LN(2)/25)*Calculateur!BL86*Calculateur!BN86*VLOOKUP('Données projet'!$B$11,Paramètres!$A$1:$I$89,3,0)*0.475*44/12</f>
        <v>1.3351234865953965</v>
      </c>
      <c r="BR86" s="21">
        <f>EXP(-LN(2)/2)*BR85+(1-EXP(-LN(2)/2))/(LN(2)/2)*BL86*BO86*VLOOKUP('Données projet'!$B$11,Paramètres!$A$1:$I$89,3,0)*0.475*44/12</f>
        <v>9.5490897895619447E-8</v>
      </c>
      <c r="BS86" s="22">
        <f t="shared" si="63"/>
        <v>1.6860947443782262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5.5042735042735051</v>
      </c>
      <c r="BY86" s="12">
        <f>IF('Données projet'!$A$114&gt;35,BY85+BX86-CG85,IF(A86&lt;'Données projet'!$A$114,$BV$205^A86,IF(A86='Données projet'!$A$114,'Données projet'!$B$114,BY85+BX86-CG85)))</f>
        <v>194.50213675213666</v>
      </c>
      <c r="BZ86" s="13">
        <f>BY86*VLOOKUP('Données projet'!$B$12,Paramètres!$A$1:$I$89,3,0)*VLOOKUP('Données projet'!$B$12,Paramètres!$A$1:$I$89,5,0)</f>
        <v>209.36209999999988</v>
      </c>
      <c r="CA86" s="13">
        <f t="shared" si="93"/>
        <v>51.796163827117176</v>
      </c>
      <c r="CB86" s="20">
        <f t="shared" si="64"/>
        <v>454.85064283222886</v>
      </c>
      <c r="CC86" s="59">
        <f t="shared" si="65"/>
        <v>748.18397616556217</v>
      </c>
      <c r="CD86" s="59">
        <f ca="1">AVERAGE(OFFSET($CC$3,0,0,'Données projet'!$E$12+1,1))-AVERAGE(OFFSET($H$3,0,0,'Données projet'!$E$12+1,1))</f>
        <v>211.18501783767226</v>
      </c>
      <c r="CE86" s="59">
        <f t="shared" si="94"/>
        <v>147.98306963466246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5.5042735042735051</v>
      </c>
      <c r="CT86" s="12">
        <f>IF('Données projet'!$A$140&gt;35,CT85+CS86-DB85,IF(A86&lt;'Données projet'!$A$140,$CQ$205^A86,IF(A86='Données projet'!$A$140,'Données projet'!$B$140,CT85+CS86-DB85)))</f>
        <v>194.50213675213666</v>
      </c>
      <c r="CU86" s="17">
        <f>CT86*VLOOKUP('Données projet'!$B$13,Paramètres!$A$1:$I$89,3,0)*VLOOKUP('Données projet'!$B$13,Paramètres!$A$1:$I$89,5,0)</f>
        <v>209.36209999999988</v>
      </c>
      <c r="CV86" s="13">
        <f t="shared" si="95"/>
        <v>51.796163827117176</v>
      </c>
      <c r="CW86" s="20">
        <f t="shared" si="67"/>
        <v>454.85064283222886</v>
      </c>
      <c r="CX86" s="59">
        <f t="shared" si="68"/>
        <v>748.18397616556217</v>
      </c>
      <c r="CY86" s="59">
        <f ca="1">AVERAGE(OFFSET($CX$3,0,0,'Données projet'!$E$13+1,1))-AVERAGE(OFFSET($H$3,0,0,'Données projet'!$E$13+1,1))</f>
        <v>211.18501783767226</v>
      </c>
      <c r="CZ86" s="59">
        <f t="shared" si="96"/>
        <v>147.98306963466246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0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-1.3596945791505279E-13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182.25704762953387</v>
      </c>
      <c r="T87" s="59">
        <f t="shared" si="88"/>
        <v>265.61788177751134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1.7150522415340141</v>
      </c>
      <c r="AA87" s="21">
        <f>EXP(-LN(2)/25)*AA86+(1-EXP(-LN(2)/25))/(LN(2)/25)*Calculateur!V87*Calculateur!X87*VLOOKUP('Données projet'!$B$9,Paramètres!$A$1:$I$89,3,0)*0.475*44/12</f>
        <v>3.8329052747633097</v>
      </c>
      <c r="AB87" s="21">
        <f>EXP(-LN(2)/2)*AB86+(1-EXP(-LN(2)/2))/(LN(2)/2)*V87*Y87*VLOOKUP('Données projet'!$B$9,Paramètres!$A$1:$I$89,3,0)*0.475*44/12</f>
        <v>2.1978481511832137E-8</v>
      </c>
      <c r="AC87" s="22">
        <f t="shared" si="57"/>
        <v>5.5479575382758046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7.4950142450142483</v>
      </c>
      <c r="AI87" s="13">
        <f>IF('Données projet'!$A$62&gt;35,AI86+AH87-AQ86,IF(A87&lt;'Données projet'!$A$62,$AF$205^A87,IF(A87='Données projet'!$A$62,'Données projet'!$B$62,AI86+AH87-AQ86)))</f>
        <v>258.38390313390317</v>
      </c>
      <c r="AJ87" s="13">
        <f>AI87*VLOOKUP('Données projet'!$B$10,Paramètres!$A$1:$I$89,3,0)*VLOOKUP('Données projet'!$B$10,Paramètres!$A$1:$I$89,5,0)</f>
        <v>262.00127777777783</v>
      </c>
      <c r="AK87" s="13">
        <f t="shared" si="89"/>
        <v>63.148778946325088</v>
      </c>
      <c r="AL87" s="20">
        <f t="shared" si="58"/>
        <v>566.30301546114595</v>
      </c>
      <c r="AM87" s="59">
        <f t="shared" si="59"/>
        <v>859.63634879447932</v>
      </c>
      <c r="AN87" s="59">
        <f ca="1">AVERAGE(OFFSET($AM$3,0,0,'Données projet'!$E$10+1,1))-AVERAGE(OFFSET($H$3,0,0,'Données projet'!$E$10+1,1))</f>
        <v>263.15518481854753</v>
      </c>
      <c r="AO87" s="59">
        <f t="shared" si="90"/>
        <v>210.80755370263819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4.7</v>
      </c>
      <c r="BD87" s="12">
        <f>IF('Données projet'!$A$88&gt;35,BD86+BC87-BL86,IF(A87&lt;'Données projet'!$A$88,$BA$205^A87,IF(A87='Données projet'!$A$88,'Données projet'!$B$88,BD86+BC87-BL86)))</f>
        <v>278.79999999999978</v>
      </c>
      <c r="BE87" s="13">
        <f>BD87*VLOOKUP('Données projet'!$B$11,Paramètres!$A$1:$I$89,3,0)*VLOOKUP('Données projet'!$B$11,Paramètres!$A$1:$I$89,5,0)</f>
        <v>226.16255999999984</v>
      </c>
      <c r="BF87" s="13">
        <f t="shared" si="91"/>
        <v>55.452126522419213</v>
      </c>
      <c r="BG87" s="20">
        <f t="shared" si="61"/>
        <v>490.47891235987981</v>
      </c>
      <c r="BH87" s="59">
        <f t="shared" si="62"/>
        <v>783.81224569321307</v>
      </c>
      <c r="BI87" s="59">
        <f ca="1">AVERAGE(OFFSET($BH$3,0,0,'Données projet'!$E$11+1,1))-AVERAGE(OFFSET($H$3,0,0,'Données projet'!$E$11+1,1))</f>
        <v>203.21935660591021</v>
      </c>
      <c r="BJ87" s="59">
        <f t="shared" si="92"/>
        <v>180.54762778843178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0.3440888318706582</v>
      </c>
      <c r="BQ87" s="21">
        <f>EXP(-LN(2)/25)*BQ86+(1-EXP(-LN(2)/25))/(LN(2)/25)*Calculateur!BL87*Calculateur!BN87*VLOOKUP('Données projet'!$B$11,Paramètres!$A$1:$I$89,3,0)*0.475*44/12</f>
        <v>1.2986144646433526</v>
      </c>
      <c r="BR87" s="21">
        <f>EXP(-LN(2)/2)*BR86+(1-EXP(-LN(2)/2))/(LN(2)/2)*BL87*BO87*VLOOKUP('Données projet'!$B$11,Paramètres!$A$1:$I$89,3,0)*0.475*44/12</f>
        <v>6.752226144358473E-8</v>
      </c>
      <c r="BS87" s="22">
        <f t="shared" si="63"/>
        <v>1.642703364036272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>
        <f>VLOOKUP(A87,'Données projet'!$A$113:$I$133,2,0)</f>
        <v>200.00641025641025</v>
      </c>
      <c r="BW87" s="12">
        <f>VLOOKUP(A87,'Données projet'!$A$113:$I$133,9,0)</f>
        <v>5.5042735042735051</v>
      </c>
      <c r="BX87" s="12">
        <f t="array" ref="BX87">INDEX(BW:BW,MIN(IF(ISNUMBER(BW87:BW283),ROW(BW87:BW283),"")))</f>
        <v>5.5042735042735051</v>
      </c>
      <c r="BY87" s="12">
        <f>IF('Données projet'!$A$114&gt;35,BY86+BX87-CG86,IF(A87&lt;'Données projet'!$A$114,$BV$205^A87,IF(A87='Données projet'!$A$114,'Données projet'!$B$114,BY86+BX87-CG86)))</f>
        <v>200.00641025641016</v>
      </c>
      <c r="BZ87" s="13">
        <f>BY87*VLOOKUP('Données projet'!$B$12,Paramètres!$A$1:$I$89,3,0)*VLOOKUP('Données projet'!$B$12,Paramètres!$A$1:$I$89,5,0)</f>
        <v>215.28689999999986</v>
      </c>
      <c r="CA87" s="13">
        <f t="shared" si="93"/>
        <v>53.089229209666037</v>
      </c>
      <c r="CB87" s="20">
        <f t="shared" si="64"/>
        <v>467.42175837350146</v>
      </c>
      <c r="CC87" s="59">
        <f t="shared" si="65"/>
        <v>760.75509170683472</v>
      </c>
      <c r="CD87" s="59">
        <f ca="1">AVERAGE(OFFSET($CC$3,0,0,'Données projet'!$E$12+1,1))-AVERAGE(OFFSET($H$3,0,0,'Données projet'!$E$12+1,1))</f>
        <v>211.18501783767226</v>
      </c>
      <c r="CE87" s="59">
        <f t="shared" si="94"/>
        <v>147.98306963466246</v>
      </c>
      <c r="CF87" s="15">
        <f>IF(ISNA(VLOOKUP(A87,'Données projet'!$A$113:$I$133,3,0)),0,VLOOKUP(A87,'Données projet'!$A$113:$I$133,3,0))</f>
        <v>6</v>
      </c>
      <c r="CG87" s="15">
        <f>IF(ISNA(VLOOKUP(A87,'Données projet'!$A$113:$I$133,4,0)),0,VLOOKUP(A87,'Données projet'!$A$113:$I$133,4,0))</f>
        <v>35.083333333333329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0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>
        <f>VLOOKUP(A87,'Données projet'!$A$139:$I$159,2,0)</f>
        <v>200.00641025641025</v>
      </c>
      <c r="CR87" s="12">
        <f>VLOOKUP(A87,'Données projet'!$A$139:$I$159,9,0)</f>
        <v>5.5042735042735051</v>
      </c>
      <c r="CS87" s="12">
        <f t="array" ref="CS87">INDEX(CR:CR,MIN(IF(ISNUMBER(CR87:CR283),ROW(CR87:CR283),"")))</f>
        <v>5.5042735042735051</v>
      </c>
      <c r="CT87" s="12">
        <f>IF('Données projet'!$A$140&gt;35,CT86+CS87-DB86,IF(A87&lt;'Données projet'!$A$140,$CQ$205^A87,IF(A87='Données projet'!$A$140,'Données projet'!$B$140,CT86+CS87-DB86)))</f>
        <v>200.00641025641016</v>
      </c>
      <c r="CU87" s="17">
        <f>CT87*VLOOKUP('Données projet'!$B$13,Paramètres!$A$1:$I$89,3,0)*VLOOKUP('Données projet'!$B$13,Paramètres!$A$1:$I$89,5,0)</f>
        <v>215.28689999999986</v>
      </c>
      <c r="CV87" s="13">
        <f t="shared" si="95"/>
        <v>53.089229209666037</v>
      </c>
      <c r="CW87" s="20">
        <f t="shared" si="67"/>
        <v>467.42175837350146</v>
      </c>
      <c r="CX87" s="59">
        <f t="shared" si="68"/>
        <v>760.75509170683472</v>
      </c>
      <c r="CY87" s="59">
        <f ca="1">AVERAGE(OFFSET($CX$3,0,0,'Données projet'!$E$13+1,1))-AVERAGE(OFFSET($H$3,0,0,'Données projet'!$E$13+1,1))</f>
        <v>211.18501783767226</v>
      </c>
      <c r="CZ87" s="59">
        <f t="shared" si="96"/>
        <v>147.98306963466246</v>
      </c>
      <c r="DA87" s="15">
        <f>IF(ISNA(VLOOKUP(A87,'Données projet'!$A$139:$I$159,3,0)),0,VLOOKUP(A87,'Données projet'!$A$139:$I$159,3,0))</f>
        <v>6</v>
      </c>
      <c r="DB87" s="15">
        <f>IF(ISNA(VLOOKUP(A87,'Données projet'!$A$139:$I$159,4,0)),0,VLOOKUP(A87,'Données projet'!$A$139:$I$159,4,0))</f>
        <v>35.083333333333329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0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-1.3596945791505279E-13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182.25704762953387</v>
      </c>
      <c r="T88" s="59">
        <f t="shared" si="88"/>
        <v>265.61788177751134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1.6814211131561079</v>
      </c>
      <c r="AA88" s="21">
        <f>EXP(-LN(2)/25)*AA87+(1-EXP(-LN(2)/25))/(LN(2)/25)*Calculateur!V88*Calculateur!X88*VLOOKUP('Données projet'!$B$9,Paramètres!$A$1:$I$89,3,0)*0.475*44/12</f>
        <v>3.7280942784611786</v>
      </c>
      <c r="AB88" s="21">
        <f>EXP(-LN(2)/2)*AB87+(1-EXP(-LN(2)/2))/(LN(2)/2)*V88*Y88*VLOOKUP('Données projet'!$B$9,Paramètres!$A$1:$I$89,3,0)*0.475*44/12</f>
        <v>1.5541133317199667E-8</v>
      </c>
      <c r="AC88" s="22">
        <f t="shared" si="57"/>
        <v>5.4095154071584206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7.4950142450142483</v>
      </c>
      <c r="AI88" s="13">
        <f>IF('Données projet'!$A$62&gt;35,AI87+AH88-AQ87,IF(A88&lt;'Données projet'!$A$62,$AF$205^A88,IF(A88='Données projet'!$A$62,'Données projet'!$B$62,AI87+AH88-AQ87)))</f>
        <v>265.87891737891744</v>
      </c>
      <c r="AJ88" s="13">
        <f>AI88*VLOOKUP('Données projet'!$B$10,Paramètres!$A$1:$I$89,3,0)*VLOOKUP('Données projet'!$B$10,Paramètres!$A$1:$I$89,5,0)</f>
        <v>269.6012222222223</v>
      </c>
      <c r="AK88" s="13">
        <f t="shared" si="89"/>
        <v>64.76463130016576</v>
      </c>
      <c r="AL88" s="20">
        <f t="shared" si="58"/>
        <v>582.35386155149251</v>
      </c>
      <c r="AM88" s="59">
        <f t="shared" si="59"/>
        <v>875.68719488482589</v>
      </c>
      <c r="AN88" s="59">
        <f ca="1">AVERAGE(OFFSET($AM$3,0,0,'Données projet'!$E$10+1,1))-AVERAGE(OFFSET($H$3,0,0,'Données projet'!$E$10+1,1))</f>
        <v>263.15518481854753</v>
      </c>
      <c r="AO88" s="59">
        <f t="shared" si="90"/>
        <v>210.80755370263819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4.7</v>
      </c>
      <c r="BD88" s="12">
        <f>IF('Données projet'!$A$88&gt;35,BD87+BC88-BL87,IF(A88&lt;'Données projet'!$A$88,$BA$205^A88,IF(A88='Données projet'!$A$88,'Données projet'!$B$88,BD87+BC88-BL87)))</f>
        <v>283.49999999999977</v>
      </c>
      <c r="BE88" s="13">
        <f>BD88*VLOOKUP('Données projet'!$B$11,Paramètres!$A$1:$I$89,3,0)*VLOOKUP('Données projet'!$B$11,Paramètres!$A$1:$I$89,5,0)</f>
        <v>229.9751999999998</v>
      </c>
      <c r="BF88" s="13">
        <f t="shared" si="91"/>
        <v>56.277319157664266</v>
      </c>
      <c r="BG88" s="20">
        <f t="shared" si="61"/>
        <v>498.55647086626499</v>
      </c>
      <c r="BH88" s="59">
        <f t="shared" si="62"/>
        <v>791.8898041995983</v>
      </c>
      <c r="BI88" s="59">
        <f ca="1">AVERAGE(OFFSET($BH$3,0,0,'Données projet'!$E$11+1,1))-AVERAGE(OFFSET($H$3,0,0,'Données projet'!$E$11+1,1))</f>
        <v>203.21935660591021</v>
      </c>
      <c r="BJ88" s="59">
        <f t="shared" si="92"/>
        <v>180.54762778843178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0.33734145975113877</v>
      </c>
      <c r="BQ88" s="21">
        <f>EXP(-LN(2)/25)*BQ87+(1-EXP(-LN(2)/25))/(LN(2)/25)*Calculateur!BL88*Calculateur!BN88*VLOOKUP('Données projet'!$B$11,Paramètres!$A$1:$I$89,3,0)*0.475*44/12</f>
        <v>1.2631037838165136</v>
      </c>
      <c r="BR88" s="21">
        <f>EXP(-LN(2)/2)*BR87+(1-EXP(-LN(2)/2))/(LN(2)/2)*BL88*BO88*VLOOKUP('Données projet'!$B$11,Paramètres!$A$1:$I$89,3,0)*0.475*44/12</f>
        <v>4.7745448947809723E-8</v>
      </c>
      <c r="BS88" s="22">
        <f t="shared" si="63"/>
        <v>1.6004452913131013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5.2606837606837598</v>
      </c>
      <c r="BY88" s="12">
        <f>IF('Données projet'!$A$114&gt;35,BY87+BX88-CG87,IF(A88&lt;'Données projet'!$A$114,$BV$205^A88,IF(A88='Données projet'!$A$114,'Données projet'!$B$114,BY87+BX88-CG87)))</f>
        <v>170.18376068376057</v>
      </c>
      <c r="BZ88" s="13">
        <f>BY88*VLOOKUP('Données projet'!$B$12,Paramètres!$A$1:$I$89,3,0)*VLOOKUP('Données projet'!$B$12,Paramètres!$A$1:$I$89,5,0)</f>
        <v>183.18579999999986</v>
      </c>
      <c r="CA88" s="13">
        <f t="shared" si="93"/>
        <v>46.030242637170218</v>
      </c>
      <c r="CB88" s="20">
        <f t="shared" si="64"/>
        <v>399.21794092640448</v>
      </c>
      <c r="CC88" s="59">
        <f t="shared" si="65"/>
        <v>692.55127425973774</v>
      </c>
      <c r="CD88" s="59">
        <f ca="1">AVERAGE(OFFSET($CC$3,0,0,'Données projet'!$E$12+1,1))-AVERAGE(OFFSET($H$3,0,0,'Données projet'!$E$12+1,1))</f>
        <v>211.18501783767226</v>
      </c>
      <c r="CE88" s="59">
        <f t="shared" si="94"/>
        <v>147.98306963466246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0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5.2606837606837598</v>
      </c>
      <c r="CT88" s="12">
        <f>IF('Données projet'!$A$140&gt;35,CT87+CS88-DB87,IF(A88&lt;'Données projet'!$A$140,$CQ$205^A88,IF(A88='Données projet'!$A$140,'Données projet'!$B$140,CT87+CS88-DB87)))</f>
        <v>170.18376068376057</v>
      </c>
      <c r="CU88" s="17">
        <f>CT88*VLOOKUP('Données projet'!$B$13,Paramètres!$A$1:$I$89,3,0)*VLOOKUP('Données projet'!$B$13,Paramètres!$A$1:$I$89,5,0)</f>
        <v>183.18579999999986</v>
      </c>
      <c r="CV88" s="13">
        <f t="shared" si="95"/>
        <v>46.030242637170218</v>
      </c>
      <c r="CW88" s="20">
        <f t="shared" si="67"/>
        <v>399.21794092640448</v>
      </c>
      <c r="CX88" s="59">
        <f t="shared" si="68"/>
        <v>692.55127425973774</v>
      </c>
      <c r="CY88" s="59">
        <f ca="1">AVERAGE(OFFSET($CX$3,0,0,'Données projet'!$E$13+1,1))-AVERAGE(OFFSET($H$3,0,0,'Données projet'!$E$13+1,1))</f>
        <v>211.18501783767226</v>
      </c>
      <c r="CZ88" s="59">
        <f t="shared" si="96"/>
        <v>147.98306963466246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0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-1.3596945791505279E-13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182.25704762953387</v>
      </c>
      <c r="T89" s="59">
        <f t="shared" si="88"/>
        <v>265.61788177751134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1.6484494706927295</v>
      </c>
      <c r="AA89" s="21">
        <f>EXP(-LN(2)/25)*AA88+(1-EXP(-LN(2)/25))/(LN(2)/25)*Calculateur!V89*Calculateur!X89*VLOOKUP('Données projet'!$B$9,Paramètres!$A$1:$I$89,3,0)*0.475*44/12</f>
        <v>3.6261493443647002</v>
      </c>
      <c r="AB89" s="21">
        <f>EXP(-LN(2)/2)*AB88+(1-EXP(-LN(2)/2))/(LN(2)/2)*V89*Y89*VLOOKUP('Données projet'!$B$9,Paramètres!$A$1:$I$89,3,0)*0.475*44/12</f>
        <v>1.0989240755916068E-8</v>
      </c>
      <c r="AC89" s="22">
        <f t="shared" si="57"/>
        <v>5.2745988260466703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7.4950142450142483</v>
      </c>
      <c r="AI89" s="13">
        <f>IF('Données projet'!$A$62&gt;35,AI88+AH89-AQ88,IF(A89&lt;'Données projet'!$A$62,$AF$205^A89,IF(A89='Données projet'!$A$62,'Données projet'!$B$62,AI88+AH89-AQ88)))</f>
        <v>273.3739316239317</v>
      </c>
      <c r="AJ89" s="13">
        <f>AI89*VLOOKUP('Données projet'!$B$10,Paramètres!$A$1:$I$89,3,0)*VLOOKUP('Données projet'!$B$10,Paramètres!$A$1:$I$89,5,0)</f>
        <v>277.20116666666678</v>
      </c>
      <c r="AK89" s="13">
        <f t="shared" si="89"/>
        <v>66.375189559669764</v>
      </c>
      <c r="AL89" s="20">
        <f t="shared" si="58"/>
        <v>598.39548709420285</v>
      </c>
      <c r="AM89" s="59">
        <f t="shared" si="59"/>
        <v>891.72882042753622</v>
      </c>
      <c r="AN89" s="59">
        <f ca="1">AVERAGE(OFFSET($AM$3,0,0,'Données projet'!$E$10+1,1))-AVERAGE(OFFSET($H$3,0,0,'Données projet'!$E$10+1,1))</f>
        <v>263.15518481854753</v>
      </c>
      <c r="AO89" s="59">
        <f t="shared" si="90"/>
        <v>210.80755370263819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4.7</v>
      </c>
      <c r="BD89" s="12">
        <f>IF('Données projet'!$A$88&gt;35,BD88+BC89-BL88,IF(A89&lt;'Données projet'!$A$88,$BA$205^A89,IF(A89='Données projet'!$A$88,'Données projet'!$B$88,BD88+BC89-BL88)))</f>
        <v>288.19999999999976</v>
      </c>
      <c r="BE89" s="13">
        <f>BD89*VLOOKUP('Données projet'!$B$11,Paramètres!$A$1:$I$89,3,0)*VLOOKUP('Données projet'!$B$11,Paramètres!$A$1:$I$89,5,0)</f>
        <v>233.78783999999985</v>
      </c>
      <c r="BF89" s="13">
        <f t="shared" si="91"/>
        <v>57.100920847849451</v>
      </c>
      <c r="BG89" s="20">
        <f t="shared" si="61"/>
        <v>506.63125847667089</v>
      </c>
      <c r="BH89" s="59">
        <f t="shared" si="62"/>
        <v>799.96459181000421</v>
      </c>
      <c r="BI89" s="59">
        <f ca="1">AVERAGE(OFFSET($BH$3,0,0,'Données projet'!$E$11+1,1))-AVERAGE(OFFSET($H$3,0,0,'Données projet'!$E$11+1,1))</f>
        <v>203.21935660591021</v>
      </c>
      <c r="BJ89" s="59">
        <f t="shared" si="92"/>
        <v>180.54762778843178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0.3307263994833925</v>
      </c>
      <c r="BQ89" s="21">
        <f>EXP(-LN(2)/25)*BQ88+(1-EXP(-LN(2)/25))/(LN(2)/25)*Calculateur!BL89*Calculateur!BN89*VLOOKUP('Données projet'!$B$11,Paramètres!$A$1:$I$89,3,0)*0.475*44/12</f>
        <v>1.2285641444243098</v>
      </c>
      <c r="BR89" s="21">
        <f>EXP(-LN(2)/2)*BR88+(1-EXP(-LN(2)/2))/(LN(2)/2)*BL89*BO89*VLOOKUP('Données projet'!$B$11,Paramètres!$A$1:$I$89,3,0)*0.475*44/12</f>
        <v>3.3761130721792365E-8</v>
      </c>
      <c r="BS89" s="22">
        <f t="shared" si="63"/>
        <v>1.5592905776688331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5.2606837606837598</v>
      </c>
      <c r="BY89" s="12">
        <f>IF('Données projet'!$A$114&gt;35,BY88+BX89-CG88,IF(A89&lt;'Données projet'!$A$114,$BV$205^A89,IF(A89='Données projet'!$A$114,'Données projet'!$B$114,BY88+BX89-CG88)))</f>
        <v>175.44444444444431</v>
      </c>
      <c r="BZ89" s="13">
        <f>BY89*VLOOKUP('Données projet'!$B$12,Paramètres!$A$1:$I$89,3,0)*VLOOKUP('Données projet'!$B$12,Paramètres!$A$1:$I$89,5,0)</f>
        <v>188.84839999999986</v>
      </c>
      <c r="CA89" s="13">
        <f t="shared" si="93"/>
        <v>47.285260426836061</v>
      </c>
      <c r="CB89" s="20">
        <f t="shared" si="64"/>
        <v>411.2661252434059</v>
      </c>
      <c r="CC89" s="59">
        <f t="shared" si="65"/>
        <v>704.59945857673915</v>
      </c>
      <c r="CD89" s="59">
        <f ca="1">AVERAGE(OFFSET($CC$3,0,0,'Données projet'!$E$12+1,1))-AVERAGE(OFFSET($H$3,0,0,'Données projet'!$E$12+1,1))</f>
        <v>211.18501783767226</v>
      </c>
      <c r="CE89" s="59">
        <f t="shared" si="94"/>
        <v>147.98306963466246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0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5.2606837606837598</v>
      </c>
      <c r="CT89" s="12">
        <f>IF('Données projet'!$A$140&gt;35,CT88+CS89-DB88,IF(A89&lt;'Données projet'!$A$140,$CQ$205^A89,IF(A89='Données projet'!$A$140,'Données projet'!$B$140,CT88+CS89-DB88)))</f>
        <v>175.44444444444431</v>
      </c>
      <c r="CU89" s="17">
        <f>CT89*VLOOKUP('Données projet'!$B$13,Paramètres!$A$1:$I$89,3,0)*VLOOKUP('Données projet'!$B$13,Paramètres!$A$1:$I$89,5,0)</f>
        <v>188.84839999999986</v>
      </c>
      <c r="CV89" s="13">
        <f t="shared" si="95"/>
        <v>47.285260426836061</v>
      </c>
      <c r="CW89" s="20">
        <f t="shared" si="67"/>
        <v>411.2661252434059</v>
      </c>
      <c r="CX89" s="59">
        <f t="shared" si="68"/>
        <v>704.59945857673915</v>
      </c>
      <c r="CY89" s="59">
        <f ca="1">AVERAGE(OFFSET($CX$3,0,0,'Données projet'!$E$13+1,1))-AVERAGE(OFFSET($H$3,0,0,'Données projet'!$E$13+1,1))</f>
        <v>211.18501783767226</v>
      </c>
      <c r="CZ89" s="59">
        <f t="shared" si="96"/>
        <v>147.98306963466246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0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-1.3596945791505279E-13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182.25704762953387</v>
      </c>
      <c r="T90" s="59">
        <f t="shared" si="88"/>
        <v>265.61788177751134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1.6161243820273419</v>
      </c>
      <c r="AA90" s="21">
        <f>EXP(-LN(2)/25)*AA89+(1-EXP(-LN(2)/25))/(LN(2)/25)*Calculateur!V90*Calculateur!X90*VLOOKUP('Données projet'!$B$9,Paramètres!$A$1:$I$89,3,0)*0.475*44/12</f>
        <v>3.5269920998521411</v>
      </c>
      <c r="AB90" s="21">
        <f>EXP(-LN(2)/2)*AB89+(1-EXP(-LN(2)/2))/(LN(2)/2)*V90*Y90*VLOOKUP('Données projet'!$B$9,Paramètres!$A$1:$I$89,3,0)*0.475*44/12</f>
        <v>7.7705666585998334E-9</v>
      </c>
      <c r="AC90" s="22">
        <f t="shared" si="57"/>
        <v>5.1431164896500494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7.4950142450142483</v>
      </c>
      <c r="AI90" s="13">
        <f>IF('Données projet'!$A$62&gt;35,AI89+AH90-AQ89,IF(A90&lt;'Données projet'!$A$62,$AF$205^A90,IF(A90='Données projet'!$A$62,'Données projet'!$B$62,AI89+AH90-AQ89)))</f>
        <v>280.86894586894596</v>
      </c>
      <c r="AJ90" s="13">
        <f>AI90*VLOOKUP('Données projet'!$B$10,Paramètres!$A$1:$I$89,3,0)*VLOOKUP('Données projet'!$B$10,Paramètres!$A$1:$I$89,5,0)</f>
        <v>284.8011111111112</v>
      </c>
      <c r="AK90" s="13">
        <f t="shared" si="89"/>
        <v>67.980615549338779</v>
      </c>
      <c r="AL90" s="20">
        <f t="shared" si="58"/>
        <v>614.42817393361702</v>
      </c>
      <c r="AM90" s="59">
        <f t="shared" si="59"/>
        <v>907.76150726695028</v>
      </c>
      <c r="AN90" s="59">
        <f ca="1">AVERAGE(OFFSET($AM$3,0,0,'Données projet'!$E$10+1,1))-AVERAGE(OFFSET($H$3,0,0,'Données projet'!$E$10+1,1))</f>
        <v>263.15518481854753</v>
      </c>
      <c r="AO90" s="59">
        <f t="shared" si="90"/>
        <v>210.80755370263819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4.7</v>
      </c>
      <c r="BD90" s="12">
        <f>IF('Données projet'!$A$88&gt;35,BD89+BC90-BL89,IF(A90&lt;'Données projet'!$A$88,$BA$205^A90,IF(A90='Données projet'!$A$88,'Données projet'!$B$88,BD89+BC90-BL89)))</f>
        <v>292.89999999999975</v>
      </c>
      <c r="BE90" s="13">
        <f>BD90*VLOOKUP('Données projet'!$B$11,Paramètres!$A$1:$I$89,3,0)*VLOOKUP('Données projet'!$B$11,Paramètres!$A$1:$I$89,5,0)</f>
        <v>237.60047999999981</v>
      </c>
      <c r="BF90" s="13">
        <f t="shared" si="91"/>
        <v>57.922960533442058</v>
      </c>
      <c r="BG90" s="20">
        <f t="shared" si="61"/>
        <v>514.70332559574456</v>
      </c>
      <c r="BH90" s="59">
        <f t="shared" si="62"/>
        <v>808.03665892907793</v>
      </c>
      <c r="BI90" s="59">
        <f ca="1">AVERAGE(OFFSET($BH$3,0,0,'Données projet'!$E$11+1,1))-AVERAGE(OFFSET($H$3,0,0,'Données projet'!$E$11+1,1))</f>
        <v>203.21935660591021</v>
      </c>
      <c r="BJ90" s="59">
        <f t="shared" si="92"/>
        <v>180.54762778843178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0.32424105651270835</v>
      </c>
      <c r="BQ90" s="21">
        <f>EXP(-LN(2)/25)*BQ89+(1-EXP(-LN(2)/25))/(LN(2)/25)*Calculateur!BL90*Calculateur!BN90*VLOOKUP('Données projet'!$B$11,Paramètres!$A$1:$I$89,3,0)*0.475*44/12</f>
        <v>1.1949689932876466</v>
      </c>
      <c r="BR90" s="21">
        <f>EXP(-LN(2)/2)*BR89+(1-EXP(-LN(2)/2))/(LN(2)/2)*BL90*BO90*VLOOKUP('Données projet'!$B$11,Paramètres!$A$1:$I$89,3,0)*0.475*44/12</f>
        <v>2.3872724473904862E-8</v>
      </c>
      <c r="BS90" s="22">
        <f t="shared" si="63"/>
        <v>1.5192100736730794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5.2606837606837598</v>
      </c>
      <c r="BY90" s="12">
        <f>IF('Données projet'!$A$114&gt;35,BY89+BX90-CG89,IF(A90&lt;'Données projet'!$A$114,$BV$205^A90,IF(A90='Données projet'!$A$114,'Données projet'!$B$114,BY89+BX90-CG89)))</f>
        <v>180.70512820512806</v>
      </c>
      <c r="BZ90" s="13">
        <f>BY90*VLOOKUP('Données projet'!$B$12,Paramètres!$A$1:$I$89,3,0)*VLOOKUP('Données projet'!$B$12,Paramètres!$A$1:$I$89,5,0)</f>
        <v>194.51099999999983</v>
      </c>
      <c r="CA90" s="13">
        <f t="shared" si="93"/>
        <v>48.535904843418692</v>
      </c>
      <c r="CB90" s="20">
        <f t="shared" si="64"/>
        <v>423.30669260228728</v>
      </c>
      <c r="CC90" s="59">
        <f t="shared" si="65"/>
        <v>716.64002593562054</v>
      </c>
      <c r="CD90" s="59">
        <f ca="1">AVERAGE(OFFSET($CC$3,0,0,'Données projet'!$E$12+1,1))-AVERAGE(OFFSET($H$3,0,0,'Données projet'!$E$12+1,1))</f>
        <v>211.18501783767226</v>
      </c>
      <c r="CE90" s="59">
        <f t="shared" si="94"/>
        <v>147.98306963466246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0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5.2606837606837598</v>
      </c>
      <c r="CT90" s="12">
        <f>IF('Données projet'!$A$140&gt;35,CT89+CS90-DB89,IF(A90&lt;'Données projet'!$A$140,$CQ$205^A90,IF(A90='Données projet'!$A$140,'Données projet'!$B$140,CT89+CS90-DB89)))</f>
        <v>180.70512820512806</v>
      </c>
      <c r="CU90" s="17">
        <f>CT90*VLOOKUP('Données projet'!$B$13,Paramètres!$A$1:$I$89,3,0)*VLOOKUP('Données projet'!$B$13,Paramètres!$A$1:$I$89,5,0)</f>
        <v>194.51099999999983</v>
      </c>
      <c r="CV90" s="13">
        <f t="shared" si="95"/>
        <v>48.535904843418692</v>
      </c>
      <c r="CW90" s="20">
        <f t="shared" si="67"/>
        <v>423.30669260228728</v>
      </c>
      <c r="CX90" s="59">
        <f t="shared" si="68"/>
        <v>716.64002593562054</v>
      </c>
      <c r="CY90" s="59">
        <f ca="1">AVERAGE(OFFSET($CX$3,0,0,'Données projet'!$E$13+1,1))-AVERAGE(OFFSET($H$3,0,0,'Données projet'!$E$13+1,1))</f>
        <v>211.18501783767226</v>
      </c>
      <c r="CZ90" s="59">
        <f t="shared" si="96"/>
        <v>147.98306963466246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0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-1.3596945791505279E-13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182.25704762953387</v>
      </c>
      <c r="T91" s="59">
        <f t="shared" si="88"/>
        <v>265.61788177751134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1.5844331686343252</v>
      </c>
      <c r="AA91" s="21">
        <f>EXP(-LN(2)/25)*AA90+(1-EXP(-LN(2)/25))/(LN(2)/25)*Calculateur!V91*Calculateur!X91*VLOOKUP('Données projet'!$B$9,Paramètres!$A$1:$I$89,3,0)*0.475*44/12</f>
        <v>3.4305463154052309</v>
      </c>
      <c r="AB91" s="21">
        <f>EXP(-LN(2)/2)*AB90+(1-EXP(-LN(2)/2))/(LN(2)/2)*V91*Y91*VLOOKUP('Données projet'!$B$9,Paramètres!$A$1:$I$89,3,0)*0.475*44/12</f>
        <v>5.4946203779580342E-9</v>
      </c>
      <c r="AC91" s="22">
        <f t="shared" si="57"/>
        <v>5.014979489534177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7.4950142450142483</v>
      </c>
      <c r="AI91" s="13">
        <f>IF('Données projet'!$A$62&gt;35,AI90+AH91-AQ90,IF(A91&lt;'Données projet'!$A$62,$AF$205^A91,IF(A91='Données projet'!$A$62,'Données projet'!$B$62,AI90+AH91-AQ90)))</f>
        <v>288.36396011396022</v>
      </c>
      <c r="AJ91" s="13">
        <f>AI91*VLOOKUP('Données projet'!$B$10,Paramètres!$A$1:$I$89,3,0)*VLOOKUP('Données projet'!$B$10,Paramètres!$A$1:$I$89,5,0)</f>
        <v>292.40105555555567</v>
      </c>
      <c r="AK91" s="13">
        <f t="shared" si="89"/>
        <v>69.581061965327606</v>
      </c>
      <c r="AL91" s="20">
        <f t="shared" si="58"/>
        <v>630.45218801553835</v>
      </c>
      <c r="AM91" s="59">
        <f t="shared" si="59"/>
        <v>923.78552134887173</v>
      </c>
      <c r="AN91" s="59">
        <f ca="1">AVERAGE(OFFSET($AM$3,0,0,'Données projet'!$E$10+1,1))-AVERAGE(OFFSET($H$3,0,0,'Données projet'!$E$10+1,1))</f>
        <v>263.15518481854753</v>
      </c>
      <c r="AO91" s="59">
        <f t="shared" si="90"/>
        <v>210.80755370263819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4.7</v>
      </c>
      <c r="BD91" s="12">
        <f>IF('Données projet'!$A$88&gt;35,BD90+BC91-BL90,IF(A91&lt;'Données projet'!$A$88,$BA$205^A91,IF(A91='Données projet'!$A$88,'Données projet'!$B$88,BD90+BC91-BL90)))</f>
        <v>297.59999999999974</v>
      </c>
      <c r="BE91" s="13">
        <f>BD91*VLOOKUP('Données projet'!$B$11,Paramètres!$A$1:$I$89,3,0)*VLOOKUP('Données projet'!$B$11,Paramètres!$A$1:$I$89,5,0)</f>
        <v>241.41311999999979</v>
      </c>
      <c r="BF91" s="13">
        <f t="shared" si="91"/>
        <v>58.743466172863258</v>
      </c>
      <c r="BG91" s="20">
        <f t="shared" si="61"/>
        <v>522.77272091773648</v>
      </c>
      <c r="BH91" s="59">
        <f t="shared" si="62"/>
        <v>816.10605425106974</v>
      </c>
      <c r="BI91" s="59">
        <f ca="1">AVERAGE(OFFSET($BH$3,0,0,'Données projet'!$E$11+1,1))-AVERAGE(OFFSET($H$3,0,0,'Données projet'!$E$11+1,1))</f>
        <v>203.21935660591021</v>
      </c>
      <c r="BJ91" s="59">
        <f t="shared" si="92"/>
        <v>180.54762778843178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0.31788288716201069</v>
      </c>
      <c r="BQ91" s="21">
        <f>EXP(-LN(2)/25)*BQ90+(1-EXP(-LN(2)/25))/(LN(2)/25)*Calculateur!BL91*Calculateur!BN91*VLOOKUP('Données projet'!$B$11,Paramètres!$A$1:$I$89,3,0)*0.475*44/12</f>
        <v>1.1622925033255076</v>
      </c>
      <c r="BR91" s="21">
        <f>EXP(-LN(2)/2)*BR90+(1-EXP(-LN(2)/2))/(LN(2)/2)*BL91*BO91*VLOOKUP('Données projet'!$B$11,Paramètres!$A$1:$I$89,3,0)*0.475*44/12</f>
        <v>1.6880565360896183E-8</v>
      </c>
      <c r="BS91" s="22">
        <f t="shared" si="63"/>
        <v>1.4801754073680837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5.2606837606837598</v>
      </c>
      <c r="BY91" s="12">
        <f>IF('Données projet'!$A$114&gt;35,BY90+BX91-CG90,IF(A91&lt;'Données projet'!$A$114,$BV$205^A91,IF(A91='Données projet'!$A$114,'Données projet'!$B$114,BY90+BX91-CG90)))</f>
        <v>185.96581196581181</v>
      </c>
      <c r="BZ91" s="13">
        <f>BY91*VLOOKUP('Données projet'!$B$12,Paramètres!$A$1:$I$89,3,0)*VLOOKUP('Données projet'!$B$12,Paramètres!$A$1:$I$89,5,0)</f>
        <v>200.17359999999982</v>
      </c>
      <c r="CA91" s="13">
        <f t="shared" si="93"/>
        <v>49.782317824307299</v>
      </c>
      <c r="CB91" s="20">
        <f t="shared" si="64"/>
        <v>435.33989021066822</v>
      </c>
      <c r="CC91" s="59">
        <f t="shared" si="65"/>
        <v>728.67322354400153</v>
      </c>
      <c r="CD91" s="59">
        <f ca="1">AVERAGE(OFFSET($CC$3,0,0,'Données projet'!$E$12+1,1))-AVERAGE(OFFSET($H$3,0,0,'Données projet'!$E$12+1,1))</f>
        <v>211.18501783767226</v>
      </c>
      <c r="CE91" s="59">
        <f t="shared" si="94"/>
        <v>147.98306963466246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0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5.2606837606837598</v>
      </c>
      <c r="CT91" s="12">
        <f>IF('Données projet'!$A$140&gt;35,CT90+CS91-DB90,IF(A91&lt;'Données projet'!$A$140,$CQ$205^A91,IF(A91='Données projet'!$A$140,'Données projet'!$B$140,CT90+CS91-DB90)))</f>
        <v>185.96581196581181</v>
      </c>
      <c r="CU91" s="17">
        <f>CT91*VLOOKUP('Données projet'!$B$13,Paramètres!$A$1:$I$89,3,0)*VLOOKUP('Données projet'!$B$13,Paramètres!$A$1:$I$89,5,0)</f>
        <v>200.17359999999982</v>
      </c>
      <c r="CV91" s="13">
        <f t="shared" si="95"/>
        <v>49.782317824307299</v>
      </c>
      <c r="CW91" s="20">
        <f t="shared" si="67"/>
        <v>435.33989021066822</v>
      </c>
      <c r="CX91" s="59">
        <f t="shared" si="68"/>
        <v>728.67322354400153</v>
      </c>
      <c r="CY91" s="59">
        <f ca="1">AVERAGE(OFFSET($CX$3,0,0,'Données projet'!$E$13+1,1))-AVERAGE(OFFSET($H$3,0,0,'Données projet'!$E$13+1,1))</f>
        <v>211.18501783767226</v>
      </c>
      <c r="CZ91" s="59">
        <f t="shared" si="96"/>
        <v>147.98306963466246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0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-1.3596945791505279E-13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182.25704762953387</v>
      </c>
      <c r="T92" s="59">
        <f t="shared" si="88"/>
        <v>265.61788177751134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1.553363400606214</v>
      </c>
      <c r="AA92" s="21">
        <f>EXP(-LN(2)/25)*AA91+(1-EXP(-LN(2)/25))/(LN(2)/25)*Calculateur!V92*Calculateur!X92*VLOOKUP('Données projet'!$B$9,Paramètres!$A$1:$I$89,3,0)*0.475*44/12</f>
        <v>3.3367378460058847</v>
      </c>
      <c r="AB92" s="21">
        <f>EXP(-LN(2)/2)*AB91+(1-EXP(-LN(2)/2))/(LN(2)/2)*V92*Y92*VLOOKUP('Données projet'!$B$9,Paramètres!$A$1:$I$89,3,0)*0.475*44/12</f>
        <v>3.8852833292999167E-9</v>
      </c>
      <c r="AC92" s="22">
        <f t="shared" si="57"/>
        <v>4.8901012504973824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>
        <f>VLOOKUP(A92,'Données projet'!$A$61:$I$81,2,0)</f>
        <v>295.85897435897436</v>
      </c>
      <c r="AG92" s="12">
        <f>VLOOKUP(A92,'Données projet'!$A$61:$I$81,9,0)</f>
        <v>7.4950142450142483</v>
      </c>
      <c r="AH92" s="12">
        <f t="array" ref="AH92">INDEX(AG:AG,MIN(IF(ISNUMBER(AG92:AG288),ROW(AG92:AG288),"")))</f>
        <v>7.4950142450142483</v>
      </c>
      <c r="AI92" s="13">
        <f>IF('Données projet'!$A$62&gt;35,AI91+AH92-AQ91,IF(A92&lt;'Données projet'!$A$62,$AF$205^A92,IF(A92='Données projet'!$A$62,'Données projet'!$B$62,AI91+AH92-AQ91)))</f>
        <v>295.85897435897448</v>
      </c>
      <c r="AJ92" s="13">
        <f>AI92*VLOOKUP('Données projet'!$B$10,Paramètres!$A$1:$I$89,3,0)*VLOOKUP('Données projet'!$B$10,Paramètres!$A$1:$I$89,5,0)</f>
        <v>300.00100000000015</v>
      </c>
      <c r="AK92" s="13">
        <f t="shared" si="89"/>
        <v>71.176673114058062</v>
      </c>
      <c r="AL92" s="20">
        <f t="shared" si="58"/>
        <v>646.46778067365142</v>
      </c>
      <c r="AM92" s="59">
        <f t="shared" si="59"/>
        <v>939.80111400698479</v>
      </c>
      <c r="AN92" s="59">
        <f ca="1">AVERAGE(OFFSET($AM$3,0,0,'Données projet'!$E$10+1,1))-AVERAGE(OFFSET($H$3,0,0,'Données projet'!$E$10+1,1))</f>
        <v>263.15518481854753</v>
      </c>
      <c r="AO92" s="59">
        <f t="shared" si="90"/>
        <v>210.80755370263819</v>
      </c>
      <c r="AP92" s="15">
        <f>IF(ISNA(VLOOKUP(A92,'Données projet'!$A$61:$I$81,3,0)),0,VLOOKUP(A92,'Données projet'!$A$61:$I$81,3,0))</f>
        <v>8</v>
      </c>
      <c r="AQ92" s="15">
        <f>IF(ISNA(VLOOKUP(A92,'Données projet'!$A$61:$I$81,4,0)),0,VLOOKUP(A92,'Données projet'!$A$61:$I$81,4,0))</f>
        <v>49.391025641025635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4.7</v>
      </c>
      <c r="BD92" s="12">
        <f>IF('Données projet'!$A$88&gt;35,BD91+BC92-BL91,IF(A92&lt;'Données projet'!$A$88,$BA$205^A92,IF(A92='Données projet'!$A$88,'Données projet'!$B$88,BD91+BC92-BL91)))</f>
        <v>302.29999999999973</v>
      </c>
      <c r="BE92" s="13">
        <f>BD92*VLOOKUP('Données projet'!$B$11,Paramètres!$A$1:$I$89,3,0)*VLOOKUP('Données projet'!$B$11,Paramètres!$A$1:$I$89,5,0)</f>
        <v>245.22575999999978</v>
      </c>
      <c r="BF92" s="13">
        <f t="shared" si="91"/>
        <v>59.562464790785356</v>
      </c>
      <c r="BG92" s="20">
        <f t="shared" si="61"/>
        <v>530.83949151061745</v>
      </c>
      <c r="BH92" s="59">
        <f t="shared" si="62"/>
        <v>824.17282484395082</v>
      </c>
      <c r="BI92" s="59">
        <f ca="1">AVERAGE(OFFSET($BH$3,0,0,'Données projet'!$E$11+1,1))-AVERAGE(OFFSET($H$3,0,0,'Données projet'!$E$11+1,1))</f>
        <v>203.21935660591021</v>
      </c>
      <c r="BJ92" s="59">
        <f t="shared" si="92"/>
        <v>180.54762778843178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0.31164939763417981</v>
      </c>
      <c r="BQ92" s="21">
        <f>EXP(-LN(2)/25)*BQ91+(1-EXP(-LN(2)/25))/(LN(2)/25)*Calculateur!BL92*Calculateur!BN92*VLOOKUP('Données projet'!$B$11,Paramètres!$A$1:$I$89,3,0)*0.475*44/12</f>
        <v>1.1305095536997654</v>
      </c>
      <c r="BR92" s="21">
        <f>EXP(-LN(2)/2)*BR91+(1-EXP(-LN(2)/2))/(LN(2)/2)*BL92*BO92*VLOOKUP('Données projet'!$B$11,Paramètres!$A$1:$I$89,3,0)*0.475*44/12</f>
        <v>1.1936362236952431E-8</v>
      </c>
      <c r="BS92" s="22">
        <f t="shared" si="63"/>
        <v>1.4421589632703076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5.2606837606837598</v>
      </c>
      <c r="BY92" s="12">
        <f>IF('Données projet'!$A$114&gt;35,BY91+BX92-CG91,IF(A92&lt;'Données projet'!$A$114,$BV$205^A92,IF(A92='Données projet'!$A$114,'Données projet'!$B$114,BY91+BX92-CG91)))</f>
        <v>191.22649572649556</v>
      </c>
      <c r="BZ92" s="13">
        <f>BY92*VLOOKUP('Données projet'!$B$12,Paramètres!$A$1:$I$89,3,0)*VLOOKUP('Données projet'!$B$12,Paramètres!$A$1:$I$89,5,0)</f>
        <v>205.83619999999979</v>
      </c>
      <c r="CA92" s="13">
        <f t="shared" si="93"/>
        <v>51.024632819698049</v>
      </c>
      <c r="CB92" s="20">
        <f t="shared" si="64"/>
        <v>447.36595049430707</v>
      </c>
      <c r="CC92" s="59">
        <f t="shared" si="65"/>
        <v>740.69928382764033</v>
      </c>
      <c r="CD92" s="59">
        <f ca="1">AVERAGE(OFFSET($CC$3,0,0,'Données projet'!$E$12+1,1))-AVERAGE(OFFSET($H$3,0,0,'Données projet'!$E$12+1,1))</f>
        <v>211.18501783767226</v>
      </c>
      <c r="CE92" s="59">
        <f t="shared" si="94"/>
        <v>147.98306963466246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0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5.2606837606837598</v>
      </c>
      <c r="CT92" s="12">
        <f>IF('Données projet'!$A$140&gt;35,CT91+CS92-DB91,IF(A92&lt;'Données projet'!$A$140,$CQ$205^A92,IF(A92='Données projet'!$A$140,'Données projet'!$B$140,CT91+CS92-DB91)))</f>
        <v>191.22649572649556</v>
      </c>
      <c r="CU92" s="17">
        <f>CT92*VLOOKUP('Données projet'!$B$13,Paramètres!$A$1:$I$89,3,0)*VLOOKUP('Données projet'!$B$13,Paramètres!$A$1:$I$89,5,0)</f>
        <v>205.83619999999979</v>
      </c>
      <c r="CV92" s="13">
        <f t="shared" si="95"/>
        <v>51.024632819698049</v>
      </c>
      <c r="CW92" s="20">
        <f t="shared" si="67"/>
        <v>447.36595049430707</v>
      </c>
      <c r="CX92" s="59">
        <f t="shared" si="68"/>
        <v>740.69928382764033</v>
      </c>
      <c r="CY92" s="59">
        <f ca="1">AVERAGE(OFFSET($CX$3,0,0,'Données projet'!$E$13+1,1))-AVERAGE(OFFSET($H$3,0,0,'Données projet'!$E$13+1,1))</f>
        <v>211.18501783767226</v>
      </c>
      <c r="CZ92" s="59">
        <f t="shared" si="96"/>
        <v>147.98306963466246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0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-1.3596945791505279E-13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182.25704762953387</v>
      </c>
      <c r="T93" s="59">
        <f t="shared" si="88"/>
        <v>265.61788177751134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1.5229028917784468</v>
      </c>
      <c r="AA93" s="21">
        <f>EXP(-LN(2)/25)*AA92+(1-EXP(-LN(2)/25))/(LN(2)/25)*Calculateur!V93*Calculateur!X93*VLOOKUP('Données projet'!$B$9,Paramètres!$A$1:$I$89,3,0)*0.475*44/12</f>
        <v>3.2454945741354368</v>
      </c>
      <c r="AB93" s="21">
        <f>EXP(-LN(2)/2)*AB92+(1-EXP(-LN(2)/2))/(LN(2)/2)*V93*Y93*VLOOKUP('Données projet'!$B$9,Paramètres!$A$1:$I$89,3,0)*0.475*44/12</f>
        <v>2.7473101889790171E-9</v>
      </c>
      <c r="AC93" s="22">
        <f t="shared" si="57"/>
        <v>4.7683974686611936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7.1782051282051267</v>
      </c>
      <c r="AI93" s="13">
        <f>IF('Données projet'!$A$62&gt;35,AI92+AH93-AQ92,IF(A93&lt;'Données projet'!$A$62,$AF$205^A93,IF(A93='Données projet'!$A$62,'Données projet'!$B$62,AI92+AH93-AQ92)))</f>
        <v>253.64615384615399</v>
      </c>
      <c r="AJ93" s="13">
        <f>AI93*VLOOKUP('Données projet'!$B$10,Paramètres!$A$1:$I$89,3,0)*VLOOKUP('Données projet'!$B$10,Paramètres!$A$1:$I$89,5,0)</f>
        <v>257.19720000000012</v>
      </c>
      <c r="AK93" s="13">
        <f t="shared" si="89"/>
        <v>62.124557913773565</v>
      </c>
      <c r="AL93" s="20">
        <f t="shared" si="58"/>
        <v>556.15206169982241</v>
      </c>
      <c r="AM93" s="59">
        <f t="shared" si="59"/>
        <v>849.48539503315578</v>
      </c>
      <c r="AN93" s="59">
        <f ca="1">AVERAGE(OFFSET($AM$3,0,0,'Données projet'!$E$10+1,1))-AVERAGE(OFFSET($H$3,0,0,'Données projet'!$E$10+1,1))</f>
        <v>263.15518481854753</v>
      </c>
      <c r="AO93" s="59">
        <f t="shared" si="90"/>
        <v>210.80755370263819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307</v>
      </c>
      <c r="BB93" s="12">
        <f>VLOOKUP(A93,'Données projet'!$A$87:$I$107,9,0)</f>
        <v>4.7</v>
      </c>
      <c r="BC93" s="12">
        <f t="array" ref="BC93">INDEX(BB:BB,MIN(IF(ISNUMBER(BB93:BB289),ROW(BB93:BB289),"")))</f>
        <v>4.7</v>
      </c>
      <c r="BD93" s="12">
        <f>IF('Données projet'!$A$88&gt;35,BD92+BC93-BL92,IF(A93&lt;'Données projet'!$A$88,$BA$205^A93,IF(A93='Données projet'!$A$88,'Données projet'!$B$88,BD92+BC93-BL92)))</f>
        <v>306.99999999999972</v>
      </c>
      <c r="BE93" s="13">
        <f>BD93*VLOOKUP('Données projet'!$B$11,Paramètres!$A$1:$I$89,3,0)*VLOOKUP('Données projet'!$B$11,Paramètres!$A$1:$I$89,5,0)</f>
        <v>249.03839999999977</v>
      </c>
      <c r="BF93" s="13">
        <f t="shared" si="91"/>
        <v>60.379982523339947</v>
      </c>
      <c r="BG93" s="20">
        <f t="shared" si="61"/>
        <v>538.9036828948166</v>
      </c>
      <c r="BH93" s="59">
        <f t="shared" si="62"/>
        <v>832.23701622814997</v>
      </c>
      <c r="BI93" s="59">
        <f ca="1">AVERAGE(OFFSET($BH$3,0,0,'Données projet'!$E$11+1,1))-AVERAGE(OFFSET($H$3,0,0,'Données projet'!$E$11+1,1))</f>
        <v>203.21935660591021</v>
      </c>
      <c r="BJ93" s="59">
        <f t="shared" si="92"/>
        <v>180.54762778843178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31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0.30553814303393656</v>
      </c>
      <c r="BQ93" s="21">
        <f>EXP(-LN(2)/25)*BQ92+(1-EXP(-LN(2)/25))/(LN(2)/25)*Calculateur!BL93*Calculateur!BN93*VLOOKUP('Données projet'!$B$11,Paramètres!$A$1:$I$89,3,0)*0.475*44/12</f>
        <v>1.0995957105029317</v>
      </c>
      <c r="BR93" s="21">
        <f>EXP(-LN(2)/2)*BR92+(1-EXP(-LN(2)/2))/(LN(2)/2)*BL93*BO93*VLOOKUP('Données projet'!$B$11,Paramètres!$A$1:$I$89,3,0)*0.475*44/12</f>
        <v>8.4402826804480913E-9</v>
      </c>
      <c r="BS93" s="22">
        <f t="shared" si="63"/>
        <v>1.405133861977151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5.2606837606837598</v>
      </c>
      <c r="BY93" s="12">
        <f>IF('Données projet'!$A$114&gt;35,BY92+BX93-CG92,IF(A93&lt;'Données projet'!$A$114,$BV$205^A93,IF(A93='Données projet'!$A$114,'Données projet'!$B$114,BY92+BX93-CG92)))</f>
        <v>196.4871794871793</v>
      </c>
      <c r="BZ93" s="13">
        <f>BY93*VLOOKUP('Données projet'!$B$12,Paramètres!$A$1:$I$89,3,0)*VLOOKUP('Données projet'!$B$12,Paramètres!$A$1:$I$89,5,0)</f>
        <v>211.49879999999979</v>
      </c>
      <c r="CA93" s="13">
        <f t="shared" si="93"/>
        <v>52.262975519432992</v>
      </c>
      <c r="CB93" s="20">
        <f t="shared" si="64"/>
        <v>459.38509236301206</v>
      </c>
      <c r="CC93" s="59">
        <f t="shared" si="65"/>
        <v>752.71842569634532</v>
      </c>
      <c r="CD93" s="59">
        <f ca="1">AVERAGE(OFFSET($CC$3,0,0,'Données projet'!$E$12+1,1))-AVERAGE(OFFSET($H$3,0,0,'Données projet'!$E$12+1,1))</f>
        <v>211.18501783767226</v>
      </c>
      <c r="CE93" s="59">
        <f t="shared" si="94"/>
        <v>147.98306963466246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0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5.2606837606837598</v>
      </c>
      <c r="CT93" s="12">
        <f>IF('Données projet'!$A$140&gt;35,CT92+CS93-DB92,IF(A93&lt;'Données projet'!$A$140,$CQ$205^A93,IF(A93='Données projet'!$A$140,'Données projet'!$B$140,CT92+CS93-DB92)))</f>
        <v>196.4871794871793</v>
      </c>
      <c r="CU93" s="17">
        <f>CT93*VLOOKUP('Données projet'!$B$13,Paramètres!$A$1:$I$89,3,0)*VLOOKUP('Données projet'!$B$13,Paramètres!$A$1:$I$89,5,0)</f>
        <v>211.49879999999979</v>
      </c>
      <c r="CV93" s="13">
        <f t="shared" si="95"/>
        <v>52.262975519432992</v>
      </c>
      <c r="CW93" s="20">
        <f t="shared" si="67"/>
        <v>459.38509236301206</v>
      </c>
      <c r="CX93" s="59">
        <f t="shared" si="68"/>
        <v>752.71842569634532</v>
      </c>
      <c r="CY93" s="59">
        <f ca="1">AVERAGE(OFFSET($CX$3,0,0,'Données projet'!$E$13+1,1))-AVERAGE(OFFSET($H$3,0,0,'Données projet'!$E$13+1,1))</f>
        <v>211.18501783767226</v>
      </c>
      <c r="CZ93" s="59">
        <f t="shared" si="96"/>
        <v>147.98306963466246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0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-1.3596945791505279E-13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182.25704762953387</v>
      </c>
      <c r="T94" s="59">
        <f t="shared" si="88"/>
        <v>265.61788177751134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1.4930396949497162</v>
      </c>
      <c r="AA94" s="21">
        <f>EXP(-LN(2)/25)*AA93+(1-EXP(-LN(2)/25))/(LN(2)/25)*Calculateur!V94*Calculateur!X94*VLOOKUP('Données projet'!$B$9,Paramètres!$A$1:$I$89,3,0)*0.475*44/12</f>
        <v>3.1567463543325616</v>
      </c>
      <c r="AB94" s="21">
        <f>EXP(-LN(2)/2)*AB93+(1-EXP(-LN(2)/2))/(LN(2)/2)*V94*Y94*VLOOKUP('Données projet'!$B$9,Paramètres!$A$1:$I$89,3,0)*0.475*44/12</f>
        <v>1.9426416646499584E-9</v>
      </c>
      <c r="AC94" s="22">
        <f t="shared" si="57"/>
        <v>4.6497860512249192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7.1782051282051267</v>
      </c>
      <c r="AI94" s="13">
        <f>IF('Données projet'!$A$62&gt;35,AI93+AH94-AQ93,IF(A94&lt;'Données projet'!$A$62,$AF$205^A94,IF(A94='Données projet'!$A$62,'Données projet'!$B$62,AI93+AH94-AQ93)))</f>
        <v>260.82435897435914</v>
      </c>
      <c r="AJ94" s="13">
        <f>AI94*VLOOKUP('Données projet'!$B$10,Paramètres!$A$1:$I$89,3,0)*VLOOKUP('Données projet'!$B$10,Paramètres!$A$1:$I$89,5,0)</f>
        <v>264.47590000000019</v>
      </c>
      <c r="AK94" s="13">
        <f t="shared" si="89"/>
        <v>63.675509123397177</v>
      </c>
      <c r="AL94" s="20">
        <f t="shared" si="58"/>
        <v>571.53037088991698</v>
      </c>
      <c r="AM94" s="59">
        <f t="shared" si="59"/>
        <v>864.86370422325035</v>
      </c>
      <c r="AN94" s="59">
        <f ca="1">AVERAGE(OFFSET($AM$3,0,0,'Données projet'!$E$10+1,1))-AVERAGE(OFFSET($H$3,0,0,'Données projet'!$E$10+1,1))</f>
        <v>263.15518481854753</v>
      </c>
      <c r="AO94" s="59">
        <f t="shared" si="90"/>
        <v>210.80755370263819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275.99999999999972</v>
      </c>
      <c r="BE94" s="13">
        <f>BD94*VLOOKUP('Données projet'!$B$11,Paramètres!$A$1:$I$89,3,0)*VLOOKUP('Données projet'!$B$11,Paramètres!$A$1:$I$89,5,0)</f>
        <v>223.8911999999998</v>
      </c>
      <c r="BF94" s="13">
        <f t="shared" si="91"/>
        <v>54.95975389514858</v>
      </c>
      <c r="BG94" s="20">
        <f t="shared" si="61"/>
        <v>485.66541136738346</v>
      </c>
      <c r="BH94" s="59">
        <f t="shared" si="62"/>
        <v>778.99874470071677</v>
      </c>
      <c r="BI94" s="59">
        <f ca="1">AVERAGE(OFFSET($BH$3,0,0,'Données projet'!$E$11+1,1))-AVERAGE(OFFSET($H$3,0,0,'Données projet'!$E$11+1,1))</f>
        <v>203.21935660591021</v>
      </c>
      <c r="BJ94" s="59">
        <f t="shared" si="92"/>
        <v>180.54762778843178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0.29954672640890678</v>
      </c>
      <c r="BQ94" s="21">
        <f>EXP(-LN(2)/25)*BQ93+(1-EXP(-LN(2)/25))/(LN(2)/25)*Calculateur!BL94*Calculateur!BN94*VLOOKUP('Données projet'!$B$11,Paramètres!$A$1:$I$89,3,0)*0.475*44/12</f>
        <v>1.0695272079740037</v>
      </c>
      <c r="BR94" s="21">
        <f>EXP(-LN(2)/2)*BR93+(1-EXP(-LN(2)/2))/(LN(2)/2)*BL94*BO94*VLOOKUP('Données projet'!$B$11,Paramètres!$A$1:$I$89,3,0)*0.475*44/12</f>
        <v>5.9681811184762154E-9</v>
      </c>
      <c r="BS94" s="22">
        <f t="shared" si="63"/>
        <v>1.3690739403510914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5.2606837606837598</v>
      </c>
      <c r="BY94" s="12">
        <f>IF('Données projet'!$A$114&gt;35,BY93+BX94-CG93,IF(A94&lt;'Données projet'!$A$114,$BV$205^A94,IF(A94='Données projet'!$A$114,'Données projet'!$B$114,BY93+BX94-CG93)))</f>
        <v>201.74786324786305</v>
      </c>
      <c r="BZ94" s="13">
        <f>BY94*VLOOKUP('Données projet'!$B$12,Paramètres!$A$1:$I$89,3,0)*VLOOKUP('Données projet'!$B$12,Paramètres!$A$1:$I$89,5,0)</f>
        <v>217.16139999999979</v>
      </c>
      <c r="CA94" s="13">
        <f t="shared" si="93"/>
        <v>53.497464499809226</v>
      </c>
      <c r="CB94" s="20">
        <f t="shared" si="64"/>
        <v>471.39752233716735</v>
      </c>
      <c r="CC94" s="59">
        <f t="shared" si="65"/>
        <v>764.73085567050066</v>
      </c>
      <c r="CD94" s="59">
        <f ca="1">AVERAGE(OFFSET($CC$3,0,0,'Données projet'!$E$12+1,1))-AVERAGE(OFFSET($H$3,0,0,'Données projet'!$E$12+1,1))</f>
        <v>211.18501783767226</v>
      </c>
      <c r="CE94" s="59">
        <f t="shared" si="94"/>
        <v>147.98306963466246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0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5.2606837606837598</v>
      </c>
      <c r="CT94" s="12">
        <f>IF('Données projet'!$A$140&gt;35,CT93+CS94-DB93,IF(A94&lt;'Données projet'!$A$140,$CQ$205^A94,IF(A94='Données projet'!$A$140,'Données projet'!$B$140,CT93+CS94-DB93)))</f>
        <v>201.74786324786305</v>
      </c>
      <c r="CU94" s="17">
        <f>CT94*VLOOKUP('Données projet'!$B$13,Paramètres!$A$1:$I$89,3,0)*VLOOKUP('Données projet'!$B$13,Paramètres!$A$1:$I$89,5,0)</f>
        <v>217.16139999999979</v>
      </c>
      <c r="CV94" s="13">
        <f t="shared" si="95"/>
        <v>53.497464499809226</v>
      </c>
      <c r="CW94" s="20">
        <f t="shared" si="67"/>
        <v>471.39752233716735</v>
      </c>
      <c r="CX94" s="59">
        <f t="shared" si="68"/>
        <v>764.73085567050066</v>
      </c>
      <c r="CY94" s="59">
        <f ca="1">AVERAGE(OFFSET($CX$3,0,0,'Données projet'!$E$13+1,1))-AVERAGE(OFFSET($H$3,0,0,'Données projet'!$E$13+1,1))</f>
        <v>211.18501783767226</v>
      </c>
      <c r="CZ94" s="59">
        <f t="shared" si="96"/>
        <v>147.98306963466246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0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-1.3596945791505279E-13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182.25704762953387</v>
      </c>
      <c r="T95" s="59">
        <f t="shared" si="88"/>
        <v>265.61788177751134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1.4637620971960457</v>
      </c>
      <c r="AA95" s="21">
        <f>EXP(-LN(2)/25)*AA94+(1-EXP(-LN(2)/25))/(LN(2)/25)*Calculateur!V95*Calculateur!X95*VLOOKUP('Données projet'!$B$9,Paramètres!$A$1:$I$89,3,0)*0.475*44/12</f>
        <v>3.0704249592672617</v>
      </c>
      <c r="AB95" s="21">
        <f>EXP(-LN(2)/2)*AB94+(1-EXP(-LN(2)/2))/(LN(2)/2)*V95*Y95*VLOOKUP('Données projet'!$B$9,Paramètres!$A$1:$I$89,3,0)*0.475*44/12</f>
        <v>1.3736550944895085E-9</v>
      </c>
      <c r="AC95" s="22">
        <f t="shared" si="57"/>
        <v>4.5341870578369621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7.1782051282051267</v>
      </c>
      <c r="AI95" s="13">
        <f>IF('Données projet'!$A$62&gt;35,AI94+AH95-AQ94,IF(A95&lt;'Données projet'!$A$62,$AF$205^A95,IF(A95='Données projet'!$A$62,'Données projet'!$B$62,AI94+AH95-AQ94)))</f>
        <v>268.00256410256429</v>
      </c>
      <c r="AJ95" s="13">
        <f>AI95*VLOOKUP('Données projet'!$B$10,Paramètres!$A$1:$I$89,3,0)*VLOOKUP('Données projet'!$B$10,Paramètres!$A$1:$I$89,5,0)</f>
        <v>271.75460000000021</v>
      </c>
      <c r="AK95" s="13">
        <f t="shared" si="89"/>
        <v>65.221499194772917</v>
      </c>
      <c r="AL95" s="20">
        <f t="shared" si="58"/>
        <v>586.90003943089653</v>
      </c>
      <c r="AM95" s="59">
        <f t="shared" si="59"/>
        <v>880.2333727642299</v>
      </c>
      <c r="AN95" s="59">
        <f ca="1">AVERAGE(OFFSET($AM$3,0,0,'Données projet'!$E$10+1,1))-AVERAGE(OFFSET($H$3,0,0,'Données projet'!$E$10+1,1))</f>
        <v>263.15518481854753</v>
      </c>
      <c r="AO95" s="59">
        <f t="shared" si="90"/>
        <v>210.80755370263819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275.99999999999972</v>
      </c>
      <c r="BE95" s="13">
        <f>BD95*VLOOKUP('Données projet'!$B$11,Paramètres!$A$1:$I$89,3,0)*VLOOKUP('Données projet'!$B$11,Paramètres!$A$1:$I$89,5,0)</f>
        <v>223.8911999999998</v>
      </c>
      <c r="BF95" s="13">
        <f t="shared" si="91"/>
        <v>54.95975389514858</v>
      </c>
      <c r="BG95" s="20">
        <f t="shared" si="61"/>
        <v>485.66541136738346</v>
      </c>
      <c r="BH95" s="59">
        <f t="shared" si="62"/>
        <v>778.99874470071677</v>
      </c>
      <c r="BI95" s="59">
        <f ca="1">AVERAGE(OFFSET($BH$3,0,0,'Données projet'!$E$11+1,1))-AVERAGE(OFFSET($H$3,0,0,'Données projet'!$E$11+1,1))</f>
        <v>203.21935660591021</v>
      </c>
      <c r="BJ95" s="59">
        <f t="shared" si="92"/>
        <v>180.54762778843178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0.29367279780949057</v>
      </c>
      <c r="BQ95" s="21">
        <f>EXP(-LN(2)/25)*BQ94+(1-EXP(-LN(2)/25))/(LN(2)/25)*Calculateur!BL95*Calculateur!BN95*VLOOKUP('Données projet'!$B$11,Paramètres!$A$1:$I$89,3,0)*0.475*44/12</f>
        <v>1.0402809302279632</v>
      </c>
      <c r="BR95" s="21">
        <f>EXP(-LN(2)/2)*BR94+(1-EXP(-LN(2)/2))/(LN(2)/2)*BL95*BO95*VLOOKUP('Données projet'!$B$11,Paramètres!$A$1:$I$89,3,0)*0.475*44/12</f>
        <v>4.2201413402240456E-9</v>
      </c>
      <c r="BS95" s="22">
        <f t="shared" si="63"/>
        <v>1.3339537322575952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5.2606837606837598</v>
      </c>
      <c r="BY95" s="12">
        <f>IF('Données projet'!$A$114&gt;35,BY94+BX95-CG94,IF(A95&lt;'Données projet'!$A$114,$BV$205^A95,IF(A95='Données projet'!$A$114,'Données projet'!$B$114,BY94+BX95-CG94)))</f>
        <v>207.0085470085468</v>
      </c>
      <c r="BZ95" s="13">
        <f>BY95*VLOOKUP('Données projet'!$B$12,Paramètres!$A$1:$I$89,3,0)*VLOOKUP('Données projet'!$B$12,Paramètres!$A$1:$I$89,5,0)</f>
        <v>222.82399999999978</v>
      </c>
      <c r="CA95" s="13">
        <f t="shared" si="93"/>
        <v>54.728211801026077</v>
      </c>
      <c r="CB95" s="20">
        <f t="shared" si="64"/>
        <v>483.40343555345339</v>
      </c>
      <c r="CC95" s="59">
        <f t="shared" si="65"/>
        <v>776.73676888678665</v>
      </c>
      <c r="CD95" s="59">
        <f ca="1">AVERAGE(OFFSET($CC$3,0,0,'Données projet'!$E$12+1,1))-AVERAGE(OFFSET($H$3,0,0,'Données projet'!$E$12+1,1))</f>
        <v>211.18501783767226</v>
      </c>
      <c r="CE95" s="59">
        <f t="shared" si="94"/>
        <v>147.98306963466246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0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5.2606837606837598</v>
      </c>
      <c r="CT95" s="12">
        <f>IF('Données projet'!$A$140&gt;35,CT94+CS95-DB94,IF(A95&lt;'Données projet'!$A$140,$CQ$205^A95,IF(A95='Données projet'!$A$140,'Données projet'!$B$140,CT94+CS95-DB94)))</f>
        <v>207.0085470085468</v>
      </c>
      <c r="CU95" s="17">
        <f>CT95*VLOOKUP('Données projet'!$B$13,Paramètres!$A$1:$I$89,3,0)*VLOOKUP('Données projet'!$B$13,Paramètres!$A$1:$I$89,5,0)</f>
        <v>222.82399999999978</v>
      </c>
      <c r="CV95" s="13">
        <f t="shared" si="95"/>
        <v>54.728211801026077</v>
      </c>
      <c r="CW95" s="20">
        <f t="shared" si="67"/>
        <v>483.40343555345339</v>
      </c>
      <c r="CX95" s="59">
        <f t="shared" si="68"/>
        <v>776.73676888678665</v>
      </c>
      <c r="CY95" s="59">
        <f ca="1">AVERAGE(OFFSET($CX$3,0,0,'Données projet'!$E$13+1,1))-AVERAGE(OFFSET($H$3,0,0,'Données projet'!$E$13+1,1))</f>
        <v>211.18501783767226</v>
      </c>
      <c r="CZ95" s="59">
        <f t="shared" si="96"/>
        <v>147.98306963466246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0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-1.3596945791505279E-13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182.25704762953387</v>
      </c>
      <c r="T96" s="59">
        <f t="shared" si="88"/>
        <v>265.61788177751134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1.435058615276753</v>
      </c>
      <c r="AA96" s="21">
        <f>EXP(-LN(2)/25)*AA95+(1-EXP(-LN(2)/25))/(LN(2)/25)*Calculateur!V96*Calculateur!X96*VLOOKUP('Données projet'!$B$9,Paramètres!$A$1:$I$89,3,0)*0.475*44/12</f>
        <v>2.9864640272894674</v>
      </c>
      <c r="AB96" s="21">
        <f>EXP(-LN(2)/2)*AB95+(1-EXP(-LN(2)/2))/(LN(2)/2)*V96*Y96*VLOOKUP('Données projet'!$B$9,Paramètres!$A$1:$I$89,3,0)*0.475*44/12</f>
        <v>9.7132083232497918E-10</v>
      </c>
      <c r="AC96" s="22">
        <f t="shared" si="57"/>
        <v>4.421522643537541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7.1782051282051267</v>
      </c>
      <c r="AI96" s="13">
        <f>IF('Données projet'!$A$62&gt;35,AI95+AH96-AQ95,IF(A96&lt;'Données projet'!$A$62,$AF$205^A96,IF(A96='Données projet'!$A$62,'Données projet'!$B$62,AI95+AH96-AQ95)))</f>
        <v>275.18076923076944</v>
      </c>
      <c r="AJ96" s="13">
        <f>AI96*VLOOKUP('Données projet'!$B$10,Paramètres!$A$1:$I$89,3,0)*VLOOKUP('Données projet'!$B$10,Paramètres!$A$1:$I$89,5,0)</f>
        <v>279.03330000000022</v>
      </c>
      <c r="AK96" s="13">
        <f t="shared" si="89"/>
        <v>66.762676279521074</v>
      </c>
      <c r="AL96" s="20">
        <f t="shared" si="58"/>
        <v>602.26132535349961</v>
      </c>
      <c r="AM96" s="59">
        <f t="shared" si="59"/>
        <v>895.59465868683287</v>
      </c>
      <c r="AN96" s="59">
        <f ca="1">AVERAGE(OFFSET($AM$3,0,0,'Données projet'!$E$10+1,1))-AVERAGE(OFFSET($H$3,0,0,'Données projet'!$E$10+1,1))</f>
        <v>263.15518481854753</v>
      </c>
      <c r="AO96" s="59">
        <f t="shared" si="90"/>
        <v>210.80755370263819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275.99999999999972</v>
      </c>
      <c r="BE96" s="13">
        <f>BD96*VLOOKUP('Données projet'!$B$11,Paramètres!$A$1:$I$89,3,0)*VLOOKUP('Données projet'!$B$11,Paramètres!$A$1:$I$89,5,0)</f>
        <v>223.8911999999998</v>
      </c>
      <c r="BF96" s="13">
        <f t="shared" si="91"/>
        <v>54.95975389514858</v>
      </c>
      <c r="BG96" s="20">
        <f t="shared" si="61"/>
        <v>485.66541136738346</v>
      </c>
      <c r="BH96" s="59">
        <f t="shared" si="62"/>
        <v>778.99874470071677</v>
      </c>
      <c r="BI96" s="59">
        <f ca="1">AVERAGE(OFFSET($BH$3,0,0,'Données projet'!$E$11+1,1))-AVERAGE(OFFSET($H$3,0,0,'Données projet'!$E$11+1,1))</f>
        <v>203.21935660591021</v>
      </c>
      <c r="BJ96" s="59">
        <f t="shared" si="92"/>
        <v>180.54762778843178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0.28791405336716624</v>
      </c>
      <c r="BQ96" s="21">
        <f>EXP(-LN(2)/25)*BQ95+(1-EXP(-LN(2)/25))/(LN(2)/25)*Calculateur!BL96*Calculateur!BN96*VLOOKUP('Données projet'!$B$11,Paramètres!$A$1:$I$89,3,0)*0.475*44/12</f>
        <v>1.011834393484883</v>
      </c>
      <c r="BR96" s="21">
        <f>EXP(-LN(2)/2)*BR95+(1-EXP(-LN(2)/2))/(LN(2)/2)*BL96*BO96*VLOOKUP('Données projet'!$B$11,Paramètres!$A$1:$I$89,3,0)*0.475*44/12</f>
        <v>2.9840905592381077E-9</v>
      </c>
      <c r="BS96" s="22">
        <f t="shared" si="63"/>
        <v>1.2997484498361398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>
        <f>VLOOKUP(A96,'Données projet'!$A$113:$I$133,2,0)</f>
        <v>212.26923076923075</v>
      </c>
      <c r="BW96" s="12">
        <f>VLOOKUP(A96,'Données projet'!$A$113:$I$133,9,0)</f>
        <v>5.2606837606837598</v>
      </c>
      <c r="BX96" s="12">
        <f t="array" ref="BX96">INDEX(BW:BW,MIN(IF(ISNUMBER(BW96:BW292),ROW(BW96:BW292),"")))</f>
        <v>5.2606837606837598</v>
      </c>
      <c r="BY96" s="12">
        <f>IF('Données projet'!$A$114&gt;35,BY95+BX96-CG95,IF(A96&lt;'Données projet'!$A$114,$BV$205^A96,IF(A96='Données projet'!$A$114,'Données projet'!$B$114,BY95+BX96-CG95)))</f>
        <v>212.26923076923055</v>
      </c>
      <c r="BZ96" s="13">
        <f>BY96*VLOOKUP('Données projet'!$B$12,Paramètres!$A$1:$I$89,3,0)*VLOOKUP('Données projet'!$B$12,Paramètres!$A$1:$I$89,5,0)</f>
        <v>228.48659999999975</v>
      </c>
      <c r="CA96" s="13">
        <f t="shared" si="93"/>
        <v>55.95532344428247</v>
      </c>
      <c r="CB96" s="20">
        <f t="shared" si="64"/>
        <v>495.40301666545815</v>
      </c>
      <c r="CC96" s="59">
        <f t="shared" si="65"/>
        <v>788.73634999879141</v>
      </c>
      <c r="CD96" s="59">
        <f ca="1">AVERAGE(OFFSET($CC$3,0,0,'Données projet'!$E$12+1,1))-AVERAGE(OFFSET($H$3,0,0,'Données projet'!$E$12+1,1))</f>
        <v>211.18501783767226</v>
      </c>
      <c r="CE96" s="59">
        <f t="shared" si="94"/>
        <v>147.98306963466246</v>
      </c>
      <c r="CF96" s="15">
        <f>IF(ISNA(VLOOKUP(A96,'Données projet'!$A$113:$I$133,3,0)),0,VLOOKUP(A96,'Données projet'!$A$113:$I$133,3,0))</f>
        <v>7</v>
      </c>
      <c r="CG96" s="15">
        <f>IF(ISNA(VLOOKUP(A96,'Données projet'!$A$113:$I$133,4,0)),0,VLOOKUP(A96,'Données projet'!$A$113:$I$133,4,0))</f>
        <v>30.083333333333332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0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>
        <f>VLOOKUP(A96,'Données projet'!$A$139:$I$159,2,0)</f>
        <v>212.26923076923075</v>
      </c>
      <c r="CR96" s="12">
        <f>VLOOKUP(A96,'Données projet'!$A$139:$I$159,9,0)</f>
        <v>5.2606837606837598</v>
      </c>
      <c r="CS96" s="12">
        <f t="array" ref="CS96">INDEX(CR:CR,MIN(IF(ISNUMBER(CR96:CR292),ROW(CR96:CR292),"")))</f>
        <v>5.2606837606837598</v>
      </c>
      <c r="CT96" s="12">
        <f>IF('Données projet'!$A$140&gt;35,CT95+CS96-DB95,IF(A96&lt;'Données projet'!$A$140,$CQ$205^A96,IF(A96='Données projet'!$A$140,'Données projet'!$B$140,CT95+CS96-DB95)))</f>
        <v>212.26923076923055</v>
      </c>
      <c r="CU96" s="17">
        <f>CT96*VLOOKUP('Données projet'!$B$13,Paramètres!$A$1:$I$89,3,0)*VLOOKUP('Données projet'!$B$13,Paramètres!$A$1:$I$89,5,0)</f>
        <v>228.48659999999975</v>
      </c>
      <c r="CV96" s="13">
        <f t="shared" si="95"/>
        <v>55.95532344428247</v>
      </c>
      <c r="CW96" s="20">
        <f t="shared" si="67"/>
        <v>495.40301666545815</v>
      </c>
      <c r="CX96" s="59">
        <f t="shared" si="68"/>
        <v>788.73634999879141</v>
      </c>
      <c r="CY96" s="59">
        <f ca="1">AVERAGE(OFFSET($CX$3,0,0,'Données projet'!$E$13+1,1))-AVERAGE(OFFSET($H$3,0,0,'Données projet'!$E$13+1,1))</f>
        <v>211.18501783767226</v>
      </c>
      <c r="CZ96" s="59">
        <f t="shared" si="96"/>
        <v>147.98306963466246</v>
      </c>
      <c r="DA96" s="15">
        <f>IF(ISNA(VLOOKUP(A96,'Données projet'!$A$139:$I$159,3,0)),0,VLOOKUP(A96,'Données projet'!$A$139:$I$159,3,0))</f>
        <v>7</v>
      </c>
      <c r="DB96" s="15">
        <f>IF(ISNA(VLOOKUP(A96,'Données projet'!$A$139:$I$159,4,0)),0,VLOOKUP(A96,'Données projet'!$A$139:$I$159,4,0))</f>
        <v>30.083333333333332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0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-1.3596945791505279E-13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182.25704762953387</v>
      </c>
      <c r="T97" s="59">
        <f t="shared" si="88"/>
        <v>265.61788177751134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1.4069179911305025</v>
      </c>
      <c r="AA97" s="21">
        <f>EXP(-LN(2)/25)*AA96+(1-EXP(-LN(2)/25))/(LN(2)/25)*Calculateur!V97*Calculateur!X97*VLOOKUP('Données projet'!$B$9,Paramètres!$A$1:$I$89,3,0)*0.475*44/12</f>
        <v>2.9047990114119195</v>
      </c>
      <c r="AB97" s="21">
        <f>EXP(-LN(2)/2)*AB96+(1-EXP(-LN(2)/2))/(LN(2)/2)*V97*Y97*VLOOKUP('Données projet'!$B$9,Paramètres!$A$1:$I$89,3,0)*0.475*44/12</f>
        <v>6.8682754724475427E-10</v>
      </c>
      <c r="AC97" s="22">
        <f t="shared" si="57"/>
        <v>4.3117170032292496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7.1782051282051267</v>
      </c>
      <c r="AI97" s="13">
        <f>IF('Données projet'!$A$62&gt;35,AI96+AH97-AQ96,IF(A97&lt;'Données projet'!$A$62,$AF$205^A97,IF(A97='Données projet'!$A$62,'Données projet'!$B$62,AI96+AH97-AQ96)))</f>
        <v>282.35897435897459</v>
      </c>
      <c r="AJ97" s="13">
        <f>AI97*VLOOKUP('Données projet'!$B$10,Paramètres!$A$1:$I$89,3,0)*VLOOKUP('Données projet'!$B$10,Paramètres!$A$1:$I$89,5,0)</f>
        <v>286.3120000000003</v>
      </c>
      <c r="AK97" s="13">
        <f t="shared" si="89"/>
        <v>68.299180359837749</v>
      </c>
      <c r="AL97" s="20">
        <f t="shared" si="58"/>
        <v>617.61447246005116</v>
      </c>
      <c r="AM97" s="59">
        <f t="shared" si="59"/>
        <v>910.94780579338453</v>
      </c>
      <c r="AN97" s="59">
        <f ca="1">AVERAGE(OFFSET($AM$3,0,0,'Données projet'!$E$10+1,1))-AVERAGE(OFFSET($H$3,0,0,'Données projet'!$E$10+1,1))</f>
        <v>263.15518481854753</v>
      </c>
      <c r="AO97" s="59">
        <f t="shared" si="90"/>
        <v>210.80755370263819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275.99999999999972</v>
      </c>
      <c r="BE97" s="13">
        <f>BD97*VLOOKUP('Données projet'!$B$11,Paramètres!$A$1:$I$89,3,0)*VLOOKUP('Données projet'!$B$11,Paramètres!$A$1:$I$89,5,0)</f>
        <v>223.8911999999998</v>
      </c>
      <c r="BF97" s="13">
        <f t="shared" si="91"/>
        <v>54.95975389514858</v>
      </c>
      <c r="BG97" s="20">
        <f t="shared" si="61"/>
        <v>485.66541136738346</v>
      </c>
      <c r="BH97" s="59">
        <f t="shared" si="62"/>
        <v>778.99874470071677</v>
      </c>
      <c r="BI97" s="59">
        <f ca="1">AVERAGE(OFFSET($BH$3,0,0,'Données projet'!$E$11+1,1))-AVERAGE(OFFSET($H$3,0,0,'Données projet'!$E$11+1,1))</f>
        <v>203.21935660591021</v>
      </c>
      <c r="BJ97" s="59">
        <f t="shared" si="92"/>
        <v>180.54762778843178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0.28226823439086862</v>
      </c>
      <c r="BQ97" s="21">
        <f>EXP(-LN(2)/25)*BQ96+(1-EXP(-LN(2)/25))/(LN(2)/25)*Calculateur!BL97*Calculateur!BN97*VLOOKUP('Données projet'!$B$11,Paramètres!$A$1:$I$89,3,0)*0.475*44/12</f>
        <v>0.98416572878498076</v>
      </c>
      <c r="BR97" s="21">
        <f>EXP(-LN(2)/2)*BR96+(1-EXP(-LN(2)/2))/(LN(2)/2)*BL97*BO97*VLOOKUP('Données projet'!$B$11,Paramètres!$A$1:$I$89,3,0)*0.475*44/12</f>
        <v>2.1100706701120228E-9</v>
      </c>
      <c r="BS97" s="22">
        <f t="shared" si="63"/>
        <v>1.26643396528592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5.2583333333333373</v>
      </c>
      <c r="BY97" s="12">
        <f>IF('Données projet'!$A$114&gt;35,BY96+BX97-CG96,IF(A97&lt;'Données projet'!$A$114,$BV$205^A97,IF(A97='Données projet'!$A$114,'Données projet'!$B$114,BY96+BX97-CG96)))</f>
        <v>187.44423076923053</v>
      </c>
      <c r="BZ97" s="13">
        <f>BY97*VLOOKUP('Données projet'!$B$12,Paramètres!$A$1:$I$89,3,0)*VLOOKUP('Données projet'!$B$12,Paramètres!$A$1:$I$89,5,0)</f>
        <v>201.76496999999972</v>
      </c>
      <c r="CA97" s="13">
        <f t="shared" si="93"/>
        <v>50.131856141075623</v>
      </c>
      <c r="CB97" s="20">
        <f t="shared" si="64"/>
        <v>438.72030552903954</v>
      </c>
      <c r="CC97" s="59">
        <f t="shared" si="65"/>
        <v>732.05363886237285</v>
      </c>
      <c r="CD97" s="59">
        <f ca="1">AVERAGE(OFFSET($CC$3,0,0,'Données projet'!$E$12+1,1))-AVERAGE(OFFSET($H$3,0,0,'Données projet'!$E$12+1,1))</f>
        <v>211.18501783767226</v>
      </c>
      <c r="CE97" s="59">
        <f t="shared" si="94"/>
        <v>147.98306963466246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0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5.2583333333333373</v>
      </c>
      <c r="CT97" s="12">
        <f>IF('Données projet'!$A$140&gt;35,CT96+CS97-DB96,IF(A97&lt;'Données projet'!$A$140,$CQ$205^A97,IF(A97='Données projet'!$A$140,'Données projet'!$B$140,CT96+CS97-DB96)))</f>
        <v>187.44423076923053</v>
      </c>
      <c r="CU97" s="17">
        <f>CT97*VLOOKUP('Données projet'!$B$13,Paramètres!$A$1:$I$89,3,0)*VLOOKUP('Données projet'!$B$13,Paramètres!$A$1:$I$89,5,0)</f>
        <v>201.76496999999972</v>
      </c>
      <c r="CV97" s="13">
        <f t="shared" si="95"/>
        <v>50.131856141075623</v>
      </c>
      <c r="CW97" s="20">
        <f t="shared" si="67"/>
        <v>438.72030552903954</v>
      </c>
      <c r="CX97" s="59">
        <f t="shared" si="68"/>
        <v>732.05363886237285</v>
      </c>
      <c r="CY97" s="59">
        <f ca="1">AVERAGE(OFFSET($CX$3,0,0,'Données projet'!$E$13+1,1))-AVERAGE(OFFSET($H$3,0,0,'Données projet'!$E$13+1,1))</f>
        <v>211.18501783767226</v>
      </c>
      <c r="CZ97" s="59">
        <f t="shared" si="96"/>
        <v>147.98306963466246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0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-1.3596945791505279E-13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182.25704762953387</v>
      </c>
      <c r="T98" s="59">
        <f t="shared" si="88"/>
        <v>265.61788177751134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1.3793291874596743</v>
      </c>
      <c r="AA98" s="21">
        <f>EXP(-LN(2)/25)*AA97+(1-EXP(-LN(2)/25))/(LN(2)/25)*Calculateur!V98*Calculateur!X98*VLOOKUP('Données projet'!$B$9,Paramètres!$A$1:$I$89,3,0)*0.475*44/12</f>
        <v>2.8253671296881198</v>
      </c>
      <c r="AB98" s="21">
        <f>EXP(-LN(2)/2)*AB97+(1-EXP(-LN(2)/2))/(LN(2)/2)*V98*Y98*VLOOKUP('Données projet'!$B$9,Paramètres!$A$1:$I$89,3,0)*0.475*44/12</f>
        <v>4.8566041616248959E-10</v>
      </c>
      <c r="AC98" s="22">
        <f t="shared" si="57"/>
        <v>4.2046963176334549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7.1782051282051267</v>
      </c>
      <c r="AI98" s="13">
        <f>IF('Données projet'!$A$62&gt;35,AI97+AH98-AQ97,IF(A98&lt;'Données projet'!$A$62,$AF$205^A98,IF(A98='Données projet'!$A$62,'Données projet'!$B$62,AI97+AH98-AQ97)))</f>
        <v>289.53717948717974</v>
      </c>
      <c r="AJ98" s="13">
        <f>AI98*VLOOKUP('Données projet'!$B$10,Paramètres!$A$1:$I$89,3,0)*VLOOKUP('Données projet'!$B$10,Paramètres!$A$1:$I$89,5,0)</f>
        <v>293.59070000000025</v>
      </c>
      <c r="AK98" s="13">
        <f t="shared" si="89"/>
        <v>69.831143895049522</v>
      </c>
      <c r="AL98" s="20">
        <f t="shared" si="58"/>
        <v>632.959711450545</v>
      </c>
      <c r="AM98" s="59">
        <f t="shared" si="59"/>
        <v>926.29304478387826</v>
      </c>
      <c r="AN98" s="59">
        <f ca="1">AVERAGE(OFFSET($AM$3,0,0,'Données projet'!$E$10+1,1))-AVERAGE(OFFSET($H$3,0,0,'Données projet'!$E$10+1,1))</f>
        <v>263.15518481854753</v>
      </c>
      <c r="AO98" s="59">
        <f t="shared" si="90"/>
        <v>210.80755370263819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275.99999999999972</v>
      </c>
      <c r="BE98" s="13">
        <f>BD98*VLOOKUP('Données projet'!$B$11,Paramètres!$A$1:$I$89,3,0)*VLOOKUP('Données projet'!$B$11,Paramètres!$A$1:$I$89,5,0)</f>
        <v>223.8911999999998</v>
      </c>
      <c r="BF98" s="13">
        <f t="shared" si="91"/>
        <v>54.95975389514858</v>
      </c>
      <c r="BG98" s="20">
        <f t="shared" si="61"/>
        <v>485.66541136738346</v>
      </c>
      <c r="BH98" s="59">
        <f t="shared" si="62"/>
        <v>778.99874470071677</v>
      </c>
      <c r="BI98" s="59">
        <f ca="1">AVERAGE(OFFSET($BH$3,0,0,'Données projet'!$E$11+1,1))-AVERAGE(OFFSET($H$3,0,0,'Données projet'!$E$11+1,1))</f>
        <v>203.21935660591021</v>
      </c>
      <c r="BJ98" s="59">
        <f t="shared" si="92"/>
        <v>180.54762778843178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0.27673312648108661</v>
      </c>
      <c r="BQ98" s="21">
        <f>EXP(-LN(2)/25)*BQ97+(1-EXP(-LN(2)/25))/(LN(2)/25)*Calculateur!BL98*Calculateur!BN98*VLOOKUP('Données projet'!$B$11,Paramètres!$A$1:$I$89,3,0)*0.475*44/12</f>
        <v>0.95725366517632915</v>
      </c>
      <c r="BR98" s="21">
        <f>EXP(-LN(2)/2)*BR97+(1-EXP(-LN(2)/2))/(LN(2)/2)*BL98*BO98*VLOOKUP('Données projet'!$B$11,Paramètres!$A$1:$I$89,3,0)*0.475*44/12</f>
        <v>1.4920452796190539E-9</v>
      </c>
      <c r="BS98" s="22">
        <f t="shared" si="63"/>
        <v>1.2339867931494612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5.2583333333333373</v>
      </c>
      <c r="BY98" s="12">
        <f>IF('Données projet'!$A$114&gt;35,BY97+BX98-CG97,IF(A98&lt;'Données projet'!$A$114,$BV$205^A98,IF(A98='Données projet'!$A$114,'Données projet'!$B$114,BY97+BX98-CG97)))</f>
        <v>192.70256410256385</v>
      </c>
      <c r="BZ98" s="13">
        <f>BY98*VLOOKUP('Données projet'!$B$12,Paramètres!$A$1:$I$89,3,0)*VLOOKUP('Données projet'!$B$12,Paramètres!$A$1:$I$89,5,0)</f>
        <v>207.42503999999971</v>
      </c>
      <c r="CA98" s="13">
        <f t="shared" si="93"/>
        <v>51.372488752983891</v>
      </c>
      <c r="CB98" s="20">
        <f t="shared" si="64"/>
        <v>450.73902924477983</v>
      </c>
      <c r="CC98" s="59">
        <f t="shared" si="65"/>
        <v>744.07236257811314</v>
      </c>
      <c r="CD98" s="59">
        <f ca="1">AVERAGE(OFFSET($CC$3,0,0,'Données projet'!$E$12+1,1))-AVERAGE(OFFSET($H$3,0,0,'Données projet'!$E$12+1,1))</f>
        <v>211.18501783767226</v>
      </c>
      <c r="CE98" s="59">
        <f t="shared" si="94"/>
        <v>147.98306963466246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0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5.2583333333333373</v>
      </c>
      <c r="CT98" s="12">
        <f>IF('Données projet'!$A$140&gt;35,CT97+CS98-DB97,IF(A98&lt;'Données projet'!$A$140,$CQ$205^A98,IF(A98='Données projet'!$A$140,'Données projet'!$B$140,CT97+CS98-DB97)))</f>
        <v>192.70256410256385</v>
      </c>
      <c r="CU98" s="17">
        <f>CT98*VLOOKUP('Données projet'!$B$13,Paramètres!$A$1:$I$89,3,0)*VLOOKUP('Données projet'!$B$13,Paramètres!$A$1:$I$89,5,0)</f>
        <v>207.42503999999971</v>
      </c>
      <c r="CV98" s="13">
        <f t="shared" si="95"/>
        <v>51.372488752983891</v>
      </c>
      <c r="CW98" s="20">
        <f t="shared" si="67"/>
        <v>450.73902924477983</v>
      </c>
      <c r="CX98" s="59">
        <f t="shared" si="68"/>
        <v>744.07236257811314</v>
      </c>
      <c r="CY98" s="59">
        <f ca="1">AVERAGE(OFFSET($CX$3,0,0,'Données projet'!$E$13+1,1))-AVERAGE(OFFSET($H$3,0,0,'Données projet'!$E$13+1,1))</f>
        <v>211.18501783767226</v>
      </c>
      <c r="CZ98" s="59">
        <f t="shared" si="96"/>
        <v>147.98306963466246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0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-1.3596945791505279E-13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182.25704762953387</v>
      </c>
      <c r="T99" s="59">
        <f t="shared" si="88"/>
        <v>265.61788177751134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1.3522813834013221</v>
      </c>
      <c r="AA99" s="21">
        <f>EXP(-LN(2)/25)*AA98+(1-EXP(-LN(2)/25))/(LN(2)/25)*Calculateur!V99*Calculateur!X99*VLOOKUP('Données projet'!$B$9,Paramètres!$A$1:$I$89,3,0)*0.475*44/12</f>
        <v>2.7481073169471983</v>
      </c>
      <c r="AB99" s="21">
        <f>EXP(-LN(2)/2)*AB98+(1-EXP(-LN(2)/2))/(LN(2)/2)*V99*Y99*VLOOKUP('Données projet'!$B$9,Paramètres!$A$1:$I$89,3,0)*0.475*44/12</f>
        <v>3.4341377362237714E-10</v>
      </c>
      <c r="AC99" s="22">
        <f t="shared" si="57"/>
        <v>4.1003887006919344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7.1782051282051267</v>
      </c>
      <c r="AI99" s="13">
        <f>IF('Données projet'!$A$62&gt;35,AI98+AH99-AQ98,IF(A99&lt;'Données projet'!$A$62,$AF$205^A99,IF(A99='Données projet'!$A$62,'Données projet'!$B$62,AI98+AH99-AQ98)))</f>
        <v>296.71538461538489</v>
      </c>
      <c r="AJ99" s="13">
        <f>AI99*VLOOKUP('Données projet'!$B$10,Paramètres!$A$1:$I$89,3,0)*VLOOKUP('Données projet'!$B$10,Paramètres!$A$1:$I$89,5,0)</f>
        <v>300.86940000000027</v>
      </c>
      <c r="AK99" s="13">
        <f t="shared" si="89"/>
        <v>71.358692402245879</v>
      </c>
      <c r="AL99" s="20">
        <f t="shared" si="58"/>
        <v>648.29726093391207</v>
      </c>
      <c r="AM99" s="59">
        <f t="shared" si="59"/>
        <v>941.63059426724544</v>
      </c>
      <c r="AN99" s="59">
        <f ca="1">AVERAGE(OFFSET($AM$3,0,0,'Données projet'!$E$10+1,1))-AVERAGE(OFFSET($H$3,0,0,'Données projet'!$E$10+1,1))</f>
        <v>263.15518481854753</v>
      </c>
      <c r="AO99" s="59">
        <f t="shared" si="90"/>
        <v>210.80755370263819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275.99999999999972</v>
      </c>
      <c r="BE99" s="13">
        <f>BD99*VLOOKUP('Données projet'!$B$11,Paramètres!$A$1:$I$89,3,0)*VLOOKUP('Données projet'!$B$11,Paramètres!$A$1:$I$89,5,0)</f>
        <v>223.8911999999998</v>
      </c>
      <c r="BF99" s="13">
        <f t="shared" si="91"/>
        <v>54.95975389514858</v>
      </c>
      <c r="BG99" s="20">
        <f t="shared" si="61"/>
        <v>485.66541136738346</v>
      </c>
      <c r="BH99" s="59">
        <f t="shared" si="62"/>
        <v>778.99874470071677</v>
      </c>
      <c r="BI99" s="59">
        <f ca="1">AVERAGE(OFFSET($BH$3,0,0,'Données projet'!$E$11+1,1))-AVERAGE(OFFSET($H$3,0,0,'Données projet'!$E$11+1,1))</f>
        <v>203.21935660591021</v>
      </c>
      <c r="BJ99" s="59">
        <f t="shared" si="92"/>
        <v>180.54762778843178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0.27130655866133296</v>
      </c>
      <c r="BQ99" s="21">
        <f>EXP(-LN(2)/25)*BQ98+(1-EXP(-LN(2)/25))/(LN(2)/25)*Calculateur!BL99*Calculateur!BN99*VLOOKUP('Données projet'!$B$11,Paramètres!$A$1:$I$89,3,0)*0.475*44/12</f>
        <v>0.93107751336230005</v>
      </c>
      <c r="BR99" s="21">
        <f>EXP(-LN(2)/2)*BR98+(1-EXP(-LN(2)/2))/(LN(2)/2)*BL99*BO99*VLOOKUP('Données projet'!$B$11,Paramètres!$A$1:$I$89,3,0)*0.475*44/12</f>
        <v>1.0550353350560114E-9</v>
      </c>
      <c r="BS99" s="22">
        <f t="shared" si="63"/>
        <v>1.2023840730786683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5.2583333333333373</v>
      </c>
      <c r="BY99" s="12">
        <f>IF('Données projet'!$A$114&gt;35,BY98+BX99-CG98,IF(A99&lt;'Données projet'!$A$114,$BV$205^A99,IF(A99='Données projet'!$A$114,'Données projet'!$B$114,BY98+BX99-CG98)))</f>
        <v>197.96089743589718</v>
      </c>
      <c r="BZ99" s="13">
        <f>BY99*VLOOKUP('Données projet'!$B$12,Paramètres!$A$1:$I$89,3,0)*VLOOKUP('Données projet'!$B$12,Paramètres!$A$1:$I$89,5,0)</f>
        <v>213.08510999999973</v>
      </c>
      <c r="CA99" s="13">
        <f t="shared" si="93"/>
        <v>52.609186550787896</v>
      </c>
      <c r="CB99" s="20">
        <f t="shared" si="64"/>
        <v>462.75089982595506</v>
      </c>
      <c r="CC99" s="59">
        <f t="shared" si="65"/>
        <v>756.08423315928837</v>
      </c>
      <c r="CD99" s="59">
        <f ca="1">AVERAGE(OFFSET($CC$3,0,0,'Données projet'!$E$12+1,1))-AVERAGE(OFFSET($H$3,0,0,'Données projet'!$E$12+1,1))</f>
        <v>211.18501783767226</v>
      </c>
      <c r="CE99" s="59">
        <f t="shared" si="94"/>
        <v>147.98306963466246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0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5.2583333333333373</v>
      </c>
      <c r="CT99" s="12">
        <f>IF('Données projet'!$A$140&gt;35,CT98+CS99-DB98,IF(A99&lt;'Données projet'!$A$140,$CQ$205^A99,IF(A99='Données projet'!$A$140,'Données projet'!$B$140,CT98+CS99-DB98)))</f>
        <v>197.96089743589718</v>
      </c>
      <c r="CU99" s="17">
        <f>CT99*VLOOKUP('Données projet'!$B$13,Paramètres!$A$1:$I$89,3,0)*VLOOKUP('Données projet'!$B$13,Paramètres!$A$1:$I$89,5,0)</f>
        <v>213.08510999999973</v>
      </c>
      <c r="CV99" s="13">
        <f t="shared" si="95"/>
        <v>52.609186550787896</v>
      </c>
      <c r="CW99" s="20">
        <f t="shared" si="67"/>
        <v>462.75089982595506</v>
      </c>
      <c r="CX99" s="59">
        <f t="shared" si="68"/>
        <v>756.08423315928837</v>
      </c>
      <c r="CY99" s="59">
        <f ca="1">AVERAGE(OFFSET($CX$3,0,0,'Données projet'!$E$13+1,1))-AVERAGE(OFFSET($H$3,0,0,'Données projet'!$E$13+1,1))</f>
        <v>211.18501783767226</v>
      </c>
      <c r="CZ99" s="59">
        <f t="shared" si="96"/>
        <v>147.98306963466246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0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-1.3596945791505279E-13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182.25704762953387</v>
      </c>
      <c r="T100" s="59">
        <f t="shared" si="88"/>
        <v>265.61788177751134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1.3257639702830228</v>
      </c>
      <c r="AA100" s="21">
        <f>EXP(-LN(2)/25)*AA99+(1-EXP(-LN(2)/25))/(LN(2)/25)*Calculateur!V100*Calculateur!X100*VLOOKUP('Données projet'!$B$9,Paramètres!$A$1:$I$89,3,0)*0.475*44/12</f>
        <v>2.6729601778485943</v>
      </c>
      <c r="AB100" s="21">
        <f>EXP(-LN(2)/2)*AB99+(1-EXP(-LN(2)/2))/(LN(2)/2)*V100*Y100*VLOOKUP('Données projet'!$B$9,Paramètres!$A$1:$I$89,3,0)*0.475*44/12</f>
        <v>2.4283020808124479E-10</v>
      </c>
      <c r="AC100" s="22">
        <f t="shared" si="57"/>
        <v>3.9987241483744476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7.1782051282051267</v>
      </c>
      <c r="AI100" s="13">
        <f>IF('Données projet'!$A$62&gt;35,AI99+AH100-AQ99,IF(A100&lt;'Données projet'!$A$62,$AF$205^A100,IF(A100='Données projet'!$A$62,'Données projet'!$B$62,AI99+AH100-AQ99)))</f>
        <v>303.89358974359004</v>
      </c>
      <c r="AJ100" s="13">
        <f>AI100*VLOOKUP('Données projet'!$B$10,Paramètres!$A$1:$I$89,3,0)*VLOOKUP('Données projet'!$B$10,Paramètres!$A$1:$I$89,5,0)</f>
        <v>308.14810000000034</v>
      </c>
      <c r="AK100" s="13">
        <f t="shared" si="89"/>
        <v>72.881944979142219</v>
      </c>
      <c r="AL100" s="20">
        <f t="shared" si="58"/>
        <v>663.62732833867324</v>
      </c>
      <c r="AM100" s="59">
        <f t="shared" si="59"/>
        <v>956.96066167200661</v>
      </c>
      <c r="AN100" s="59">
        <f ca="1">AVERAGE(OFFSET($AM$3,0,0,'Données projet'!$E$10+1,1))-AVERAGE(OFFSET($H$3,0,0,'Données projet'!$E$10+1,1))</f>
        <v>263.15518481854753</v>
      </c>
      <c r="AO100" s="59">
        <f t="shared" si="90"/>
        <v>210.80755370263819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275.99999999999972</v>
      </c>
      <c r="BE100" s="13">
        <f>BD100*VLOOKUP('Données projet'!$B$11,Paramètres!$A$1:$I$89,3,0)*VLOOKUP('Données projet'!$B$11,Paramètres!$A$1:$I$89,5,0)</f>
        <v>223.8911999999998</v>
      </c>
      <c r="BF100" s="13">
        <f t="shared" si="91"/>
        <v>54.95975389514858</v>
      </c>
      <c r="BG100" s="20">
        <f t="shared" si="61"/>
        <v>485.66541136738346</v>
      </c>
      <c r="BH100" s="59">
        <f t="shared" si="62"/>
        <v>778.99874470071677</v>
      </c>
      <c r="BI100" s="59">
        <f ca="1">AVERAGE(OFFSET($BH$3,0,0,'Données projet'!$E$11+1,1))-AVERAGE(OFFSET($H$3,0,0,'Données projet'!$E$11+1,1))</f>
        <v>203.21935660591021</v>
      </c>
      <c r="BJ100" s="59">
        <f t="shared" si="92"/>
        <v>180.54762778843178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0.26598640252664513</v>
      </c>
      <c r="BQ100" s="21">
        <f>EXP(-LN(2)/25)*BQ99+(1-EXP(-LN(2)/25))/(LN(2)/25)*Calculateur!BL100*Calculateur!BN100*VLOOKUP('Données projet'!$B$11,Paramètres!$A$1:$I$89,3,0)*0.475*44/12</f>
        <v>0.90561714979616958</v>
      </c>
      <c r="BR100" s="21">
        <f>EXP(-LN(2)/2)*BR99+(1-EXP(-LN(2)/2))/(LN(2)/2)*BL100*BO100*VLOOKUP('Données projet'!$B$11,Paramètres!$A$1:$I$89,3,0)*0.475*44/12</f>
        <v>7.4602263980952693E-10</v>
      </c>
      <c r="BS100" s="22">
        <f t="shared" si="63"/>
        <v>1.1716035530688373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5.2583333333333373</v>
      </c>
      <c r="BY100" s="12">
        <f>IF('Données projet'!$A$114&gt;35,BY99+BX100-CG99,IF(A100&lt;'Données projet'!$A$114,$BV$205^A100,IF(A100='Données projet'!$A$114,'Données projet'!$B$114,BY99+BX100-CG99)))</f>
        <v>203.21923076923051</v>
      </c>
      <c r="BZ100" s="13">
        <f>BY100*VLOOKUP('Données projet'!$B$12,Paramètres!$A$1:$I$89,3,0)*VLOOKUP('Données projet'!$B$12,Paramètres!$A$1:$I$89,5,0)</f>
        <v>218.74517999999969</v>
      </c>
      <c r="CA100" s="13">
        <f t="shared" si="93"/>
        <v>53.842066066416017</v>
      </c>
      <c r="CB100" s="20">
        <f t="shared" si="64"/>
        <v>474.75612023234066</v>
      </c>
      <c r="CC100" s="59">
        <f t="shared" si="65"/>
        <v>768.08945356567392</v>
      </c>
      <c r="CD100" s="59">
        <f ca="1">AVERAGE(OFFSET($CC$3,0,0,'Données projet'!$E$12+1,1))-AVERAGE(OFFSET($H$3,0,0,'Données projet'!$E$12+1,1))</f>
        <v>211.18501783767226</v>
      </c>
      <c r="CE100" s="59">
        <f t="shared" si="94"/>
        <v>147.98306963466246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0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5.2583333333333373</v>
      </c>
      <c r="CT100" s="12">
        <f>IF('Données projet'!$A$140&gt;35,CT99+CS100-DB99,IF(A100&lt;'Données projet'!$A$140,$CQ$205^A100,IF(A100='Données projet'!$A$140,'Données projet'!$B$140,CT99+CS100-DB99)))</f>
        <v>203.21923076923051</v>
      </c>
      <c r="CU100" s="17">
        <f>CT100*VLOOKUP('Données projet'!$B$13,Paramètres!$A$1:$I$89,3,0)*VLOOKUP('Données projet'!$B$13,Paramètres!$A$1:$I$89,5,0)</f>
        <v>218.74517999999969</v>
      </c>
      <c r="CV100" s="13">
        <f t="shared" si="95"/>
        <v>53.842066066416017</v>
      </c>
      <c r="CW100" s="20">
        <f t="shared" si="67"/>
        <v>474.75612023234066</v>
      </c>
      <c r="CX100" s="59">
        <f t="shared" si="68"/>
        <v>768.08945356567392</v>
      </c>
      <c r="CY100" s="59">
        <f ca="1">AVERAGE(OFFSET($CX$3,0,0,'Données projet'!$E$13+1,1))-AVERAGE(OFFSET($H$3,0,0,'Données projet'!$E$13+1,1))</f>
        <v>211.18501783767226</v>
      </c>
      <c r="CZ100" s="59">
        <f t="shared" si="96"/>
        <v>147.98306963466246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0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-1.3596945791505279E-13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182.25704762953387</v>
      </c>
      <c r="T101" s="59">
        <f t="shared" si="88"/>
        <v>265.61788177751134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1.2997665474619484</v>
      </c>
      <c r="AA101" s="21">
        <f>EXP(-LN(2)/25)*AA100+(1-EXP(-LN(2)/25))/(LN(2)/25)*Calculateur!V101*Calculateur!X101*VLOOKUP('Données projet'!$B$9,Paramètres!$A$1:$I$89,3,0)*0.475*44/12</f>
        <v>2.5998679412204577</v>
      </c>
      <c r="AB101" s="21">
        <f>EXP(-LN(2)/2)*AB100+(1-EXP(-LN(2)/2))/(LN(2)/2)*V101*Y101*VLOOKUP('Données projet'!$B$9,Paramètres!$A$1:$I$89,3,0)*0.475*44/12</f>
        <v>1.7170688681118857E-10</v>
      </c>
      <c r="AC101" s="22">
        <f t="shared" si="57"/>
        <v>3.8996344888541135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7.1782051282051267</v>
      </c>
      <c r="AI101" s="13">
        <f>IF('Données projet'!$A$62&gt;35,AI100+AH101-AQ100,IF(A101&lt;'Données projet'!$A$62,$AF$205^A101,IF(A101='Données projet'!$A$62,'Données projet'!$B$62,AI100+AH101-AQ100)))</f>
        <v>311.07179487179519</v>
      </c>
      <c r="AJ101" s="13">
        <f>AI101*VLOOKUP('Données projet'!$B$10,Paramètres!$A$1:$I$89,3,0)*VLOOKUP('Données projet'!$B$10,Paramètres!$A$1:$I$89,5,0)</f>
        <v>315.42680000000036</v>
      </c>
      <c r="AK101" s="13">
        <f t="shared" si="89"/>
        <v>74.401014776148614</v>
      </c>
      <c r="AL101" s="20">
        <f t="shared" si="58"/>
        <v>678.95011073512603</v>
      </c>
      <c r="AM101" s="59">
        <f t="shared" si="59"/>
        <v>972.2834440684594</v>
      </c>
      <c r="AN101" s="59">
        <f ca="1">AVERAGE(OFFSET($AM$3,0,0,'Données projet'!$E$10+1,1))-AVERAGE(OFFSET($H$3,0,0,'Données projet'!$E$10+1,1))</f>
        <v>263.15518481854753</v>
      </c>
      <c r="AO101" s="59">
        <f t="shared" si="90"/>
        <v>210.80755370263819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275.99999999999972</v>
      </c>
      <c r="BE101" s="13">
        <f>BD101*VLOOKUP('Données projet'!$B$11,Paramètres!$A$1:$I$89,3,0)*VLOOKUP('Données projet'!$B$11,Paramètres!$A$1:$I$89,5,0)</f>
        <v>223.8911999999998</v>
      </c>
      <c r="BF101" s="13">
        <f t="shared" si="91"/>
        <v>54.95975389514858</v>
      </c>
      <c r="BG101" s="20">
        <f t="shared" si="61"/>
        <v>485.66541136738346</v>
      </c>
      <c r="BH101" s="59">
        <f t="shared" si="62"/>
        <v>778.99874470071677</v>
      </c>
      <c r="BI101" s="59">
        <f ca="1">AVERAGE(OFFSET($BH$3,0,0,'Données projet'!$E$11+1,1))-AVERAGE(OFFSET($H$3,0,0,'Données projet'!$E$11+1,1))</f>
        <v>203.21935660591021</v>
      </c>
      <c r="BJ101" s="59">
        <f t="shared" si="92"/>
        <v>180.54762778843178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0.26077057140878374</v>
      </c>
      <c r="BQ101" s="21">
        <f>EXP(-LN(2)/25)*BQ100+(1-EXP(-LN(2)/25))/(LN(2)/25)*Calculateur!BL101*Calculateur!BN101*VLOOKUP('Données projet'!$B$11,Paramètres!$A$1:$I$89,3,0)*0.475*44/12</f>
        <v>0.88085300121065724</v>
      </c>
      <c r="BR101" s="21">
        <f>EXP(-LN(2)/2)*BR100+(1-EXP(-LN(2)/2))/(LN(2)/2)*BL101*BO101*VLOOKUP('Données projet'!$B$11,Paramètres!$A$1:$I$89,3,0)*0.475*44/12</f>
        <v>5.275176675280057E-10</v>
      </c>
      <c r="BS101" s="22">
        <f t="shared" si="63"/>
        <v>1.1416235731469586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5.2583333333333373</v>
      </c>
      <c r="BY101" s="12">
        <f>IF('Données projet'!$A$114&gt;35,BY100+BX101-CG100,IF(A101&lt;'Données projet'!$A$114,$BV$205^A101,IF(A101='Données projet'!$A$114,'Données projet'!$B$114,BY100+BX101-CG100)))</f>
        <v>208.47756410256383</v>
      </c>
      <c r="BZ101" s="13">
        <f>BY101*VLOOKUP('Données projet'!$B$12,Paramètres!$A$1:$I$89,3,0)*VLOOKUP('Données projet'!$B$12,Paramètres!$A$1:$I$89,5,0)</f>
        <v>224.40524999999971</v>
      </c>
      <c r="CA101" s="13">
        <f t="shared" si="93"/>
        <v>55.071237457703909</v>
      </c>
      <c r="CB101" s="20">
        <f t="shared" si="64"/>
        <v>486.75488232216713</v>
      </c>
      <c r="CC101" s="59">
        <f t="shared" si="65"/>
        <v>780.08821565550045</v>
      </c>
      <c r="CD101" s="59">
        <f ca="1">AVERAGE(OFFSET($CC$3,0,0,'Données projet'!$E$12+1,1))-AVERAGE(OFFSET($H$3,0,0,'Données projet'!$E$12+1,1))</f>
        <v>211.18501783767226</v>
      </c>
      <c r="CE101" s="59">
        <f t="shared" si="94"/>
        <v>147.98306963466246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0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5.2583333333333373</v>
      </c>
      <c r="CT101" s="12">
        <f>IF('Données projet'!$A$140&gt;35,CT100+CS101-DB100,IF(A101&lt;'Données projet'!$A$140,$CQ$205^A101,IF(A101='Données projet'!$A$140,'Données projet'!$B$140,CT100+CS101-DB100)))</f>
        <v>208.47756410256383</v>
      </c>
      <c r="CU101" s="17">
        <f>CT101*VLOOKUP('Données projet'!$B$13,Paramètres!$A$1:$I$89,3,0)*VLOOKUP('Données projet'!$B$13,Paramètres!$A$1:$I$89,5,0)</f>
        <v>224.40524999999971</v>
      </c>
      <c r="CV101" s="13">
        <f t="shared" si="95"/>
        <v>55.071237457703909</v>
      </c>
      <c r="CW101" s="20">
        <f t="shared" si="67"/>
        <v>486.75488232216713</v>
      </c>
      <c r="CX101" s="59">
        <f t="shared" si="68"/>
        <v>780.08821565550045</v>
      </c>
      <c r="CY101" s="59">
        <f ca="1">AVERAGE(OFFSET($CX$3,0,0,'Données projet'!$E$13+1,1))-AVERAGE(OFFSET($H$3,0,0,'Données projet'!$E$13+1,1))</f>
        <v>211.18501783767226</v>
      </c>
      <c r="CZ101" s="59">
        <f t="shared" si="96"/>
        <v>147.98306963466246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0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-1.3596945791505279E-13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182.25704762953387</v>
      </c>
      <c r="T102" s="59">
        <f t="shared" si="88"/>
        <v>265.61788177751134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1.2742789182455332</v>
      </c>
      <c r="AA102" s="21">
        <f>EXP(-LN(2)/25)*AA101+(1-EXP(-LN(2)/25))/(LN(2)/25)*Calculateur!V102*Calculateur!X102*VLOOKUP('Données projet'!$B$9,Paramètres!$A$1:$I$89,3,0)*0.475*44/12</f>
        <v>2.5287744156466712</v>
      </c>
      <c r="AB102" s="21">
        <f>EXP(-LN(2)/2)*AB101+(1-EXP(-LN(2)/2))/(LN(2)/2)*V102*Y102*VLOOKUP('Données projet'!$B$9,Paramètres!$A$1:$I$89,3,0)*0.475*44/12</f>
        <v>1.214151040406224E-10</v>
      </c>
      <c r="AC102" s="22">
        <f t="shared" si="57"/>
        <v>3.8030533340136197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>
        <f>VLOOKUP(A102,'Données projet'!$A$61:$I$81,2,0)</f>
        <v>318.25</v>
      </c>
      <c r="AG102" s="12">
        <f>VLOOKUP(A102,'Données projet'!$A$61:$I$81,9,0)</f>
        <v>7.1782051282051267</v>
      </c>
      <c r="AH102" s="12">
        <f t="array" ref="AH102">INDEX(AG:AG,MIN(IF(ISNUMBER(AG102:AG298),ROW(AG102:AG298),"")))</f>
        <v>7.1782051282051267</v>
      </c>
      <c r="AI102" s="13">
        <f>IF('Données projet'!$A$62&gt;35,AI101+AH102-AQ101,IF(A102&lt;'Données projet'!$A$62,$AF$205^A102,IF(A102='Données projet'!$A$62,'Données projet'!$B$62,AI101+AH102-AQ101)))</f>
        <v>318.25000000000034</v>
      </c>
      <c r="AJ102" s="13">
        <f>AI102*VLOOKUP('Données projet'!$B$10,Paramètres!$A$1:$I$89,3,0)*VLOOKUP('Données projet'!$B$10,Paramètres!$A$1:$I$89,5,0)</f>
        <v>322.70550000000037</v>
      </c>
      <c r="AK102" s="13">
        <f t="shared" si="89"/>
        <v>75.916009423638741</v>
      </c>
      <c r="AL102" s="20">
        <f t="shared" si="58"/>
        <v>694.2657955795047</v>
      </c>
      <c r="AM102" s="59">
        <f t="shared" si="59"/>
        <v>987.59912891283807</v>
      </c>
      <c r="AN102" s="59">
        <f ca="1">AVERAGE(OFFSET($AM$3,0,0,'Données projet'!$E$10+1,1))-AVERAGE(OFFSET($H$3,0,0,'Données projet'!$E$10+1,1))</f>
        <v>263.15518481854753</v>
      </c>
      <c r="AO102" s="59">
        <f t="shared" si="90"/>
        <v>210.80755370263819</v>
      </c>
      <c r="AP102" s="15">
        <f>IF(ISNA(VLOOKUP(A102,'Données projet'!$A$61:$I$81,3,0)),0,VLOOKUP(A102,'Données projet'!$A$61:$I$81,3,0))</f>
        <v>9</v>
      </c>
      <c r="AQ102" s="15">
        <f>IF(ISNA(VLOOKUP(A102,'Données projet'!$A$61:$I$81,4,0)),0,VLOOKUP(A102,'Données projet'!$A$61:$I$81,4,0))</f>
        <v>48.019230769230766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275.99999999999972</v>
      </c>
      <c r="BE102" s="13">
        <f>BD102*VLOOKUP('Données projet'!$B$11,Paramètres!$A$1:$I$89,3,0)*VLOOKUP('Données projet'!$B$11,Paramètres!$A$1:$I$89,5,0)</f>
        <v>223.8911999999998</v>
      </c>
      <c r="BF102" s="13">
        <f t="shared" si="91"/>
        <v>54.95975389514858</v>
      </c>
      <c r="BG102" s="20">
        <f t="shared" si="61"/>
        <v>485.66541136738346</v>
      </c>
      <c r="BH102" s="59">
        <f t="shared" si="62"/>
        <v>778.99874470071677</v>
      </c>
      <c r="BI102" s="59">
        <f ca="1">AVERAGE(OFFSET($BH$3,0,0,'Données projet'!$E$11+1,1))-AVERAGE(OFFSET($H$3,0,0,'Données projet'!$E$11+1,1))</f>
        <v>203.21935660591021</v>
      </c>
      <c r="BJ102" s="59">
        <f t="shared" si="92"/>
        <v>180.54762778843178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0.25565701955780074</v>
      </c>
      <c r="BQ102" s="21">
        <f>EXP(-LN(2)/25)*BQ101+(1-EXP(-LN(2)/25))/(LN(2)/25)*Calculateur!BL102*Calculateur!BN102*VLOOKUP('Données projet'!$B$11,Paramètres!$A$1:$I$89,3,0)*0.475*44/12</f>
        <v>0.85676602957050574</v>
      </c>
      <c r="BR102" s="21">
        <f>EXP(-LN(2)/2)*BR101+(1-EXP(-LN(2)/2))/(LN(2)/2)*BL102*BO102*VLOOKUP('Données projet'!$B$11,Paramètres!$A$1:$I$89,3,0)*0.475*44/12</f>
        <v>3.7301131990476346E-10</v>
      </c>
      <c r="BS102" s="22">
        <f t="shared" si="63"/>
        <v>1.1124230495013179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5.2583333333333373</v>
      </c>
      <c r="BY102" s="12">
        <f>IF('Données projet'!$A$114&gt;35,BY101+BX102-CG101,IF(A102&lt;'Données projet'!$A$114,$BV$205^A102,IF(A102='Données projet'!$A$114,'Données projet'!$B$114,BY101+BX102-CG101)))</f>
        <v>213.73589743589716</v>
      </c>
      <c r="BZ102" s="13">
        <f>BY102*VLOOKUP('Données projet'!$B$12,Paramètres!$A$1:$I$89,3,0)*VLOOKUP('Données projet'!$B$12,Paramètres!$A$1:$I$89,5,0)</f>
        <v>230.0653199999997</v>
      </c>
      <c r="CA102" s="13">
        <f t="shared" si="93"/>
        <v>56.296805008899462</v>
      </c>
      <c r="CB102" s="20">
        <f t="shared" si="64"/>
        <v>498.74736772383267</v>
      </c>
      <c r="CC102" s="59">
        <f t="shared" si="65"/>
        <v>792.08070105716592</v>
      </c>
      <c r="CD102" s="59">
        <f ca="1">AVERAGE(OFFSET($CC$3,0,0,'Données projet'!$E$12+1,1))-AVERAGE(OFFSET($H$3,0,0,'Données projet'!$E$12+1,1))</f>
        <v>211.18501783767226</v>
      </c>
      <c r="CE102" s="59">
        <f t="shared" si="94"/>
        <v>147.98306963466246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0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5.2583333333333373</v>
      </c>
      <c r="CT102" s="12">
        <f>IF('Données projet'!$A$140&gt;35,CT101+CS102-DB101,IF(A102&lt;'Données projet'!$A$140,$CQ$205^A102,IF(A102='Données projet'!$A$140,'Données projet'!$B$140,CT101+CS102-DB101)))</f>
        <v>213.73589743589716</v>
      </c>
      <c r="CU102" s="17">
        <f>CT102*VLOOKUP('Données projet'!$B$13,Paramètres!$A$1:$I$89,3,0)*VLOOKUP('Données projet'!$B$13,Paramètres!$A$1:$I$89,5,0)</f>
        <v>230.0653199999997</v>
      </c>
      <c r="CV102" s="13">
        <f t="shared" si="95"/>
        <v>56.296805008899462</v>
      </c>
      <c r="CW102" s="20">
        <f t="shared" si="67"/>
        <v>498.74736772383267</v>
      </c>
      <c r="CX102" s="59">
        <f t="shared" si="68"/>
        <v>792.08070105716592</v>
      </c>
      <c r="CY102" s="59">
        <f ca="1">AVERAGE(OFFSET($CX$3,0,0,'Données projet'!$E$13+1,1))-AVERAGE(OFFSET($H$3,0,0,'Données projet'!$E$13+1,1))</f>
        <v>211.18501783767226</v>
      </c>
      <c r="CZ102" s="59">
        <f t="shared" si="96"/>
        <v>147.98306963466246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0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-1.3596945791505279E-13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182.25704762953387</v>
      </c>
      <c r="T103" s="59">
        <f t="shared" si="88"/>
        <v>265.61788177751134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1.2492910858921329</v>
      </c>
      <c r="AA103" s="21">
        <f>EXP(-LN(2)/25)*AA102+(1-EXP(-LN(2)/25))/(LN(2)/25)*Calculateur!V103*Calculateur!X103*VLOOKUP('Données projet'!$B$9,Paramètres!$A$1:$I$89,3,0)*0.475*44/12</f>
        <v>2.4596249462683462</v>
      </c>
      <c r="AB103" s="21">
        <f>EXP(-LN(2)/2)*AB102+(1-EXP(-LN(2)/2))/(LN(2)/2)*V103*Y103*VLOOKUP('Données projet'!$B$9,Paramètres!$A$1:$I$89,3,0)*0.475*44/12</f>
        <v>8.5853443405594284E-11</v>
      </c>
      <c r="AC103" s="22">
        <f t="shared" si="57"/>
        <v>3.7089160322463326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6.9935897435897401</v>
      </c>
      <c r="AI103" s="13">
        <f>IF('Données projet'!$A$62&gt;35,AI102+AH103-AQ102,IF(A103&lt;'Données projet'!$A$62,$AF$205^A103,IF(A103='Données projet'!$A$62,'Données projet'!$B$62,AI102+AH103-AQ102)))</f>
        <v>277.22435897435929</v>
      </c>
      <c r="AJ103" s="13">
        <f>AI103*VLOOKUP('Données projet'!$B$10,Paramètres!$A$1:$I$89,3,0)*VLOOKUP('Données projet'!$B$10,Paramètres!$A$1:$I$89,5,0)</f>
        <v>281.10550000000035</v>
      </c>
      <c r="AK103" s="13">
        <f t="shared" si="89"/>
        <v>67.200579205657675</v>
      </c>
      <c r="AL103" s="20">
        <f t="shared" si="58"/>
        <v>606.63308794985437</v>
      </c>
      <c r="AM103" s="59">
        <f t="shared" si="59"/>
        <v>899.96642128318763</v>
      </c>
      <c r="AN103" s="59">
        <f ca="1">AVERAGE(OFFSET($AM$3,0,0,'Données projet'!$E$10+1,1))-AVERAGE(OFFSET($H$3,0,0,'Données projet'!$E$10+1,1))</f>
        <v>263.15518481854753</v>
      </c>
      <c r="AO103" s="59">
        <f t="shared" si="90"/>
        <v>210.80755370263819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275.99999999999972</v>
      </c>
      <c r="BE103" s="13">
        <f>BD103*VLOOKUP('Données projet'!$B$11,Paramètres!$A$1:$I$89,3,0)*VLOOKUP('Données projet'!$B$11,Paramètres!$A$1:$I$89,5,0)</f>
        <v>223.8911999999998</v>
      </c>
      <c r="BF103" s="13">
        <f t="shared" si="91"/>
        <v>54.95975389514858</v>
      </c>
      <c r="BG103" s="20">
        <f t="shared" si="61"/>
        <v>485.66541136738346</v>
      </c>
      <c r="BH103" s="59">
        <f t="shared" si="62"/>
        <v>778.99874470071677</v>
      </c>
      <c r="BI103" s="59">
        <f ca="1">AVERAGE(OFFSET($BH$3,0,0,'Données projet'!$E$11+1,1))-AVERAGE(OFFSET($H$3,0,0,'Données projet'!$E$11+1,1))</f>
        <v>203.21935660591021</v>
      </c>
      <c r="BJ103" s="59">
        <f t="shared" si="92"/>
        <v>180.54762778843178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0.25064374133965683</v>
      </c>
      <c r="BQ103" s="21">
        <f>EXP(-LN(2)/25)*BQ102+(1-EXP(-LN(2)/25))/(LN(2)/25)*Calculateur!BL103*Calculateur!BN103*VLOOKUP('Données projet'!$B$11,Paramètres!$A$1:$I$89,3,0)*0.475*44/12</f>
        <v>0.83333771743653295</v>
      </c>
      <c r="BR103" s="21">
        <f>EXP(-LN(2)/2)*BR102+(1-EXP(-LN(2)/2))/(LN(2)/2)*BL103*BO103*VLOOKUP('Données projet'!$B$11,Paramètres!$A$1:$I$89,3,0)*0.475*44/12</f>
        <v>2.6375883376400285E-10</v>
      </c>
      <c r="BS103" s="22">
        <f t="shared" si="63"/>
        <v>1.0839814590399486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5.2583333333333373</v>
      </c>
      <c r="BY103" s="12">
        <f>IF('Données projet'!$A$114&gt;35,BY102+BX103-CG102,IF(A103&lt;'Données projet'!$A$114,$BV$205^A103,IF(A103='Données projet'!$A$114,'Données projet'!$B$114,BY102+BX103-CG102)))</f>
        <v>218.99423076923048</v>
      </c>
      <c r="BZ103" s="13">
        <f>BY103*VLOOKUP('Données projet'!$B$12,Paramètres!$A$1:$I$89,3,0)*VLOOKUP('Données projet'!$B$12,Paramètres!$A$1:$I$89,5,0)</f>
        <v>235.72538999999969</v>
      </c>
      <c r="CA103" s="13">
        <f t="shared" si="93"/>
        <v>57.51886758052828</v>
      </c>
      <c r="CB103" s="20">
        <f t="shared" si="64"/>
        <v>510.73374861941949</v>
      </c>
      <c r="CC103" s="59">
        <f t="shared" si="65"/>
        <v>804.0670819527528</v>
      </c>
      <c r="CD103" s="59">
        <f ca="1">AVERAGE(OFFSET($CC$3,0,0,'Données projet'!$E$12+1,1))-AVERAGE(OFFSET($H$3,0,0,'Données projet'!$E$12+1,1))</f>
        <v>211.18501783767226</v>
      </c>
      <c r="CE103" s="59">
        <f t="shared" si="94"/>
        <v>147.98306963466246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0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5.2583333333333373</v>
      </c>
      <c r="CT103" s="12">
        <f>IF('Données projet'!$A$140&gt;35,CT102+CS103-DB102,IF(A103&lt;'Données projet'!$A$140,$CQ$205^A103,IF(A103='Données projet'!$A$140,'Données projet'!$B$140,CT102+CS103-DB102)))</f>
        <v>218.99423076923048</v>
      </c>
      <c r="CU103" s="17">
        <f>CT103*VLOOKUP('Données projet'!$B$13,Paramètres!$A$1:$I$89,3,0)*VLOOKUP('Données projet'!$B$13,Paramètres!$A$1:$I$89,5,0)</f>
        <v>235.72538999999969</v>
      </c>
      <c r="CV103" s="13">
        <f t="shared" si="95"/>
        <v>57.51886758052828</v>
      </c>
      <c r="CW103" s="20">
        <f t="shared" si="67"/>
        <v>510.73374861941949</v>
      </c>
      <c r="CX103" s="59">
        <f t="shared" si="68"/>
        <v>804.0670819527528</v>
      </c>
      <c r="CY103" s="59">
        <f ca="1">AVERAGE(OFFSET($CX$3,0,0,'Données projet'!$E$13+1,1))-AVERAGE(OFFSET($H$3,0,0,'Données projet'!$E$13+1,1))</f>
        <v>211.18501783767226</v>
      </c>
      <c r="CZ103" s="59">
        <f t="shared" si="96"/>
        <v>147.98306963466246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0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-1.3596945791505279E-13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182.25704762953387</v>
      </c>
      <c r="T104" s="59">
        <f t="shared" si="88"/>
        <v>265.61788177751134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1.2247932496901102</v>
      </c>
      <c r="AA104" s="21">
        <f>EXP(-LN(2)/25)*AA103+(1-EXP(-LN(2)/25))/(LN(2)/25)*Calculateur!V104*Calculateur!X104*VLOOKUP('Données projet'!$B$9,Paramètres!$A$1:$I$89,3,0)*0.475*44/12</f>
        <v>2.3923663727665838</v>
      </c>
      <c r="AB104" s="21">
        <f>EXP(-LN(2)/2)*AB103+(1-EXP(-LN(2)/2))/(LN(2)/2)*V104*Y104*VLOOKUP('Données projet'!$B$9,Paramètres!$A$1:$I$89,3,0)*0.475*44/12</f>
        <v>6.0707552020311199E-11</v>
      </c>
      <c r="AC104" s="22">
        <f t="shared" si="57"/>
        <v>3.6171596225174016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6.9935897435897401</v>
      </c>
      <c r="AI104" s="13">
        <f>IF('Données projet'!$A$62&gt;35,AI103+AH104-AQ103,IF(A104&lt;'Données projet'!$A$62,$AF$205^A104,IF(A104='Données projet'!$A$62,'Données projet'!$B$62,AI103+AH104-AQ103)))</f>
        <v>284.21794871794901</v>
      </c>
      <c r="AJ104" s="13">
        <f>AI104*VLOOKUP('Données projet'!$B$10,Paramètres!$A$1:$I$89,3,0)*VLOOKUP('Données projet'!$B$10,Paramètres!$A$1:$I$89,5,0)</f>
        <v>288.19700000000034</v>
      </c>
      <c r="AK104" s="13">
        <f t="shared" si="89"/>
        <v>68.696350845178046</v>
      </c>
      <c r="AL104" s="20">
        <f t="shared" si="58"/>
        <v>621.58925272201895</v>
      </c>
      <c r="AM104" s="59">
        <f t="shared" si="59"/>
        <v>914.92258605535221</v>
      </c>
      <c r="AN104" s="59">
        <f ca="1">AVERAGE(OFFSET($AM$3,0,0,'Données projet'!$E$10+1,1))-AVERAGE(OFFSET($H$3,0,0,'Données projet'!$E$10+1,1))</f>
        <v>263.15518481854753</v>
      </c>
      <c r="AO104" s="59">
        <f t="shared" si="90"/>
        <v>210.80755370263819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275.99999999999972</v>
      </c>
      <c r="BE104" s="13">
        <f>BD104*VLOOKUP('Données projet'!$B$11,Paramètres!$A$1:$I$89,3,0)*VLOOKUP('Données projet'!$B$11,Paramètres!$A$1:$I$89,5,0)</f>
        <v>223.8911999999998</v>
      </c>
      <c r="BF104" s="13">
        <f t="shared" si="91"/>
        <v>54.95975389514858</v>
      </c>
      <c r="BG104" s="20">
        <f t="shared" si="61"/>
        <v>485.66541136738346</v>
      </c>
      <c r="BH104" s="59">
        <f t="shared" si="62"/>
        <v>778.99874470071677</v>
      </c>
      <c r="BI104" s="59">
        <f ca="1">AVERAGE(OFFSET($BH$3,0,0,'Données projet'!$E$11+1,1))-AVERAGE(OFFSET($H$3,0,0,'Données projet'!$E$11+1,1))</f>
        <v>203.21935660591021</v>
      </c>
      <c r="BJ104" s="59">
        <f t="shared" si="92"/>
        <v>180.54762778843178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0.24572877044957298</v>
      </c>
      <c r="BQ104" s="21">
        <f>EXP(-LN(2)/25)*BQ103+(1-EXP(-LN(2)/25))/(LN(2)/25)*Calculateur!BL104*Calculateur!BN104*VLOOKUP('Données projet'!$B$11,Paramètres!$A$1:$I$89,3,0)*0.475*44/12</f>
        <v>0.81055005372990507</v>
      </c>
      <c r="BR104" s="21">
        <f>EXP(-LN(2)/2)*BR103+(1-EXP(-LN(2)/2))/(LN(2)/2)*BL104*BO104*VLOOKUP('Données projet'!$B$11,Paramètres!$A$1:$I$89,3,0)*0.475*44/12</f>
        <v>1.8650565995238173E-10</v>
      </c>
      <c r="BS104" s="22">
        <f t="shared" si="63"/>
        <v>1.0562788243659837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5.2583333333333373</v>
      </c>
      <c r="BY104" s="12">
        <f>IF('Données projet'!$A$114&gt;35,BY103+BX104-CG103,IF(A104&lt;'Données projet'!$A$114,$BV$205^A104,IF(A104='Données projet'!$A$114,'Données projet'!$B$114,BY103+BX104-CG103)))</f>
        <v>224.25256410256381</v>
      </c>
      <c r="BZ104" s="13">
        <f>BY104*VLOOKUP('Données projet'!$B$12,Paramètres!$A$1:$I$89,3,0)*VLOOKUP('Données projet'!$B$12,Paramètres!$A$1:$I$89,5,0)</f>
        <v>241.38545999999968</v>
      </c>
      <c r="CA104" s="13">
        <f t="shared" si="93"/>
        <v>58.737519014834092</v>
      </c>
      <c r="CB104" s="20">
        <f t="shared" si="64"/>
        <v>522.71418845083542</v>
      </c>
      <c r="CC104" s="59">
        <f t="shared" si="65"/>
        <v>816.04752178416879</v>
      </c>
      <c r="CD104" s="59">
        <f ca="1">AVERAGE(OFFSET($CC$3,0,0,'Données projet'!$E$12+1,1))-AVERAGE(OFFSET($H$3,0,0,'Données projet'!$E$12+1,1))</f>
        <v>211.18501783767226</v>
      </c>
      <c r="CE104" s="59">
        <f t="shared" si="94"/>
        <v>147.98306963466246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0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5.2583333333333373</v>
      </c>
      <c r="CT104" s="12">
        <f>IF('Données projet'!$A$140&gt;35,CT103+CS104-DB103,IF(A104&lt;'Données projet'!$A$140,$CQ$205^A104,IF(A104='Données projet'!$A$140,'Données projet'!$B$140,CT103+CS104-DB103)))</f>
        <v>224.25256410256381</v>
      </c>
      <c r="CU104" s="17">
        <f>CT104*VLOOKUP('Données projet'!$B$13,Paramètres!$A$1:$I$89,3,0)*VLOOKUP('Données projet'!$B$13,Paramètres!$A$1:$I$89,5,0)</f>
        <v>241.38545999999968</v>
      </c>
      <c r="CV104" s="13">
        <f t="shared" si="95"/>
        <v>58.737519014834092</v>
      </c>
      <c r="CW104" s="20">
        <f t="shared" si="67"/>
        <v>522.71418845083542</v>
      </c>
      <c r="CX104" s="59">
        <f t="shared" si="68"/>
        <v>816.04752178416879</v>
      </c>
      <c r="CY104" s="59">
        <f ca="1">AVERAGE(OFFSET($CX$3,0,0,'Données projet'!$E$13+1,1))-AVERAGE(OFFSET($H$3,0,0,'Données projet'!$E$13+1,1))</f>
        <v>211.18501783767226</v>
      </c>
      <c r="CZ104" s="59">
        <f t="shared" si="96"/>
        <v>147.98306963466246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0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-1.3596945791505279E-13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182.25704762953387</v>
      </c>
      <c r="T105" s="59">
        <f t="shared" si="88"/>
        <v>265.61788177751134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1.2007758011138043</v>
      </c>
      <c r="AA105" s="21">
        <f>EXP(-LN(2)/25)*AA104+(1-EXP(-LN(2)/25))/(LN(2)/25)*Calculateur!V105*Calculateur!X105*VLOOKUP('Données projet'!$B$9,Paramètres!$A$1:$I$89,3,0)*0.475*44/12</f>
        <v>2.326946988494202</v>
      </c>
      <c r="AB105" s="21">
        <f>EXP(-LN(2)/2)*AB104+(1-EXP(-LN(2)/2))/(LN(2)/2)*V105*Y105*VLOOKUP('Données projet'!$B$9,Paramètres!$A$1:$I$89,3,0)*0.475*44/12</f>
        <v>4.2926721702797142E-11</v>
      </c>
      <c r="AC105" s="22">
        <f t="shared" si="57"/>
        <v>3.5277227896509329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6.9935897435897401</v>
      </c>
      <c r="AI105" s="13">
        <f>IF('Données projet'!$A$62&gt;35,AI104+AH105-AQ104,IF(A105&lt;'Données projet'!$A$62,$AF$205^A105,IF(A105='Données projet'!$A$62,'Données projet'!$B$62,AI104+AH105-AQ104)))</f>
        <v>291.21153846153874</v>
      </c>
      <c r="AJ105" s="13">
        <f>AI105*VLOOKUP('Données projet'!$B$10,Paramètres!$A$1:$I$89,3,0)*VLOOKUP('Données projet'!$B$10,Paramètres!$A$1:$I$89,5,0)</f>
        <v>295.28850000000028</v>
      </c>
      <c r="AK105" s="13">
        <f t="shared" si="89"/>
        <v>70.187843985612062</v>
      </c>
      <c r="AL105" s="20">
        <f t="shared" si="58"/>
        <v>636.53796577494143</v>
      </c>
      <c r="AM105" s="59">
        <f t="shared" si="59"/>
        <v>929.8712991082748</v>
      </c>
      <c r="AN105" s="59">
        <f ca="1">AVERAGE(OFFSET($AM$3,0,0,'Données projet'!$E$10+1,1))-AVERAGE(OFFSET($H$3,0,0,'Données projet'!$E$10+1,1))</f>
        <v>263.15518481854753</v>
      </c>
      <c r="AO105" s="59">
        <f t="shared" si="90"/>
        <v>210.80755370263819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275.99999999999972</v>
      </c>
      <c r="BE105" s="13">
        <f>BD105*VLOOKUP('Données projet'!$B$11,Paramètres!$A$1:$I$89,3,0)*VLOOKUP('Données projet'!$B$11,Paramètres!$A$1:$I$89,5,0)</f>
        <v>223.8911999999998</v>
      </c>
      <c r="BF105" s="13">
        <f t="shared" si="91"/>
        <v>54.95975389514858</v>
      </c>
      <c r="BG105" s="20">
        <f t="shared" si="61"/>
        <v>485.66541136738346</v>
      </c>
      <c r="BH105" s="59">
        <f t="shared" si="62"/>
        <v>778.99874470071677</v>
      </c>
      <c r="BI105" s="59">
        <f ca="1">AVERAGE(OFFSET($BH$3,0,0,'Données projet'!$E$11+1,1))-AVERAGE(OFFSET($H$3,0,0,'Données projet'!$E$11+1,1))</f>
        <v>203.21935660591021</v>
      </c>
      <c r="BJ105" s="59">
        <f t="shared" si="92"/>
        <v>180.54762778843178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0.24091017914080742</v>
      </c>
      <c r="BQ105" s="21">
        <f>EXP(-LN(2)/25)*BQ104+(1-EXP(-LN(2)/25))/(LN(2)/25)*Calculateur!BL105*Calculateur!BN105*VLOOKUP('Données projet'!$B$11,Paramètres!$A$1:$I$89,3,0)*0.475*44/12</f>
        <v>0.78838551988568606</v>
      </c>
      <c r="BR105" s="21">
        <f>EXP(-LN(2)/2)*BR104+(1-EXP(-LN(2)/2))/(LN(2)/2)*BL105*BO105*VLOOKUP('Données projet'!$B$11,Paramètres!$A$1:$I$89,3,0)*0.475*44/12</f>
        <v>1.3187941688200143E-10</v>
      </c>
      <c r="BS105" s="22">
        <f t="shared" si="63"/>
        <v>1.0292956991583728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5.2583333333333373</v>
      </c>
      <c r="BY105" s="12">
        <f>IF('Données projet'!$A$114&gt;35,BY104+BX105-CG104,IF(A105&lt;'Données projet'!$A$114,$BV$205^A105,IF(A105='Données projet'!$A$114,'Données projet'!$B$114,BY104+BX105-CG104)))</f>
        <v>229.51089743589714</v>
      </c>
      <c r="BZ105" s="13">
        <f>BY105*VLOOKUP('Données projet'!$B$12,Paramètres!$A$1:$I$89,3,0)*VLOOKUP('Données projet'!$B$12,Paramètres!$A$1:$I$89,5,0)</f>
        <v>247.04552999999967</v>
      </c>
      <c r="CA105" s="13">
        <f t="shared" si="93"/>
        <v>59.952848502120737</v>
      </c>
      <c r="CB105" s="20">
        <f t="shared" si="64"/>
        <v>534.68884255785974</v>
      </c>
      <c r="CC105" s="59">
        <f t="shared" si="65"/>
        <v>828.022175891193</v>
      </c>
      <c r="CD105" s="59">
        <f ca="1">AVERAGE(OFFSET($CC$3,0,0,'Données projet'!$E$12+1,1))-AVERAGE(OFFSET($H$3,0,0,'Données projet'!$E$12+1,1))</f>
        <v>211.18501783767226</v>
      </c>
      <c r="CE105" s="59">
        <f t="shared" si="94"/>
        <v>147.98306963466246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0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5.2583333333333373</v>
      </c>
      <c r="CT105" s="12">
        <f>IF('Données projet'!$A$140&gt;35,CT104+CS105-DB104,IF(A105&lt;'Données projet'!$A$140,$CQ$205^A105,IF(A105='Données projet'!$A$140,'Données projet'!$B$140,CT104+CS105-DB104)))</f>
        <v>229.51089743589714</v>
      </c>
      <c r="CU105" s="17">
        <f>CT105*VLOOKUP('Données projet'!$B$13,Paramètres!$A$1:$I$89,3,0)*VLOOKUP('Données projet'!$B$13,Paramètres!$A$1:$I$89,5,0)</f>
        <v>247.04552999999967</v>
      </c>
      <c r="CV105" s="13">
        <f t="shared" si="95"/>
        <v>59.952848502120737</v>
      </c>
      <c r="CW105" s="20">
        <f t="shared" si="67"/>
        <v>534.68884255785974</v>
      </c>
      <c r="CX105" s="59">
        <f t="shared" si="68"/>
        <v>828.022175891193</v>
      </c>
      <c r="CY105" s="59">
        <f ca="1">AVERAGE(OFFSET($CX$3,0,0,'Données projet'!$E$13+1,1))-AVERAGE(OFFSET($H$3,0,0,'Données projet'!$E$13+1,1))</f>
        <v>211.18501783767226</v>
      </c>
      <c r="CZ105" s="59">
        <f t="shared" si="96"/>
        <v>147.98306963466246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0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-1.3596945791505279E-13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182.25704762953387</v>
      </c>
      <c r="T106" s="59">
        <f t="shared" si="88"/>
        <v>265.61788177751134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1.1772293200548827</v>
      </c>
      <c r="AA106" s="21">
        <f>EXP(-LN(2)/25)*AA105+(1-EXP(-LN(2)/25))/(LN(2)/25)*Calculateur!V106*Calculateur!X106*VLOOKUP('Données projet'!$B$9,Paramètres!$A$1:$I$89,3,0)*0.475*44/12</f>
        <v>2.2633165007250042</v>
      </c>
      <c r="AB106" s="21">
        <f>EXP(-LN(2)/2)*AB105+(1-EXP(-LN(2)/2))/(LN(2)/2)*V106*Y106*VLOOKUP('Données projet'!$B$9,Paramètres!$A$1:$I$89,3,0)*0.475*44/12</f>
        <v>3.0353776010155599E-11</v>
      </c>
      <c r="AC106" s="22">
        <f t="shared" si="57"/>
        <v>3.4405458208102409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6.9935897435897401</v>
      </c>
      <c r="AI106" s="13">
        <f>IF('Données projet'!$A$62&gt;35,AI105+AH106-AQ105,IF(A106&lt;'Données projet'!$A$62,$AF$205^A106,IF(A106='Données projet'!$A$62,'Données projet'!$B$62,AI105+AH106-AQ105)))</f>
        <v>298.20512820512846</v>
      </c>
      <c r="AJ106" s="13">
        <f>AI106*VLOOKUP('Données projet'!$B$10,Paramètres!$A$1:$I$89,3,0)*VLOOKUP('Données projet'!$B$10,Paramètres!$A$1:$I$89,5,0)</f>
        <v>302.38000000000028</v>
      </c>
      <c r="AK106" s="13">
        <f t="shared" si="89"/>
        <v>71.675173199461099</v>
      </c>
      <c r="AL106" s="20">
        <f t="shared" si="58"/>
        <v>651.4794266557285</v>
      </c>
      <c r="AM106" s="59">
        <f t="shared" si="59"/>
        <v>944.81275998906176</v>
      </c>
      <c r="AN106" s="59">
        <f ca="1">AVERAGE(OFFSET($AM$3,0,0,'Données projet'!$E$10+1,1))-AVERAGE(OFFSET($H$3,0,0,'Données projet'!$E$10+1,1))</f>
        <v>263.15518481854753</v>
      </c>
      <c r="AO106" s="59">
        <f t="shared" si="90"/>
        <v>210.80755370263819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275.99999999999972</v>
      </c>
      <c r="BE106" s="13">
        <f>BD106*VLOOKUP('Données projet'!$B$11,Paramètres!$A$1:$I$89,3,0)*VLOOKUP('Données projet'!$B$11,Paramètres!$A$1:$I$89,5,0)</f>
        <v>223.8911999999998</v>
      </c>
      <c r="BF106" s="13">
        <f t="shared" si="91"/>
        <v>54.95975389514858</v>
      </c>
      <c r="BG106" s="20">
        <f t="shared" si="61"/>
        <v>485.66541136738346</v>
      </c>
      <c r="BH106" s="59">
        <f t="shared" si="62"/>
        <v>778.99874470071677</v>
      </c>
      <c r="BI106" s="59">
        <f ca="1">AVERAGE(OFFSET($BH$3,0,0,'Données projet'!$E$11+1,1))-AVERAGE(OFFSET($H$3,0,0,'Données projet'!$E$11+1,1))</f>
        <v>203.21935660591021</v>
      </c>
      <c r="BJ106" s="59">
        <f t="shared" si="92"/>
        <v>180.54762778843178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0.23618607746855627</v>
      </c>
      <c r="BQ106" s="21">
        <f>EXP(-LN(2)/25)*BQ105+(1-EXP(-LN(2)/25))/(LN(2)/25)*Calculateur!BL106*Calculateur!BN106*VLOOKUP('Données projet'!$B$11,Paramètres!$A$1:$I$89,3,0)*0.475*44/12</f>
        <v>0.76682707638501935</v>
      </c>
      <c r="BR106" s="21">
        <f>EXP(-LN(2)/2)*BR105+(1-EXP(-LN(2)/2))/(LN(2)/2)*BL106*BO106*VLOOKUP('Données projet'!$B$11,Paramètres!$A$1:$I$89,3,0)*0.475*44/12</f>
        <v>9.3252829976190866E-11</v>
      </c>
      <c r="BS106" s="22">
        <f t="shared" si="63"/>
        <v>1.0030131539468283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>
        <f>VLOOKUP(A106,'Données projet'!$A$113:$I$133,2,0)</f>
        <v>234.76923076923077</v>
      </c>
      <c r="BW106" s="12">
        <f>VLOOKUP(A106,'Données projet'!$A$113:$I$133,9,0)</f>
        <v>5.2583333333333373</v>
      </c>
      <c r="BX106" s="12">
        <f t="array" ref="BX106">INDEX(BW:BW,MIN(IF(ISNUMBER(BW106:BW302),ROW(BW106:BW302),"")))</f>
        <v>5.2583333333333373</v>
      </c>
      <c r="BY106" s="12">
        <f>IF('Données projet'!$A$114&gt;35,BY105+BX106-CG105,IF(A106&lt;'Données projet'!$A$114,$BV$205^A106,IF(A106='Données projet'!$A$114,'Données projet'!$B$114,BY105+BX106-CG105)))</f>
        <v>234.76923076923046</v>
      </c>
      <c r="BZ106" s="13">
        <f>BY106*VLOOKUP('Données projet'!$B$12,Paramètres!$A$1:$I$89,3,0)*VLOOKUP('Données projet'!$B$12,Paramètres!$A$1:$I$89,5,0)</f>
        <v>252.70559999999969</v>
      </c>
      <c r="CA106" s="13">
        <f t="shared" si="93"/>
        <v>61.164940912574906</v>
      </c>
      <c r="CB106" s="20">
        <f t="shared" si="64"/>
        <v>546.65785875606741</v>
      </c>
      <c r="CC106" s="59">
        <f t="shared" si="65"/>
        <v>839.99119208940078</v>
      </c>
      <c r="CD106" s="59">
        <f ca="1">AVERAGE(OFFSET($CC$3,0,0,'Données projet'!$E$12+1,1))-AVERAGE(OFFSET($H$3,0,0,'Données projet'!$E$12+1,1))</f>
        <v>211.18501783767226</v>
      </c>
      <c r="CE106" s="59">
        <f t="shared" si="94"/>
        <v>147.98306963466246</v>
      </c>
      <c r="CF106" s="15">
        <f>IF(ISNA(VLOOKUP(A106,'Données projet'!$A$113:$I$133,3,0)),0,VLOOKUP(A106,'Données projet'!$A$113:$I$133,3,0))</f>
        <v>8</v>
      </c>
      <c r="CG106" s="15">
        <f>IF(ISNA(VLOOKUP(A106,'Données projet'!$A$113:$I$133,4,0)),0,VLOOKUP(A106,'Données projet'!$A$113:$I$133,4,0))</f>
        <v>39.512820512820511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0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>
        <f>VLOOKUP(A106,'Données projet'!$A$139:$I$159,2,0)</f>
        <v>234.76923076923077</v>
      </c>
      <c r="CR106" s="12">
        <f>VLOOKUP(A106,'Données projet'!$A$139:$I$159,9,0)</f>
        <v>5.2583333333333373</v>
      </c>
      <c r="CS106" s="12">
        <f t="array" ref="CS106">INDEX(CR:CR,MIN(IF(ISNUMBER(CR106:CR302),ROW(CR106:CR302),"")))</f>
        <v>5.2583333333333373</v>
      </c>
      <c r="CT106" s="12">
        <f>IF('Données projet'!$A$140&gt;35,CT105+CS106-DB105,IF(A106&lt;'Données projet'!$A$140,$CQ$205^A106,IF(A106='Données projet'!$A$140,'Données projet'!$B$140,CT105+CS106-DB105)))</f>
        <v>234.76923076923046</v>
      </c>
      <c r="CU106" s="17">
        <f>CT106*VLOOKUP('Données projet'!$B$13,Paramètres!$A$1:$I$89,3,0)*VLOOKUP('Données projet'!$B$13,Paramètres!$A$1:$I$89,5,0)</f>
        <v>252.70559999999969</v>
      </c>
      <c r="CV106" s="13">
        <f t="shared" si="95"/>
        <v>61.164940912574906</v>
      </c>
      <c r="CW106" s="20">
        <f t="shared" si="67"/>
        <v>546.65785875606741</v>
      </c>
      <c r="CX106" s="59">
        <f t="shared" si="68"/>
        <v>839.99119208940078</v>
      </c>
      <c r="CY106" s="59">
        <f ca="1">AVERAGE(OFFSET($CX$3,0,0,'Données projet'!$E$13+1,1))-AVERAGE(OFFSET($H$3,0,0,'Données projet'!$E$13+1,1))</f>
        <v>211.18501783767226</v>
      </c>
      <c r="CZ106" s="59">
        <f t="shared" si="96"/>
        <v>147.98306963466246</v>
      </c>
      <c r="DA106" s="15">
        <f>IF(ISNA(VLOOKUP(A106,'Données projet'!$A$139:$I$159,3,0)),0,VLOOKUP(A106,'Données projet'!$A$139:$I$159,3,0))</f>
        <v>8</v>
      </c>
      <c r="DB106" s="15">
        <f>IF(ISNA(VLOOKUP(A106,'Données projet'!$A$139:$I$159,4,0)),0,VLOOKUP(A106,'Données projet'!$A$139:$I$159,4,0))</f>
        <v>39.512820512820511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0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-1.3596945791505279E-13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182.25704762953387</v>
      </c>
      <c r="T107" s="59">
        <f t="shared" si="88"/>
        <v>265.61788177751134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1.1541445711275913</v>
      </c>
      <c r="AA107" s="21">
        <f>EXP(-LN(2)/25)*AA106+(1-EXP(-LN(2)/25))/(LN(2)/25)*Calculateur!V107*Calculateur!X107*VLOOKUP('Données projet'!$B$9,Paramètres!$A$1:$I$89,3,0)*0.475*44/12</f>
        <v>2.2014259919900372</v>
      </c>
      <c r="AB107" s="21">
        <f>EXP(-LN(2)/2)*AB106+(1-EXP(-LN(2)/2))/(LN(2)/2)*V107*Y107*VLOOKUP('Données projet'!$B$9,Paramètres!$A$1:$I$89,3,0)*0.475*44/12</f>
        <v>2.1463360851398571E-11</v>
      </c>
      <c r="AC107" s="22">
        <f t="shared" si="57"/>
        <v>3.3555705631390915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6.9935897435897401</v>
      </c>
      <c r="AI107" s="13">
        <f>IF('Données projet'!$A$62&gt;35,AI106+AH107-AQ106,IF(A107&lt;'Données projet'!$A$62,$AF$205^A107,IF(A107='Données projet'!$A$62,'Données projet'!$B$62,AI106+AH107-AQ106)))</f>
        <v>305.19871794871818</v>
      </c>
      <c r="AJ107" s="13">
        <f>AI107*VLOOKUP('Données projet'!$B$10,Paramètres!$A$1:$I$89,3,0)*VLOOKUP('Données projet'!$B$10,Paramètres!$A$1:$I$89,5,0)</f>
        <v>309.47150000000028</v>
      </c>
      <c r="AK107" s="13">
        <f t="shared" si="89"/>
        <v>73.15844737867603</v>
      </c>
      <c r="AL107" s="20">
        <f t="shared" si="58"/>
        <v>666.41382501786131</v>
      </c>
      <c r="AM107" s="59">
        <f t="shared" si="59"/>
        <v>959.74715835119468</v>
      </c>
      <c r="AN107" s="59">
        <f ca="1">AVERAGE(OFFSET($AM$3,0,0,'Données projet'!$E$10+1,1))-AVERAGE(OFFSET($H$3,0,0,'Données projet'!$E$10+1,1))</f>
        <v>263.15518481854753</v>
      </c>
      <c r="AO107" s="59">
        <f t="shared" si="90"/>
        <v>210.80755370263819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275.99999999999972</v>
      </c>
      <c r="BE107" s="13">
        <f>BD107*VLOOKUP('Données projet'!$B$11,Paramètres!$A$1:$I$89,3,0)*VLOOKUP('Données projet'!$B$11,Paramètres!$A$1:$I$89,5,0)</f>
        <v>223.8911999999998</v>
      </c>
      <c r="BF107" s="13">
        <f t="shared" si="91"/>
        <v>54.95975389514858</v>
      </c>
      <c r="BG107" s="20">
        <f t="shared" si="61"/>
        <v>485.66541136738346</v>
      </c>
      <c r="BH107" s="59">
        <f t="shared" si="62"/>
        <v>778.99874470071677</v>
      </c>
      <c r="BI107" s="59">
        <f ca="1">AVERAGE(OFFSET($BH$3,0,0,'Données projet'!$E$11+1,1))-AVERAGE(OFFSET($H$3,0,0,'Données projet'!$E$11+1,1))</f>
        <v>203.21935660591021</v>
      </c>
      <c r="BJ107" s="59">
        <f t="shared" si="92"/>
        <v>180.54762778843178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0.23155461254868046</v>
      </c>
      <c r="BQ107" s="21">
        <f>EXP(-LN(2)/25)*BQ106+(1-EXP(-LN(2)/25))/(LN(2)/25)*Calculateur!BL107*Calculateur!BN107*VLOOKUP('Données projet'!$B$11,Paramètres!$A$1:$I$89,3,0)*0.475*44/12</f>
        <v>0.74585814965558761</v>
      </c>
      <c r="BR107" s="21">
        <f>EXP(-LN(2)/2)*BR106+(1-EXP(-LN(2)/2))/(LN(2)/2)*BL107*BO107*VLOOKUP('Données projet'!$B$11,Paramètres!$A$1:$I$89,3,0)*0.475*44/12</f>
        <v>6.5939708441000713E-11</v>
      </c>
      <c r="BS107" s="22">
        <f t="shared" si="63"/>
        <v>0.97741276227020779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5.0961538461538449</v>
      </c>
      <c r="BY107" s="12">
        <f>IF('Données projet'!$A$114&gt;35,BY106+BX107-CG106,IF(A107&lt;'Données projet'!$A$114,$BV$205^A107,IF(A107='Données projet'!$A$114,'Données projet'!$B$114,BY106+BX107-CG106)))</f>
        <v>200.3525641025638</v>
      </c>
      <c r="BZ107" s="13">
        <f>BY107*VLOOKUP('Données projet'!$B$12,Paramètres!$A$1:$I$89,3,0)*VLOOKUP('Données projet'!$B$12,Paramètres!$A$1:$I$89,5,0)</f>
        <v>215.65949999999967</v>
      </c>
      <c r="CA107" s="13">
        <f t="shared" si="93"/>
        <v>53.17040820160107</v>
      </c>
      <c r="CB107" s="20">
        <f t="shared" si="64"/>
        <v>468.21209011778797</v>
      </c>
      <c r="CC107" s="59">
        <f t="shared" si="65"/>
        <v>761.54542345112122</v>
      </c>
      <c r="CD107" s="59">
        <f ca="1">AVERAGE(OFFSET($CC$3,0,0,'Données projet'!$E$12+1,1))-AVERAGE(OFFSET($H$3,0,0,'Données projet'!$E$12+1,1))</f>
        <v>211.18501783767226</v>
      </c>
      <c r="CE107" s="59">
        <f t="shared" si="94"/>
        <v>147.98306963466246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0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5.0961538461538449</v>
      </c>
      <c r="CT107" s="12">
        <f>IF('Données projet'!$A$140&gt;35,CT106+CS107-DB106,IF(A107&lt;'Données projet'!$A$140,$CQ$205^A107,IF(A107='Données projet'!$A$140,'Données projet'!$B$140,CT106+CS107-DB106)))</f>
        <v>200.3525641025638</v>
      </c>
      <c r="CU107" s="17">
        <f>CT107*VLOOKUP('Données projet'!$B$13,Paramètres!$A$1:$I$89,3,0)*VLOOKUP('Données projet'!$B$13,Paramètres!$A$1:$I$89,5,0)</f>
        <v>215.65949999999967</v>
      </c>
      <c r="CV107" s="13">
        <f t="shared" si="95"/>
        <v>53.17040820160107</v>
      </c>
      <c r="CW107" s="20">
        <f t="shared" si="67"/>
        <v>468.21209011778797</v>
      </c>
      <c r="CX107" s="59">
        <f t="shared" si="68"/>
        <v>761.54542345112122</v>
      </c>
      <c r="CY107" s="59">
        <f ca="1">AVERAGE(OFFSET($CX$3,0,0,'Données projet'!$E$13+1,1))-AVERAGE(OFFSET($H$3,0,0,'Données projet'!$E$13+1,1))</f>
        <v>211.18501783767226</v>
      </c>
      <c r="CZ107" s="59">
        <f t="shared" si="96"/>
        <v>147.98306963466246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0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-1.3596945791505279E-13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182.25704762953387</v>
      </c>
      <c r="T108" s="59">
        <f t="shared" si="88"/>
        <v>265.61788177751134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1.1315125000464574</v>
      </c>
      <c r="AA108" s="21">
        <f>EXP(-LN(2)/25)*AA107+(1-EXP(-LN(2)/25))/(LN(2)/25)*Calculateur!V108*Calculateur!X108*VLOOKUP('Données projet'!$B$9,Paramètres!$A$1:$I$89,3,0)*0.475*44/12</f>
        <v>2.141227882471108</v>
      </c>
      <c r="AB108" s="21">
        <f>EXP(-LN(2)/2)*AB107+(1-EXP(-LN(2)/2))/(LN(2)/2)*V108*Y108*VLOOKUP('Données projet'!$B$9,Paramètres!$A$1:$I$89,3,0)*0.475*44/12</f>
        <v>1.51768880050778E-11</v>
      </c>
      <c r="AC108" s="22">
        <f t="shared" si="57"/>
        <v>3.2727403825327421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6.9935897435897401</v>
      </c>
      <c r="AI108" s="13">
        <f>IF('Données projet'!$A$62&gt;35,AI107+AH108-AQ107,IF(A108&lt;'Données projet'!$A$62,$AF$205^A108,IF(A108='Données projet'!$A$62,'Données projet'!$B$62,AI107+AH108-AQ107)))</f>
        <v>312.19230769230791</v>
      </c>
      <c r="AJ108" s="13">
        <f>AI108*VLOOKUP('Données projet'!$B$10,Paramètres!$A$1:$I$89,3,0)*VLOOKUP('Données projet'!$B$10,Paramètres!$A$1:$I$89,5,0)</f>
        <v>316.56300000000027</v>
      </c>
      <c r="AK108" s="13">
        <f t="shared" si="89"/>
        <v>74.637770139918857</v>
      </c>
      <c r="AL108" s="20">
        <f t="shared" si="58"/>
        <v>681.34134132702582</v>
      </c>
      <c r="AM108" s="59">
        <f t="shared" si="59"/>
        <v>974.67467466035919</v>
      </c>
      <c r="AN108" s="59">
        <f ca="1">AVERAGE(OFFSET($AM$3,0,0,'Données projet'!$E$10+1,1))-AVERAGE(OFFSET($H$3,0,0,'Données projet'!$E$10+1,1))</f>
        <v>263.15518481854753</v>
      </c>
      <c r="AO108" s="59">
        <f t="shared" si="90"/>
        <v>210.80755370263819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275.99999999999972</v>
      </c>
      <c r="BE108" s="13">
        <f>BD108*VLOOKUP('Données projet'!$B$11,Paramètres!$A$1:$I$89,3,0)*VLOOKUP('Données projet'!$B$11,Paramètres!$A$1:$I$89,5,0)</f>
        <v>223.8911999999998</v>
      </c>
      <c r="BF108" s="13">
        <f t="shared" si="91"/>
        <v>54.95975389514858</v>
      </c>
      <c r="BG108" s="20">
        <f t="shared" si="61"/>
        <v>485.66541136738346</v>
      </c>
      <c r="BH108" s="59">
        <f t="shared" si="62"/>
        <v>778.99874470071677</v>
      </c>
      <c r="BI108" s="59">
        <f ca="1">AVERAGE(OFFSET($BH$3,0,0,'Données projet'!$E$11+1,1))-AVERAGE(OFFSET($H$3,0,0,'Données projet'!$E$11+1,1))</f>
        <v>203.21935660591021</v>
      </c>
      <c r="BJ108" s="59">
        <f t="shared" si="92"/>
        <v>180.54762778843178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0.22701396783096875</v>
      </c>
      <c r="BQ108" s="21">
        <f>EXP(-LN(2)/25)*BQ107+(1-EXP(-LN(2)/25))/(LN(2)/25)*Calculateur!BL108*Calculateur!BN108*VLOOKUP('Données projet'!$B$11,Paramètres!$A$1:$I$89,3,0)*0.475*44/12</f>
        <v>0.72546261933028011</v>
      </c>
      <c r="BR108" s="21">
        <f>EXP(-LN(2)/2)*BR107+(1-EXP(-LN(2)/2))/(LN(2)/2)*BL108*BO108*VLOOKUP('Données projet'!$B$11,Paramètres!$A$1:$I$89,3,0)*0.475*44/12</f>
        <v>4.6626414988095433E-11</v>
      </c>
      <c r="BS108" s="22">
        <f t="shared" si="63"/>
        <v>0.9524765872078752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5.0961538461538449</v>
      </c>
      <c r="BY108" s="12">
        <f>IF('Données projet'!$A$114&gt;35,BY107+BX108-CG107,IF(A108&lt;'Données projet'!$A$114,$BV$205^A108,IF(A108='Données projet'!$A$114,'Données projet'!$B$114,BY107+BX108-CG107)))</f>
        <v>205.44871794871764</v>
      </c>
      <c r="BZ108" s="13">
        <f>BY108*VLOOKUP('Données projet'!$B$12,Paramètres!$A$1:$I$89,3,0)*VLOOKUP('Données projet'!$B$12,Paramètres!$A$1:$I$89,5,0)</f>
        <v>221.14499999999967</v>
      </c>
      <c r="CA108" s="13">
        <f t="shared" si="93"/>
        <v>54.363670578115759</v>
      </c>
      <c r="CB108" s="20">
        <f t="shared" si="64"/>
        <v>479.84426792355094</v>
      </c>
      <c r="CC108" s="59">
        <f t="shared" si="65"/>
        <v>773.17760125688426</v>
      </c>
      <c r="CD108" s="59">
        <f ca="1">AVERAGE(OFFSET($CC$3,0,0,'Données projet'!$E$12+1,1))-AVERAGE(OFFSET($H$3,0,0,'Données projet'!$E$12+1,1))</f>
        <v>211.18501783767226</v>
      </c>
      <c r="CE108" s="59">
        <f t="shared" si="94"/>
        <v>147.98306963466246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0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5.0961538461538449</v>
      </c>
      <c r="CT108" s="12">
        <f>IF('Données projet'!$A$140&gt;35,CT107+CS108-DB107,IF(A108&lt;'Données projet'!$A$140,$CQ$205^A108,IF(A108='Données projet'!$A$140,'Données projet'!$B$140,CT107+CS108-DB107)))</f>
        <v>205.44871794871764</v>
      </c>
      <c r="CU108" s="17">
        <f>CT108*VLOOKUP('Données projet'!$B$13,Paramètres!$A$1:$I$89,3,0)*VLOOKUP('Données projet'!$B$13,Paramètres!$A$1:$I$89,5,0)</f>
        <v>221.14499999999967</v>
      </c>
      <c r="CV108" s="13">
        <f t="shared" si="95"/>
        <v>54.363670578115759</v>
      </c>
      <c r="CW108" s="20">
        <f t="shared" si="67"/>
        <v>479.84426792355094</v>
      </c>
      <c r="CX108" s="59">
        <f t="shared" si="68"/>
        <v>773.17760125688426</v>
      </c>
      <c r="CY108" s="59">
        <f ca="1">AVERAGE(OFFSET($CX$3,0,0,'Données projet'!$E$13+1,1))-AVERAGE(OFFSET($H$3,0,0,'Données projet'!$E$13+1,1))</f>
        <v>211.18501783767226</v>
      </c>
      <c r="CZ108" s="59">
        <f t="shared" si="96"/>
        <v>147.98306963466246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0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-1.3596945791505279E-13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182.25704762953387</v>
      </c>
      <c r="T109" s="59">
        <f t="shared" si="88"/>
        <v>265.61788177751134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1.1093242300750243</v>
      </c>
      <c r="AA109" s="21">
        <f>EXP(-LN(2)/25)*AA108+(1-EXP(-LN(2)/25))/(LN(2)/25)*Calculateur!V109*Calculateur!X109*VLOOKUP('Données projet'!$B$9,Paramètres!$A$1:$I$89,3,0)*0.475*44/12</f>
        <v>2.082675893422655</v>
      </c>
      <c r="AB109" s="21">
        <f>EXP(-LN(2)/2)*AB108+(1-EXP(-LN(2)/2))/(LN(2)/2)*V109*Y109*VLOOKUP('Données projet'!$B$9,Paramètres!$A$1:$I$89,3,0)*0.475*44/12</f>
        <v>1.0731680425699285E-11</v>
      </c>
      <c r="AC109" s="22">
        <f t="shared" si="57"/>
        <v>3.1920001235084112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6.9935897435897401</v>
      </c>
      <c r="AI109" s="13">
        <f>IF('Données projet'!$A$62&gt;35,AI108+AH109-AQ108,IF(A109&lt;'Données projet'!$A$62,$AF$205^A109,IF(A109='Données projet'!$A$62,'Données projet'!$B$62,AI108+AH109-AQ108)))</f>
        <v>319.18589743589763</v>
      </c>
      <c r="AJ109" s="13">
        <f>AI109*VLOOKUP('Données projet'!$B$10,Paramètres!$A$1:$I$89,3,0)*VLOOKUP('Données projet'!$B$10,Paramètres!$A$1:$I$89,5,0)</f>
        <v>323.65450000000021</v>
      </c>
      <c r="AK109" s="13">
        <f t="shared" si="89"/>
        <v>76.113240192485705</v>
      </c>
      <c r="AL109" s="20">
        <f t="shared" si="58"/>
        <v>696.26214750191286</v>
      </c>
      <c r="AM109" s="59">
        <f t="shared" si="59"/>
        <v>989.59548083524624</v>
      </c>
      <c r="AN109" s="59">
        <f ca="1">AVERAGE(OFFSET($AM$3,0,0,'Données projet'!$E$10+1,1))-AVERAGE(OFFSET($H$3,0,0,'Données projet'!$E$10+1,1))</f>
        <v>263.15518481854753</v>
      </c>
      <c r="AO109" s="59">
        <f t="shared" si="90"/>
        <v>210.80755370263819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275.99999999999972</v>
      </c>
      <c r="BE109" s="13">
        <f>BD109*VLOOKUP('Données projet'!$B$11,Paramètres!$A$1:$I$89,3,0)*VLOOKUP('Données projet'!$B$11,Paramètres!$A$1:$I$89,5,0)</f>
        <v>223.8911999999998</v>
      </c>
      <c r="BF109" s="13">
        <f t="shared" si="91"/>
        <v>54.95975389514858</v>
      </c>
      <c r="BG109" s="20">
        <f t="shared" si="61"/>
        <v>485.66541136738346</v>
      </c>
      <c r="BH109" s="59">
        <f t="shared" si="62"/>
        <v>778.99874470071677</v>
      </c>
      <c r="BI109" s="59">
        <f ca="1">AVERAGE(OFFSET($BH$3,0,0,'Données projet'!$E$11+1,1))-AVERAGE(OFFSET($H$3,0,0,'Données projet'!$E$11+1,1))</f>
        <v>203.21935660591021</v>
      </c>
      <c r="BJ109" s="59">
        <f t="shared" si="92"/>
        <v>180.54762778843178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0.22256236238665156</v>
      </c>
      <c r="BQ109" s="21">
        <f>EXP(-LN(2)/25)*BQ108+(1-EXP(-LN(2)/25))/(LN(2)/25)*Calculateur!BL109*Calculateur!BN109*VLOOKUP('Données projet'!$B$11,Paramètres!$A$1:$I$89,3,0)*0.475*44/12</f>
        <v>0.70562480585427256</v>
      </c>
      <c r="BR109" s="21">
        <f>EXP(-LN(2)/2)*BR108+(1-EXP(-LN(2)/2))/(LN(2)/2)*BL109*BO109*VLOOKUP('Données projet'!$B$11,Paramètres!$A$1:$I$89,3,0)*0.475*44/12</f>
        <v>3.2969854220500357E-11</v>
      </c>
      <c r="BS109" s="22">
        <f t="shared" si="63"/>
        <v>0.92818716827389403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5.0961538461538449</v>
      </c>
      <c r="BY109" s="12">
        <f>IF('Données projet'!$A$114&gt;35,BY108+BX109-CG108,IF(A109&lt;'Données projet'!$A$114,$BV$205^A109,IF(A109='Données projet'!$A$114,'Données projet'!$B$114,BY108+BX109-CG108)))</f>
        <v>210.54487179487148</v>
      </c>
      <c r="BZ109" s="13">
        <f>BY109*VLOOKUP('Données projet'!$B$12,Paramètres!$A$1:$I$89,3,0)*VLOOKUP('Données projet'!$B$12,Paramètres!$A$1:$I$89,5,0)</f>
        <v>226.63049999999964</v>
      </c>
      <c r="CA109" s="13">
        <f t="shared" si="93"/>
        <v>55.553492243014645</v>
      </c>
      <c r="CB109" s="20">
        <f t="shared" si="64"/>
        <v>491.47045315658323</v>
      </c>
      <c r="CC109" s="59">
        <f t="shared" si="65"/>
        <v>784.80378648991655</v>
      </c>
      <c r="CD109" s="59">
        <f ca="1">AVERAGE(OFFSET($CC$3,0,0,'Données projet'!$E$12+1,1))-AVERAGE(OFFSET($H$3,0,0,'Données projet'!$E$12+1,1))</f>
        <v>211.18501783767226</v>
      </c>
      <c r="CE109" s="59">
        <f t="shared" si="94"/>
        <v>147.98306963466246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0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5.0961538461538449</v>
      </c>
      <c r="CT109" s="12">
        <f>IF('Données projet'!$A$140&gt;35,CT108+CS109-DB108,IF(A109&lt;'Données projet'!$A$140,$CQ$205^A109,IF(A109='Données projet'!$A$140,'Données projet'!$B$140,CT108+CS109-DB108)))</f>
        <v>210.54487179487148</v>
      </c>
      <c r="CU109" s="17">
        <f>CT109*VLOOKUP('Données projet'!$B$13,Paramètres!$A$1:$I$89,3,0)*VLOOKUP('Données projet'!$B$13,Paramètres!$A$1:$I$89,5,0)</f>
        <v>226.63049999999964</v>
      </c>
      <c r="CV109" s="13">
        <f t="shared" si="95"/>
        <v>55.553492243014645</v>
      </c>
      <c r="CW109" s="20">
        <f t="shared" si="67"/>
        <v>491.47045315658323</v>
      </c>
      <c r="CX109" s="59">
        <f t="shared" si="68"/>
        <v>784.80378648991655</v>
      </c>
      <c r="CY109" s="59">
        <f ca="1">AVERAGE(OFFSET($CX$3,0,0,'Données projet'!$E$13+1,1))-AVERAGE(OFFSET($H$3,0,0,'Données projet'!$E$13+1,1))</f>
        <v>211.18501783767226</v>
      </c>
      <c r="CZ109" s="59">
        <f t="shared" si="96"/>
        <v>147.98306963466246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0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-1.3596945791505279E-13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182.25704762953387</v>
      </c>
      <c r="T110" s="59">
        <f t="shared" si="88"/>
        <v>265.61788177751134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1.0875710585442226</v>
      </c>
      <c r="AA110" s="21">
        <f>EXP(-LN(2)/25)*AA109+(1-EXP(-LN(2)/25))/(LN(2)/25)*Calculateur!V110*Calculateur!X110*VLOOKUP('Données projet'!$B$9,Paramètres!$A$1:$I$89,3,0)*0.475*44/12</f>
        <v>2.0257250115938472</v>
      </c>
      <c r="AB110" s="21">
        <f>EXP(-LN(2)/2)*AB109+(1-EXP(-LN(2)/2))/(LN(2)/2)*V110*Y110*VLOOKUP('Données projet'!$B$9,Paramètres!$A$1:$I$89,3,0)*0.475*44/12</f>
        <v>7.5884440025388998E-12</v>
      </c>
      <c r="AC110" s="22">
        <f t="shared" si="57"/>
        <v>3.1132960701456582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6.9935897435897401</v>
      </c>
      <c r="AI110" s="13">
        <f>IF('Données projet'!$A$62&gt;35,AI109+AH110-AQ109,IF(A110&lt;'Données projet'!$A$62,$AF$205^A110,IF(A110='Données projet'!$A$62,'Données projet'!$B$62,AI109+AH110-AQ109)))</f>
        <v>326.17948717948735</v>
      </c>
      <c r="AJ110" s="13">
        <f>AI110*VLOOKUP('Données projet'!$B$10,Paramètres!$A$1:$I$89,3,0)*VLOOKUP('Données projet'!$B$10,Paramètres!$A$1:$I$89,5,0)</f>
        <v>330.74600000000021</v>
      </c>
      <c r="AK110" s="13">
        <f t="shared" si="89"/>
        <v>77.584951673074755</v>
      </c>
      <c r="AL110" s="20">
        <f t="shared" si="58"/>
        <v>711.17640749727218</v>
      </c>
      <c r="AM110" s="59">
        <f t="shared" si="59"/>
        <v>1004.5097408306056</v>
      </c>
      <c r="AN110" s="59">
        <f ca="1">AVERAGE(OFFSET($AM$3,0,0,'Données projet'!$E$10+1,1))-AVERAGE(OFFSET($H$3,0,0,'Données projet'!$E$10+1,1))</f>
        <v>263.15518481854753</v>
      </c>
      <c r="AO110" s="59">
        <f t="shared" si="90"/>
        <v>210.80755370263819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275.99999999999972</v>
      </c>
      <c r="BE110" s="13">
        <f>BD110*VLOOKUP('Données projet'!$B$11,Paramètres!$A$1:$I$89,3,0)*VLOOKUP('Données projet'!$B$11,Paramètres!$A$1:$I$89,5,0)</f>
        <v>223.8911999999998</v>
      </c>
      <c r="BF110" s="13">
        <f t="shared" si="91"/>
        <v>54.95975389514858</v>
      </c>
      <c r="BG110" s="20">
        <f t="shared" si="61"/>
        <v>485.66541136738346</v>
      </c>
      <c r="BH110" s="59">
        <f t="shared" si="62"/>
        <v>778.99874470071677</v>
      </c>
      <c r="BI110" s="59">
        <f ca="1">AVERAGE(OFFSET($BH$3,0,0,'Données projet'!$E$11+1,1))-AVERAGE(OFFSET($H$3,0,0,'Données projet'!$E$11+1,1))</f>
        <v>203.21935660591021</v>
      </c>
      <c r="BJ110" s="59">
        <f t="shared" si="92"/>
        <v>180.54762778843178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0.21819805020988622</v>
      </c>
      <c r="BQ110" s="21">
        <f>EXP(-LN(2)/25)*BQ109+(1-EXP(-LN(2)/25))/(LN(2)/25)*Calculateur!BL110*Calculateur!BN110*VLOOKUP('Données projet'!$B$11,Paramètres!$A$1:$I$89,3,0)*0.475*44/12</f>
        <v>0.68632945843099169</v>
      </c>
      <c r="BR110" s="21">
        <f>EXP(-LN(2)/2)*BR109+(1-EXP(-LN(2)/2))/(LN(2)/2)*BL110*BO110*VLOOKUP('Données projet'!$B$11,Paramètres!$A$1:$I$89,3,0)*0.475*44/12</f>
        <v>2.3313207494047717E-11</v>
      </c>
      <c r="BS110" s="22">
        <f t="shared" si="63"/>
        <v>0.90452750866419118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5.0961538461538449</v>
      </c>
      <c r="BY110" s="12">
        <f>IF('Données projet'!$A$114&gt;35,BY109+BX110-CG109,IF(A110&lt;'Données projet'!$A$114,$BV$205^A110,IF(A110='Données projet'!$A$114,'Données projet'!$B$114,BY109+BX110-CG109)))</f>
        <v>215.64102564102532</v>
      </c>
      <c r="BZ110" s="13">
        <f>BY110*VLOOKUP('Données projet'!$B$12,Paramètres!$A$1:$I$89,3,0)*VLOOKUP('Données projet'!$B$12,Paramètres!$A$1:$I$89,5,0)</f>
        <v>232.11599999999967</v>
      </c>
      <c r="CA110" s="13">
        <f t="shared" si="93"/>
        <v>56.739966058734943</v>
      </c>
      <c r="CB110" s="20">
        <f t="shared" si="64"/>
        <v>503.0908075522961</v>
      </c>
      <c r="CC110" s="59">
        <f t="shared" si="65"/>
        <v>796.42414088562941</v>
      </c>
      <c r="CD110" s="59">
        <f ca="1">AVERAGE(OFFSET($CC$3,0,0,'Données projet'!$E$12+1,1))-AVERAGE(OFFSET($H$3,0,0,'Données projet'!$E$12+1,1))</f>
        <v>211.18501783767226</v>
      </c>
      <c r="CE110" s="59">
        <f t="shared" si="94"/>
        <v>147.98306963466246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0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5.0961538461538449</v>
      </c>
      <c r="CT110" s="12">
        <f>IF('Données projet'!$A$140&gt;35,CT109+CS110-DB109,IF(A110&lt;'Données projet'!$A$140,$CQ$205^A110,IF(A110='Données projet'!$A$140,'Données projet'!$B$140,CT109+CS110-DB109)))</f>
        <v>215.64102564102532</v>
      </c>
      <c r="CU110" s="17">
        <f>CT110*VLOOKUP('Données projet'!$B$13,Paramètres!$A$1:$I$89,3,0)*VLOOKUP('Données projet'!$B$13,Paramètres!$A$1:$I$89,5,0)</f>
        <v>232.11599999999967</v>
      </c>
      <c r="CV110" s="13">
        <f t="shared" si="95"/>
        <v>56.739966058734943</v>
      </c>
      <c r="CW110" s="20">
        <f t="shared" si="67"/>
        <v>503.0908075522961</v>
      </c>
      <c r="CX110" s="59">
        <f t="shared" si="68"/>
        <v>796.42414088562941</v>
      </c>
      <c r="CY110" s="59">
        <f ca="1">AVERAGE(OFFSET($CX$3,0,0,'Données projet'!$E$13+1,1))-AVERAGE(OFFSET($H$3,0,0,'Données projet'!$E$13+1,1))</f>
        <v>211.18501783767226</v>
      </c>
      <c r="CZ110" s="59">
        <f t="shared" si="96"/>
        <v>147.98306963466246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0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-1.3596945791505279E-13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182.25704762953387</v>
      </c>
      <c r="T111" s="59">
        <f t="shared" si="88"/>
        <v>265.61788177751134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1.0662444534390154</v>
      </c>
      <c r="AA111" s="21">
        <f>EXP(-LN(2)/25)*AA110+(1-EXP(-LN(2)/25))/(LN(2)/25)*Calculateur!V111*Calculateur!X111*VLOOKUP('Données projet'!$B$9,Paramètres!$A$1:$I$89,3,0)*0.475*44/12</f>
        <v>1.9703314546235648</v>
      </c>
      <c r="AB111" s="21">
        <f>EXP(-LN(2)/2)*AB110+(1-EXP(-LN(2)/2))/(LN(2)/2)*V111*Y111*VLOOKUP('Données projet'!$B$9,Paramètres!$A$1:$I$89,3,0)*0.475*44/12</f>
        <v>5.3658402128496427E-12</v>
      </c>
      <c r="AC111" s="22">
        <f t="shared" si="57"/>
        <v>3.0365759080679462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6.9935897435897401</v>
      </c>
      <c r="AI111" s="13">
        <f>IF('Données projet'!$A$62&gt;35,AI110+AH111-AQ110,IF(A111&lt;'Données projet'!$A$62,$AF$205^A111,IF(A111='Données projet'!$A$62,'Données projet'!$B$62,AI110+AH111-AQ110)))</f>
        <v>333.17307692307708</v>
      </c>
      <c r="AJ111" s="13">
        <f>AI111*VLOOKUP('Données projet'!$B$10,Paramètres!$A$1:$I$89,3,0)*VLOOKUP('Données projet'!$B$10,Paramètres!$A$1:$I$89,5,0)</f>
        <v>337.8375000000002</v>
      </c>
      <c r="AK111" s="13">
        <f t="shared" si="89"/>
        <v>79.052994451033257</v>
      </c>
      <c r="AL111" s="20">
        <f t="shared" si="58"/>
        <v>726.08427783554998</v>
      </c>
      <c r="AM111" s="59">
        <f t="shared" si="59"/>
        <v>1019.4176111688832</v>
      </c>
      <c r="AN111" s="59">
        <f ca="1">AVERAGE(OFFSET($AM$3,0,0,'Données projet'!$E$10+1,1))-AVERAGE(OFFSET($H$3,0,0,'Données projet'!$E$10+1,1))</f>
        <v>263.15518481854753</v>
      </c>
      <c r="AO111" s="59">
        <f t="shared" si="90"/>
        <v>210.80755370263819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275.99999999999972</v>
      </c>
      <c r="BE111" s="13">
        <f>BD111*VLOOKUP('Données projet'!$B$11,Paramètres!$A$1:$I$89,3,0)*VLOOKUP('Données projet'!$B$11,Paramètres!$A$1:$I$89,5,0)</f>
        <v>223.8911999999998</v>
      </c>
      <c r="BF111" s="13">
        <f t="shared" si="91"/>
        <v>54.95975389514858</v>
      </c>
      <c r="BG111" s="20">
        <f t="shared" si="61"/>
        <v>485.66541136738346</v>
      </c>
      <c r="BH111" s="59">
        <f t="shared" si="62"/>
        <v>778.99874470071677</v>
      </c>
      <c r="BI111" s="59">
        <f ca="1">AVERAGE(OFFSET($BH$3,0,0,'Données projet'!$E$11+1,1))-AVERAGE(OFFSET($H$3,0,0,'Données projet'!$E$11+1,1))</f>
        <v>203.21935660591021</v>
      </c>
      <c r="BJ111" s="59">
        <f t="shared" si="92"/>
        <v>180.54762778843178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0.21391931953293966</v>
      </c>
      <c r="BQ111" s="21">
        <f>EXP(-LN(2)/25)*BQ110+(1-EXP(-LN(2)/25))/(LN(2)/25)*Calculateur!BL111*Calculateur!BN111*VLOOKUP('Données projet'!$B$11,Paramètres!$A$1:$I$89,3,0)*0.475*44/12</f>
        <v>0.66756174329769868</v>
      </c>
      <c r="BR111" s="21">
        <f>EXP(-LN(2)/2)*BR110+(1-EXP(-LN(2)/2))/(LN(2)/2)*BL111*BO111*VLOOKUP('Données projet'!$B$11,Paramètres!$A$1:$I$89,3,0)*0.475*44/12</f>
        <v>1.6484927110250178E-11</v>
      </c>
      <c r="BS111" s="22">
        <f t="shared" si="63"/>
        <v>0.88148106284712324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5.0961538461538449</v>
      </c>
      <c r="BY111" s="12">
        <f>IF('Données projet'!$A$114&gt;35,BY110+BX111-CG110,IF(A111&lt;'Données projet'!$A$114,$BV$205^A111,IF(A111='Données projet'!$A$114,'Données projet'!$B$114,BY110+BX111-CG110)))</f>
        <v>220.73717948717916</v>
      </c>
      <c r="BZ111" s="13">
        <f>BY111*VLOOKUP('Données projet'!$B$12,Paramètres!$A$1:$I$89,3,0)*VLOOKUP('Données projet'!$B$12,Paramètres!$A$1:$I$89,5,0)</f>
        <v>237.60149999999965</v>
      </c>
      <c r="CA111" s="13">
        <f t="shared" si="93"/>
        <v>57.923180248189368</v>
      </c>
      <c r="CB111" s="20">
        <f t="shared" si="64"/>
        <v>514.70548476559588</v>
      </c>
      <c r="CC111" s="59">
        <f t="shared" si="65"/>
        <v>808.03881809892914</v>
      </c>
      <c r="CD111" s="59">
        <f ca="1">AVERAGE(OFFSET($CC$3,0,0,'Données projet'!$E$12+1,1))-AVERAGE(OFFSET($H$3,0,0,'Données projet'!$E$12+1,1))</f>
        <v>211.18501783767226</v>
      </c>
      <c r="CE111" s="59">
        <f t="shared" si="94"/>
        <v>147.98306963466246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0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5.0961538461538449</v>
      </c>
      <c r="CT111" s="12">
        <f>IF('Données projet'!$A$140&gt;35,CT110+CS111-DB110,IF(A111&lt;'Données projet'!$A$140,$CQ$205^A111,IF(A111='Données projet'!$A$140,'Données projet'!$B$140,CT110+CS111-DB110)))</f>
        <v>220.73717948717916</v>
      </c>
      <c r="CU111" s="17">
        <f>CT111*VLOOKUP('Données projet'!$B$13,Paramètres!$A$1:$I$89,3,0)*VLOOKUP('Données projet'!$B$13,Paramètres!$A$1:$I$89,5,0)</f>
        <v>237.60149999999965</v>
      </c>
      <c r="CV111" s="13">
        <f t="shared" si="95"/>
        <v>57.923180248189368</v>
      </c>
      <c r="CW111" s="20">
        <f t="shared" si="67"/>
        <v>514.70548476559588</v>
      </c>
      <c r="CX111" s="59">
        <f t="shared" si="68"/>
        <v>808.03881809892914</v>
      </c>
      <c r="CY111" s="59">
        <f ca="1">AVERAGE(OFFSET($CX$3,0,0,'Données projet'!$E$13+1,1))-AVERAGE(OFFSET($H$3,0,0,'Données projet'!$E$13+1,1))</f>
        <v>211.18501783767226</v>
      </c>
      <c r="CZ111" s="59">
        <f t="shared" si="96"/>
        <v>147.98306963466246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0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-1.3596945791505279E-13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182.25704762953387</v>
      </c>
      <c r="T112" s="59">
        <f t="shared" si="88"/>
        <v>265.61788177751134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1.0453360500519766</v>
      </c>
      <c r="AA112" s="21">
        <f>EXP(-LN(2)/25)*AA111+(1-EXP(-LN(2)/25))/(LN(2)/25)*Calculateur!V112*Calculateur!X112*VLOOKUP('Données projet'!$B$9,Paramètres!$A$1:$I$89,3,0)*0.475*44/12</f>
        <v>1.9164526373816555</v>
      </c>
      <c r="AB112" s="21">
        <f>EXP(-LN(2)/2)*AB111+(1-EXP(-LN(2)/2))/(LN(2)/2)*V112*Y112*VLOOKUP('Données projet'!$B$9,Paramètres!$A$1:$I$89,3,0)*0.475*44/12</f>
        <v>3.7942220012694499E-12</v>
      </c>
      <c r="AC112" s="22">
        <f t="shared" si="57"/>
        <v>2.9617886874374264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>
        <f>VLOOKUP(A112,'Données projet'!$A$61:$I$81,2,0)</f>
        <v>340.16666666666663</v>
      </c>
      <c r="AG112" s="12">
        <f>VLOOKUP(A112,'Données projet'!$A$61:$I$81,9,0)</f>
        <v>6.9935897435897401</v>
      </c>
      <c r="AH112" s="12">
        <f t="array" ref="AH112">INDEX(AG:AG,MIN(IF(ISNUMBER(AG112:AG308),ROW(AG112:AG308),"")))</f>
        <v>6.9935897435897401</v>
      </c>
      <c r="AI112" s="13">
        <f>IF('Données projet'!$A$62&gt;35,AI111+AH112-AQ111,IF(A112&lt;'Données projet'!$A$62,$AF$205^A112,IF(A112='Données projet'!$A$62,'Données projet'!$B$62,AI111+AH112-AQ111)))</f>
        <v>340.1666666666668</v>
      </c>
      <c r="AJ112" s="13">
        <f>AI112*VLOOKUP('Données projet'!$B$10,Paramètres!$A$1:$I$89,3,0)*VLOOKUP('Données projet'!$B$10,Paramètres!$A$1:$I$89,5,0)</f>
        <v>344.92900000000014</v>
      </c>
      <c r="AK112" s="13">
        <f t="shared" si="89"/>
        <v>80.517454407251549</v>
      </c>
      <c r="AL112" s="20">
        <f t="shared" si="58"/>
        <v>740.98590809262998</v>
      </c>
      <c r="AM112" s="59">
        <f t="shared" si="59"/>
        <v>1034.3192414259634</v>
      </c>
      <c r="AN112" s="59">
        <f ca="1">AVERAGE(OFFSET($AM$3,0,0,'Données projet'!$E$10+1,1))-AVERAGE(OFFSET($H$3,0,0,'Données projet'!$E$10+1,1))</f>
        <v>263.15518481854753</v>
      </c>
      <c r="AO112" s="59">
        <f t="shared" si="90"/>
        <v>210.80755370263819</v>
      </c>
      <c r="AP112" s="15">
        <f>IF(ISNA(VLOOKUP(A112,'Données projet'!$A$61:$I$81,3,0)),0,VLOOKUP(A112,'Données projet'!$A$61:$I$81,3,0))</f>
        <v>10</v>
      </c>
      <c r="AQ112" s="15">
        <f>IF(ISNA(VLOOKUP(A112,'Données projet'!$A$61:$I$81,4,0)),0,VLOOKUP(A112,'Données projet'!$A$61:$I$81,4,0))</f>
        <v>51.28846153846154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275.99999999999972</v>
      </c>
      <c r="BE112" s="13">
        <f>BD112*VLOOKUP('Données projet'!$B$11,Paramètres!$A$1:$I$89,3,0)*VLOOKUP('Données projet'!$B$11,Paramètres!$A$1:$I$89,5,0)</f>
        <v>223.8911999999998</v>
      </c>
      <c r="BF112" s="13">
        <f t="shared" si="91"/>
        <v>54.95975389514858</v>
      </c>
      <c r="BG112" s="20">
        <f t="shared" si="61"/>
        <v>485.66541136738346</v>
      </c>
      <c r="BH112" s="59">
        <f t="shared" si="62"/>
        <v>778.99874470071677</v>
      </c>
      <c r="BI112" s="59">
        <f ca="1">AVERAGE(OFFSET($BH$3,0,0,'Données projet'!$E$11+1,1))-AVERAGE(OFFSET($H$3,0,0,'Données projet'!$E$11+1,1))</f>
        <v>203.21935660591021</v>
      </c>
      <c r="BJ112" s="59">
        <f t="shared" si="92"/>
        <v>180.54762778843178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0.20972449215480002</v>
      </c>
      <c r="BQ112" s="21">
        <f>EXP(-LN(2)/25)*BQ111+(1-EXP(-LN(2)/25))/(LN(2)/25)*Calculateur!BL112*Calculateur!BN112*VLOOKUP('Données projet'!$B$11,Paramètres!$A$1:$I$89,3,0)*0.475*44/12</f>
        <v>0.64930723232167675</v>
      </c>
      <c r="BR112" s="21">
        <f>EXP(-LN(2)/2)*BR111+(1-EXP(-LN(2)/2))/(LN(2)/2)*BL112*BO112*VLOOKUP('Données projet'!$B$11,Paramètres!$A$1:$I$89,3,0)*0.475*44/12</f>
        <v>1.1656603747023858E-11</v>
      </c>
      <c r="BS112" s="22">
        <f t="shared" si="63"/>
        <v>0.85903172448813336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5.0961538461538449</v>
      </c>
      <c r="BY112" s="12">
        <f>IF('Données projet'!$A$114&gt;35,BY111+BX112-CG111,IF(A112&lt;'Données projet'!$A$114,$BV$205^A112,IF(A112='Données projet'!$A$114,'Données projet'!$B$114,BY111+BX112-CG111)))</f>
        <v>225.833333333333</v>
      </c>
      <c r="BZ112" s="13">
        <f>BY112*VLOOKUP('Données projet'!$B$12,Paramètres!$A$1:$I$89,3,0)*VLOOKUP('Données projet'!$B$12,Paramètres!$A$1:$I$89,5,0)</f>
        <v>243.08699999999965</v>
      </c>
      <c r="CA112" s="13">
        <f t="shared" si="93"/>
        <v>59.10321872824241</v>
      </c>
      <c r="CB112" s="20">
        <f t="shared" si="64"/>
        <v>526.31463095168817</v>
      </c>
      <c r="CC112" s="59">
        <f t="shared" si="65"/>
        <v>819.64796428502154</v>
      </c>
      <c r="CD112" s="59">
        <f ca="1">AVERAGE(OFFSET($CC$3,0,0,'Données projet'!$E$12+1,1))-AVERAGE(OFFSET($H$3,0,0,'Données projet'!$E$12+1,1))</f>
        <v>211.18501783767226</v>
      </c>
      <c r="CE112" s="59">
        <f t="shared" si="94"/>
        <v>147.98306963466246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0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5.0961538461538449</v>
      </c>
      <c r="CT112" s="12">
        <f>IF('Données projet'!$A$140&gt;35,CT111+CS112-DB111,IF(A112&lt;'Données projet'!$A$140,$CQ$205^A112,IF(A112='Données projet'!$A$140,'Données projet'!$B$140,CT111+CS112-DB111)))</f>
        <v>225.833333333333</v>
      </c>
      <c r="CU112" s="17">
        <f>CT112*VLOOKUP('Données projet'!$B$13,Paramètres!$A$1:$I$89,3,0)*VLOOKUP('Données projet'!$B$13,Paramètres!$A$1:$I$89,5,0)</f>
        <v>243.08699999999965</v>
      </c>
      <c r="CV112" s="13">
        <f t="shared" si="95"/>
        <v>59.10321872824241</v>
      </c>
      <c r="CW112" s="20">
        <f t="shared" si="67"/>
        <v>526.31463095168817</v>
      </c>
      <c r="CX112" s="59">
        <f t="shared" si="68"/>
        <v>819.64796428502154</v>
      </c>
      <c r="CY112" s="59">
        <f ca="1">AVERAGE(OFFSET($CX$3,0,0,'Données projet'!$E$13+1,1))-AVERAGE(OFFSET($H$3,0,0,'Données projet'!$E$13+1,1))</f>
        <v>211.18501783767226</v>
      </c>
      <c r="CZ112" s="59">
        <f t="shared" si="96"/>
        <v>147.98306963466246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0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-1.3596945791505279E-13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182.25704762953387</v>
      </c>
      <c r="T113" s="59">
        <f t="shared" si="88"/>
        <v>265.61788177751134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1.024837647702491</v>
      </c>
      <c r="AA113" s="21">
        <f>EXP(-LN(2)/25)*AA112+(1-EXP(-LN(2)/25))/(LN(2)/25)*Calculateur!V113*Calculateur!X113*VLOOKUP('Données projet'!$B$9,Paramètres!$A$1:$I$89,3,0)*0.475*44/12</f>
        <v>1.86404713923059</v>
      </c>
      <c r="AB113" s="21">
        <f>EXP(-LN(2)/2)*AB112+(1-EXP(-LN(2)/2))/(LN(2)/2)*V113*Y113*VLOOKUP('Données projet'!$B$9,Paramètres!$A$1:$I$89,3,0)*0.475*44/12</f>
        <v>2.6829201064248214E-12</v>
      </c>
      <c r="AC113" s="22">
        <f t="shared" si="57"/>
        <v>2.8888847869357637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6.8461538461538511</v>
      </c>
      <c r="AI113" s="13">
        <f>IF('Données projet'!$A$62&gt;35,AI112+AH113-AQ112,IF(A113&lt;'Données projet'!$A$62,$AF$205^A113,IF(A113='Données projet'!$A$62,'Données projet'!$B$62,AI112+AH113-AQ112)))</f>
        <v>295.72435897435912</v>
      </c>
      <c r="AJ113" s="13">
        <f>AI113*VLOOKUP('Données projet'!$B$10,Paramètres!$A$1:$I$89,3,0)*VLOOKUP('Données projet'!$B$10,Paramètres!$A$1:$I$89,5,0)</f>
        <v>299.86450000000019</v>
      </c>
      <c r="AK113" s="13">
        <f t="shared" si="89"/>
        <v>71.148056724241698</v>
      </c>
      <c r="AL113" s="20">
        <f t="shared" si="58"/>
        <v>646.18020296138786</v>
      </c>
      <c r="AM113" s="59">
        <f t="shared" si="59"/>
        <v>939.51353629472123</v>
      </c>
      <c r="AN113" s="59">
        <f ca="1">AVERAGE(OFFSET($AM$3,0,0,'Données projet'!$E$10+1,1))-AVERAGE(OFFSET($H$3,0,0,'Données projet'!$E$10+1,1))</f>
        <v>263.15518481854753</v>
      </c>
      <c r="AO113" s="59">
        <f t="shared" si="90"/>
        <v>210.80755370263819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275.99999999999972</v>
      </c>
      <c r="BE113" s="13">
        <f>BD113*VLOOKUP('Données projet'!$B$11,Paramètres!$A$1:$I$89,3,0)*VLOOKUP('Données projet'!$B$11,Paramètres!$A$1:$I$89,5,0)</f>
        <v>223.8911999999998</v>
      </c>
      <c r="BF113" s="13">
        <f t="shared" si="91"/>
        <v>54.95975389514858</v>
      </c>
      <c r="BG113" s="20">
        <f t="shared" si="61"/>
        <v>485.66541136738346</v>
      </c>
      <c r="BH113" s="59">
        <f t="shared" si="62"/>
        <v>778.99874470071677</v>
      </c>
      <c r="BI113" s="59">
        <f ca="1">AVERAGE(OFFSET($BH$3,0,0,'Données projet'!$E$11+1,1))-AVERAGE(OFFSET($H$3,0,0,'Données projet'!$E$11+1,1))</f>
        <v>203.21935660591021</v>
      </c>
      <c r="BJ113" s="59">
        <f t="shared" si="92"/>
        <v>180.54762778843178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0.20561192278295362</v>
      </c>
      <c r="BQ113" s="21">
        <f>EXP(-LN(2)/25)*BQ112+(1-EXP(-LN(2)/25))/(LN(2)/25)*Calculateur!BL113*Calculateur!BN113*VLOOKUP('Données projet'!$B$11,Paramètres!$A$1:$I$89,3,0)*0.475*44/12</f>
        <v>0.63155189190825711</v>
      </c>
      <c r="BR113" s="21">
        <f>EXP(-LN(2)/2)*BR112+(1-EXP(-LN(2)/2))/(LN(2)/2)*BL113*BO113*VLOOKUP('Données projet'!$B$11,Paramètres!$A$1:$I$89,3,0)*0.475*44/12</f>
        <v>8.2424635551250891E-12</v>
      </c>
      <c r="BS113" s="22">
        <f t="shared" si="63"/>
        <v>0.83716381469945322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5.0961538461538449</v>
      </c>
      <c r="BY113" s="12">
        <f>IF('Données projet'!$A$114&gt;35,BY112+BX113-CG112,IF(A113&lt;'Données projet'!$A$114,$BV$205^A113,IF(A113='Données projet'!$A$114,'Données projet'!$B$114,BY112+BX113-CG112)))</f>
        <v>230.92948717948684</v>
      </c>
      <c r="BZ113" s="13">
        <f>BY113*VLOOKUP('Données projet'!$B$12,Paramètres!$A$1:$I$89,3,0)*VLOOKUP('Données projet'!$B$12,Paramètres!$A$1:$I$89,5,0)</f>
        <v>248.57249999999962</v>
      </c>
      <c r="CA113" s="13">
        <f t="shared" si="93"/>
        <v>60.280161412237796</v>
      </c>
      <c r="CB113" s="20">
        <f t="shared" si="64"/>
        <v>537.91838529298013</v>
      </c>
      <c r="CC113" s="59">
        <f t="shared" si="65"/>
        <v>831.2517186263135</v>
      </c>
      <c r="CD113" s="59">
        <f ca="1">AVERAGE(OFFSET($CC$3,0,0,'Données projet'!$E$12+1,1))-AVERAGE(OFFSET($H$3,0,0,'Données projet'!$E$12+1,1))</f>
        <v>211.18501783767226</v>
      </c>
      <c r="CE113" s="59">
        <f t="shared" si="94"/>
        <v>147.98306963466246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0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5.0961538461538449</v>
      </c>
      <c r="CT113" s="12">
        <f>IF('Données projet'!$A$140&gt;35,CT112+CS113-DB112,IF(A113&lt;'Données projet'!$A$140,$CQ$205^A113,IF(A113='Données projet'!$A$140,'Données projet'!$B$140,CT112+CS113-DB112)))</f>
        <v>230.92948717948684</v>
      </c>
      <c r="CU113" s="17">
        <f>CT113*VLOOKUP('Données projet'!$B$13,Paramètres!$A$1:$I$89,3,0)*VLOOKUP('Données projet'!$B$13,Paramètres!$A$1:$I$89,5,0)</f>
        <v>248.57249999999962</v>
      </c>
      <c r="CV113" s="13">
        <f t="shared" si="95"/>
        <v>60.280161412237796</v>
      </c>
      <c r="CW113" s="20">
        <f t="shared" si="67"/>
        <v>537.91838529298013</v>
      </c>
      <c r="CX113" s="59">
        <f t="shared" si="68"/>
        <v>831.2517186263135</v>
      </c>
      <c r="CY113" s="59">
        <f ca="1">AVERAGE(OFFSET($CX$3,0,0,'Données projet'!$E$13+1,1))-AVERAGE(OFFSET($H$3,0,0,'Données projet'!$E$13+1,1))</f>
        <v>211.18501783767226</v>
      </c>
      <c r="CZ113" s="59">
        <f t="shared" si="96"/>
        <v>147.98306963466246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0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-1.3596945791505279E-13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182.25704762953387</v>
      </c>
      <c r="T114" s="59">
        <f t="shared" si="88"/>
        <v>265.61788177751134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1.0047412065202879</v>
      </c>
      <c r="AA114" s="21">
        <f>EXP(-LN(2)/25)*AA113+(1-EXP(-LN(2)/25))/(LN(2)/25)*Calculateur!V114*Calculateur!X114*VLOOKUP('Données projet'!$B$9,Paramètres!$A$1:$I$89,3,0)*0.475*44/12</f>
        <v>1.8130746721823507</v>
      </c>
      <c r="AB114" s="21">
        <f>EXP(-LN(2)/2)*AB113+(1-EXP(-LN(2)/2))/(LN(2)/2)*V114*Y114*VLOOKUP('Données projet'!$B$9,Paramètres!$A$1:$I$89,3,0)*0.475*44/12</f>
        <v>1.897111000634725E-12</v>
      </c>
      <c r="AC114" s="22">
        <f t="shared" si="57"/>
        <v>2.8178158787045358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6.8461538461538511</v>
      </c>
      <c r="AI114" s="13">
        <f>IF('Données projet'!$A$62&gt;35,AI113+AH114-AQ113,IF(A114&lt;'Données projet'!$A$62,$AF$205^A114,IF(A114='Données projet'!$A$62,'Données projet'!$B$62,AI113+AH114-AQ113)))</f>
        <v>302.57051282051299</v>
      </c>
      <c r="AJ114" s="13">
        <f>AI114*VLOOKUP('Données projet'!$B$10,Paramètres!$A$1:$I$89,3,0)*VLOOKUP('Données projet'!$B$10,Paramètres!$A$1:$I$89,5,0)</f>
        <v>306.8065000000002</v>
      </c>
      <c r="AK114" s="13">
        <f t="shared" si="89"/>
        <v>72.601498865270955</v>
      </c>
      <c r="AL114" s="20">
        <f t="shared" si="58"/>
        <v>660.80226469034722</v>
      </c>
      <c r="AM114" s="59">
        <f t="shared" si="59"/>
        <v>954.13559802368059</v>
      </c>
      <c r="AN114" s="59">
        <f ca="1">AVERAGE(OFFSET($AM$3,0,0,'Données projet'!$E$10+1,1))-AVERAGE(OFFSET($H$3,0,0,'Données projet'!$E$10+1,1))</f>
        <v>263.15518481854753</v>
      </c>
      <c r="AO114" s="59">
        <f t="shared" si="90"/>
        <v>210.80755370263819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275.99999999999972</v>
      </c>
      <c r="BE114" s="13">
        <f>BD114*VLOOKUP('Données projet'!$B$11,Paramètres!$A$1:$I$89,3,0)*VLOOKUP('Données projet'!$B$11,Paramètres!$A$1:$I$89,5,0)</f>
        <v>223.8911999999998</v>
      </c>
      <c r="BF114" s="13">
        <f t="shared" si="91"/>
        <v>54.95975389514858</v>
      </c>
      <c r="BG114" s="20">
        <f t="shared" si="61"/>
        <v>485.66541136738346</v>
      </c>
      <c r="BH114" s="59">
        <f t="shared" si="62"/>
        <v>778.99874470071677</v>
      </c>
      <c r="BI114" s="59">
        <f ca="1">AVERAGE(OFFSET($BH$3,0,0,'Données projet'!$E$11+1,1))-AVERAGE(OFFSET($H$3,0,0,'Données projet'!$E$11+1,1))</f>
        <v>203.21935660591021</v>
      </c>
      <c r="BJ114" s="59">
        <f t="shared" si="92"/>
        <v>180.54762778843178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0.2015799983880695</v>
      </c>
      <c r="BQ114" s="21">
        <f>EXP(-LN(2)/25)*BQ113+(1-EXP(-LN(2)/25))/(LN(2)/25)*Calculateur!BL114*Calculateur!BN114*VLOOKUP('Données projet'!$B$11,Paramètres!$A$1:$I$89,3,0)*0.475*44/12</f>
        <v>0.61428207221215525</v>
      </c>
      <c r="BR114" s="21">
        <f>EXP(-LN(2)/2)*BR113+(1-EXP(-LN(2)/2))/(LN(2)/2)*BL114*BO114*VLOOKUP('Données projet'!$B$11,Paramètres!$A$1:$I$89,3,0)*0.475*44/12</f>
        <v>5.8283018735119291E-12</v>
      </c>
      <c r="BS114" s="22">
        <f t="shared" si="63"/>
        <v>0.81586207060605309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5.0961538461538449</v>
      </c>
      <c r="BY114" s="12">
        <f>IF('Données projet'!$A$114&gt;35,BY113+BX114-CG113,IF(A114&lt;'Données projet'!$A$114,$BV$205^A114,IF(A114='Données projet'!$A$114,'Données projet'!$B$114,BY113+BX114-CG113)))</f>
        <v>236.02564102564068</v>
      </c>
      <c r="BZ114" s="13">
        <f>BY114*VLOOKUP('Données projet'!$B$12,Paramètres!$A$1:$I$89,3,0)*VLOOKUP('Données projet'!$B$12,Paramètres!$A$1:$I$89,5,0)</f>
        <v>254.05799999999959</v>
      </c>
      <c r="CA114" s="13">
        <f t="shared" si="93"/>
        <v>61.454084485067781</v>
      </c>
      <c r="CB114" s="20">
        <f t="shared" si="64"/>
        <v>549.51688047815901</v>
      </c>
      <c r="CC114" s="59">
        <f t="shared" si="65"/>
        <v>842.85021381149227</v>
      </c>
      <c r="CD114" s="59">
        <f ca="1">AVERAGE(OFFSET($CC$3,0,0,'Données projet'!$E$12+1,1))-AVERAGE(OFFSET($H$3,0,0,'Données projet'!$E$12+1,1))</f>
        <v>211.18501783767226</v>
      </c>
      <c r="CE114" s="59">
        <f t="shared" si="94"/>
        <v>147.98306963466246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0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5.0961538461538449</v>
      </c>
      <c r="CT114" s="12">
        <f>IF('Données projet'!$A$140&gt;35,CT113+CS114-DB113,IF(A114&lt;'Données projet'!$A$140,$CQ$205^A114,IF(A114='Données projet'!$A$140,'Données projet'!$B$140,CT113+CS114-DB113)))</f>
        <v>236.02564102564068</v>
      </c>
      <c r="CU114" s="17">
        <f>CT114*VLOOKUP('Données projet'!$B$13,Paramètres!$A$1:$I$89,3,0)*VLOOKUP('Données projet'!$B$13,Paramètres!$A$1:$I$89,5,0)</f>
        <v>254.05799999999959</v>
      </c>
      <c r="CV114" s="13">
        <f t="shared" si="95"/>
        <v>61.454084485067781</v>
      </c>
      <c r="CW114" s="20">
        <f t="shared" si="67"/>
        <v>549.51688047815901</v>
      </c>
      <c r="CX114" s="59">
        <f t="shared" si="68"/>
        <v>842.85021381149227</v>
      </c>
      <c r="CY114" s="59">
        <f ca="1">AVERAGE(OFFSET($CX$3,0,0,'Données projet'!$E$13+1,1))-AVERAGE(OFFSET($H$3,0,0,'Données projet'!$E$13+1,1))</f>
        <v>211.18501783767226</v>
      </c>
      <c r="CZ114" s="59">
        <f t="shared" si="96"/>
        <v>147.98306963466246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0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-1.3596945791505279E-13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182.25704762953387</v>
      </c>
      <c r="T115" s="59">
        <f t="shared" si="88"/>
        <v>265.61788177751134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0.98503884429204891</v>
      </c>
      <c r="AA115" s="21">
        <f>EXP(-LN(2)/25)*AA114+(1-EXP(-LN(2)/25))/(LN(2)/25)*Calculateur!V115*Calculateur!X115*VLOOKUP('Données projet'!$B$9,Paramètres!$A$1:$I$89,3,0)*0.475*44/12</f>
        <v>1.7634960499260712</v>
      </c>
      <c r="AB115" s="21">
        <f>EXP(-LN(2)/2)*AB114+(1-EXP(-LN(2)/2))/(LN(2)/2)*V115*Y115*VLOOKUP('Données projet'!$B$9,Paramètres!$A$1:$I$89,3,0)*0.475*44/12</f>
        <v>1.3414600532124107E-12</v>
      </c>
      <c r="AC115" s="22">
        <f t="shared" si="57"/>
        <v>2.7485348942194618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6.8461538461538511</v>
      </c>
      <c r="AI115" s="13">
        <f>IF('Données projet'!$A$62&gt;35,AI114+AH115-AQ114,IF(A115&lt;'Données projet'!$A$62,$AF$205^A115,IF(A115='Données projet'!$A$62,'Données projet'!$B$62,AI114+AH115-AQ114)))</f>
        <v>309.41666666666686</v>
      </c>
      <c r="AJ115" s="13">
        <f>AI115*VLOOKUP('Données projet'!$B$10,Paramètres!$A$1:$I$89,3,0)*VLOOKUP('Données projet'!$B$10,Paramètres!$A$1:$I$89,5,0)</f>
        <v>313.74850000000021</v>
      </c>
      <c r="AK115" s="13">
        <f t="shared" si="89"/>
        <v>74.051117708153953</v>
      </c>
      <c r="AL115" s="20">
        <f t="shared" si="58"/>
        <v>675.41766750836848</v>
      </c>
      <c r="AM115" s="59">
        <f t="shared" si="59"/>
        <v>968.75100084170185</v>
      </c>
      <c r="AN115" s="59">
        <f ca="1">AVERAGE(OFFSET($AM$3,0,0,'Données projet'!$E$10+1,1))-AVERAGE(OFFSET($H$3,0,0,'Données projet'!$E$10+1,1))</f>
        <v>263.15518481854753</v>
      </c>
      <c r="AO115" s="59">
        <f t="shared" si="90"/>
        <v>210.80755370263819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275.99999999999972</v>
      </c>
      <c r="BE115" s="13">
        <f>BD115*VLOOKUP('Données projet'!$B$11,Paramètres!$A$1:$I$89,3,0)*VLOOKUP('Données projet'!$B$11,Paramètres!$A$1:$I$89,5,0)</f>
        <v>223.8911999999998</v>
      </c>
      <c r="BF115" s="13">
        <f t="shared" si="91"/>
        <v>54.95975389514858</v>
      </c>
      <c r="BG115" s="20">
        <f t="shared" si="61"/>
        <v>485.66541136738346</v>
      </c>
      <c r="BH115" s="59">
        <f t="shared" si="62"/>
        <v>778.99874470071677</v>
      </c>
      <c r="BI115" s="59">
        <f ca="1">AVERAGE(OFFSET($BH$3,0,0,'Données projet'!$E$11+1,1))-AVERAGE(OFFSET($H$3,0,0,'Données projet'!$E$11+1,1))</f>
        <v>203.21935660591021</v>
      </c>
      <c r="BJ115" s="59">
        <f t="shared" si="92"/>
        <v>180.54762778843178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0.19762713757133801</v>
      </c>
      <c r="BQ115" s="21">
        <f>EXP(-LN(2)/25)*BQ114+(1-EXP(-LN(2)/25))/(LN(2)/25)*Calculateur!BL115*Calculateur!BN115*VLOOKUP('Données projet'!$B$11,Paramètres!$A$1:$I$89,3,0)*0.475*44/12</f>
        <v>0.59748449664382364</v>
      </c>
      <c r="BR115" s="21">
        <f>EXP(-LN(2)/2)*BR114+(1-EXP(-LN(2)/2))/(LN(2)/2)*BL115*BO115*VLOOKUP('Données projet'!$B$11,Paramètres!$A$1:$I$89,3,0)*0.475*44/12</f>
        <v>4.1212317775625446E-12</v>
      </c>
      <c r="BS115" s="22">
        <f t="shared" si="63"/>
        <v>0.79511163421928288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5.0961538461538449</v>
      </c>
      <c r="BY115" s="12">
        <f>IF('Données projet'!$A$114&gt;35,BY114+BX115-CG114,IF(A115&lt;'Données projet'!$A$114,$BV$205^A115,IF(A115='Données projet'!$A$114,'Données projet'!$B$114,BY114+BX115-CG114)))</f>
        <v>241.12179487179452</v>
      </c>
      <c r="BZ115" s="13">
        <f>BY115*VLOOKUP('Données projet'!$B$12,Paramètres!$A$1:$I$89,3,0)*VLOOKUP('Données projet'!$B$12,Paramètres!$A$1:$I$89,5,0)</f>
        <v>259.54349999999965</v>
      </c>
      <c r="CA115" s="13">
        <f t="shared" si="93"/>
        <v>62.625060653815844</v>
      </c>
      <c r="CB115" s="20">
        <f t="shared" si="64"/>
        <v>561.11024313872872</v>
      </c>
      <c r="CC115" s="59">
        <f t="shared" si="65"/>
        <v>854.44357647206198</v>
      </c>
      <c r="CD115" s="59">
        <f ca="1">AVERAGE(OFFSET($CC$3,0,0,'Données projet'!$E$12+1,1))-AVERAGE(OFFSET($H$3,0,0,'Données projet'!$E$12+1,1))</f>
        <v>211.18501783767226</v>
      </c>
      <c r="CE115" s="59">
        <f t="shared" si="94"/>
        <v>147.98306963466246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0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5.0961538461538449</v>
      </c>
      <c r="CT115" s="12">
        <f>IF('Données projet'!$A$140&gt;35,CT114+CS115-DB114,IF(A115&lt;'Données projet'!$A$140,$CQ$205^A115,IF(A115='Données projet'!$A$140,'Données projet'!$B$140,CT114+CS115-DB114)))</f>
        <v>241.12179487179452</v>
      </c>
      <c r="CU115" s="17">
        <f>CT115*VLOOKUP('Données projet'!$B$13,Paramètres!$A$1:$I$89,3,0)*VLOOKUP('Données projet'!$B$13,Paramètres!$A$1:$I$89,5,0)</f>
        <v>259.54349999999965</v>
      </c>
      <c r="CV115" s="13">
        <f t="shared" si="95"/>
        <v>62.625060653815844</v>
      </c>
      <c r="CW115" s="20">
        <f t="shared" si="67"/>
        <v>561.11024313872872</v>
      </c>
      <c r="CX115" s="59">
        <f t="shared" si="68"/>
        <v>854.44357647206198</v>
      </c>
      <c r="CY115" s="59">
        <f ca="1">AVERAGE(OFFSET($CX$3,0,0,'Données projet'!$E$13+1,1))-AVERAGE(OFFSET($H$3,0,0,'Données projet'!$E$13+1,1))</f>
        <v>211.18501783767226</v>
      </c>
      <c r="CZ115" s="59">
        <f t="shared" si="96"/>
        <v>147.98306963466246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0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-1.3596945791505279E-13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182.25704762953387</v>
      </c>
      <c r="T116" s="59">
        <f t="shared" si="88"/>
        <v>265.61788177751134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0.96572283336985132</v>
      </c>
      <c r="AA116" s="21">
        <f>EXP(-LN(2)/25)*AA115+(1-EXP(-LN(2)/25))/(LN(2)/25)*Calculateur!V116*Calculateur!X116*VLOOKUP('Données projet'!$B$9,Paramètres!$A$1:$I$89,3,0)*0.475*44/12</f>
        <v>1.7152731577026161</v>
      </c>
      <c r="AB116" s="21">
        <f>EXP(-LN(2)/2)*AB115+(1-EXP(-LN(2)/2))/(LN(2)/2)*V116*Y116*VLOOKUP('Données projet'!$B$9,Paramètres!$A$1:$I$89,3,0)*0.475*44/12</f>
        <v>9.4855550031736248E-13</v>
      </c>
      <c r="AC116" s="22">
        <f t="shared" si="57"/>
        <v>2.680995991073416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6.8461538461538511</v>
      </c>
      <c r="AI116" s="13">
        <f>IF('Données projet'!$A$62&gt;35,AI115+AH116-AQ115,IF(A116&lt;'Données projet'!$A$62,$AF$205^A116,IF(A116='Données projet'!$A$62,'Données projet'!$B$62,AI115+AH116-AQ115)))</f>
        <v>316.26282051282072</v>
      </c>
      <c r="AJ116" s="13">
        <f>AI116*VLOOKUP('Données projet'!$B$10,Paramètres!$A$1:$I$89,3,0)*VLOOKUP('Données projet'!$B$10,Paramètres!$A$1:$I$89,5,0)</f>
        <v>320.69050000000021</v>
      </c>
      <c r="AK116" s="13">
        <f t="shared" si="89"/>
        <v>75.49700758801059</v>
      </c>
      <c r="AL116" s="20">
        <f t="shared" si="58"/>
        <v>690.0265757157855</v>
      </c>
      <c r="AM116" s="59">
        <f t="shared" si="59"/>
        <v>983.35990904911887</v>
      </c>
      <c r="AN116" s="59">
        <f ca="1">AVERAGE(OFFSET($AM$3,0,0,'Données projet'!$E$10+1,1))-AVERAGE(OFFSET($H$3,0,0,'Données projet'!$E$10+1,1))</f>
        <v>263.15518481854753</v>
      </c>
      <c r="AO116" s="59">
        <f t="shared" si="90"/>
        <v>210.80755370263819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275.99999999999972</v>
      </c>
      <c r="BE116" s="13">
        <f>BD116*VLOOKUP('Données projet'!$B$11,Paramètres!$A$1:$I$89,3,0)*VLOOKUP('Données projet'!$B$11,Paramètres!$A$1:$I$89,5,0)</f>
        <v>223.8911999999998</v>
      </c>
      <c r="BF116" s="13">
        <f t="shared" si="91"/>
        <v>54.95975389514858</v>
      </c>
      <c r="BG116" s="20">
        <f t="shared" si="61"/>
        <v>485.66541136738346</v>
      </c>
      <c r="BH116" s="59">
        <f t="shared" si="62"/>
        <v>778.99874470071677</v>
      </c>
      <c r="BI116" s="59">
        <f ca="1">AVERAGE(OFFSET($BH$3,0,0,'Données projet'!$E$11+1,1))-AVERAGE(OFFSET($H$3,0,0,'Données projet'!$E$11+1,1))</f>
        <v>203.21935660591021</v>
      </c>
      <c r="BJ116" s="59">
        <f t="shared" si="92"/>
        <v>180.54762778843178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0.1937517899442156</v>
      </c>
      <c r="BQ116" s="21">
        <f>EXP(-LN(2)/25)*BQ115+(1-EXP(-LN(2)/25))/(LN(2)/25)*Calculateur!BL116*Calculateur!BN116*VLOOKUP('Données projet'!$B$11,Paramètres!$A$1:$I$89,3,0)*0.475*44/12</f>
        <v>0.58114625166275413</v>
      </c>
      <c r="BR116" s="21">
        <f>EXP(-LN(2)/2)*BR115+(1-EXP(-LN(2)/2))/(LN(2)/2)*BL116*BO116*VLOOKUP('Données projet'!$B$11,Paramètres!$A$1:$I$89,3,0)*0.475*44/12</f>
        <v>2.9141509367559646E-12</v>
      </c>
      <c r="BS116" s="22">
        <f t="shared" si="63"/>
        <v>0.77489804160988385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>
        <f>VLOOKUP(A116,'Données projet'!$A$113:$I$133,2,0)</f>
        <v>246.21794871794873</v>
      </c>
      <c r="BW116" s="12">
        <f>VLOOKUP(A116,'Données projet'!$A$113:$I$133,9,0)</f>
        <v>5.0961538461538449</v>
      </c>
      <c r="BX116" s="12">
        <f t="array" ref="BX116">INDEX(BW:BW,MIN(IF(ISNUMBER(BW116:BW312),ROW(BW116:BW312),"")))</f>
        <v>5.0961538461538449</v>
      </c>
      <c r="BY116" s="12">
        <f>IF('Données projet'!$A$114&gt;35,BY115+BX116-CG115,IF(A116&lt;'Données projet'!$A$114,$BV$205^A116,IF(A116='Données projet'!$A$114,'Données projet'!$B$114,BY115+BX116-CG115)))</f>
        <v>246.21794871794836</v>
      </c>
      <c r="BZ116" s="13">
        <f>BY116*VLOOKUP('Données projet'!$B$12,Paramètres!$A$1:$I$89,3,0)*VLOOKUP('Données projet'!$B$12,Paramètres!$A$1:$I$89,5,0)</f>
        <v>265.0289999999996</v>
      </c>
      <c r="CA116" s="13">
        <f t="shared" si="93"/>
        <v>63.793159376611477</v>
      </c>
      <c r="CB116" s="20">
        <f t="shared" si="64"/>
        <v>572.6985942475975</v>
      </c>
      <c r="CC116" s="59">
        <f t="shared" si="65"/>
        <v>866.03192758093087</v>
      </c>
      <c r="CD116" s="59">
        <f ca="1">AVERAGE(OFFSET($CC$3,0,0,'Données projet'!$E$12+1,1))-AVERAGE(OFFSET($H$3,0,0,'Données projet'!$E$12+1,1))</f>
        <v>211.18501783767226</v>
      </c>
      <c r="CE116" s="59">
        <f t="shared" si="94"/>
        <v>147.98306963466246</v>
      </c>
      <c r="CF116" s="15">
        <f>IF(ISNA(VLOOKUP(A116,'Données projet'!$A$113:$I$133,3,0)),0,VLOOKUP(A116,'Données projet'!$A$113:$I$133,3,0))</f>
        <v>9</v>
      </c>
      <c r="CG116" s="15">
        <f>IF(ISNA(VLOOKUP(A116,'Données projet'!$A$113:$I$133,4,0)),0,VLOOKUP(A116,'Données projet'!$A$113:$I$133,4,0))</f>
        <v>31.602564102564099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0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>
        <f>VLOOKUP(A116,'Données projet'!$A$139:$I$159,2,0)</f>
        <v>246.21794871794873</v>
      </c>
      <c r="CR116" s="12">
        <f>VLOOKUP(A116,'Données projet'!$A$139:$I$159,9,0)</f>
        <v>5.0961538461538449</v>
      </c>
      <c r="CS116" s="12">
        <f t="array" ref="CS116">INDEX(CR:CR,MIN(IF(ISNUMBER(CR116:CR312),ROW(CR116:CR312),"")))</f>
        <v>5.0961538461538449</v>
      </c>
      <c r="CT116" s="12">
        <f>IF('Données projet'!$A$140&gt;35,CT115+CS116-DB115,IF(A116&lt;'Données projet'!$A$140,$CQ$205^A116,IF(A116='Données projet'!$A$140,'Données projet'!$B$140,CT115+CS116-DB115)))</f>
        <v>246.21794871794836</v>
      </c>
      <c r="CU116" s="17">
        <f>CT116*VLOOKUP('Données projet'!$B$13,Paramètres!$A$1:$I$89,3,0)*VLOOKUP('Données projet'!$B$13,Paramètres!$A$1:$I$89,5,0)</f>
        <v>265.0289999999996</v>
      </c>
      <c r="CV116" s="13">
        <f t="shared" si="95"/>
        <v>63.793159376611477</v>
      </c>
      <c r="CW116" s="20">
        <f t="shared" si="67"/>
        <v>572.6985942475975</v>
      </c>
      <c r="CX116" s="59">
        <f t="shared" si="68"/>
        <v>866.03192758093087</v>
      </c>
      <c r="CY116" s="59">
        <f ca="1">AVERAGE(OFFSET($CX$3,0,0,'Données projet'!$E$13+1,1))-AVERAGE(OFFSET($H$3,0,0,'Données projet'!$E$13+1,1))</f>
        <v>211.18501783767226</v>
      </c>
      <c r="CZ116" s="59">
        <f t="shared" si="96"/>
        <v>147.98306963466246</v>
      </c>
      <c r="DA116" s="15">
        <f>IF(ISNA(VLOOKUP(A116,'Données projet'!$A$139:$I$159,3,0)),0,VLOOKUP(A116,'Données projet'!$A$139:$I$159,3,0))</f>
        <v>9</v>
      </c>
      <c r="DB116" s="15">
        <f>IF(ISNA(VLOOKUP(A116,'Données projet'!$A$139:$I$159,4,0)),0,VLOOKUP(A116,'Données projet'!$A$139:$I$159,4,0))</f>
        <v>31.602564102564099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0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-1.3596945791505279E-13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182.25704762953387</v>
      </c>
      <c r="T117" s="59">
        <f t="shared" si="88"/>
        <v>265.61788177751134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0.94678559764023473</v>
      </c>
      <c r="AA117" s="21">
        <f>EXP(-LN(2)/25)*AA116+(1-EXP(-LN(2)/25))/(LN(2)/25)*Calculateur!V117*Calculateur!X117*VLOOKUP('Données projet'!$B$9,Paramètres!$A$1:$I$89,3,0)*0.475*44/12</f>
        <v>1.668368923002943</v>
      </c>
      <c r="AB117" s="21">
        <f>EXP(-LN(2)/2)*AB116+(1-EXP(-LN(2)/2))/(LN(2)/2)*V117*Y117*VLOOKUP('Données projet'!$B$9,Paramètres!$A$1:$I$89,3,0)*0.475*44/12</f>
        <v>6.7073002660620534E-13</v>
      </c>
      <c r="AC117" s="22">
        <f t="shared" si="57"/>
        <v>2.6151545206438485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6.8461538461538511</v>
      </c>
      <c r="AI117" s="13">
        <f>IF('Données projet'!$A$62&gt;35,AI116+AH117-AQ116,IF(A117&lt;'Données projet'!$A$62,$AF$205^A117,IF(A117='Données projet'!$A$62,'Données projet'!$B$62,AI116+AH117-AQ116)))</f>
        <v>323.10897435897459</v>
      </c>
      <c r="AJ117" s="13">
        <f>AI117*VLOOKUP('Données projet'!$B$10,Paramètres!$A$1:$I$89,3,0)*VLOOKUP('Données projet'!$B$10,Paramètres!$A$1:$I$89,5,0)</f>
        <v>327.63250000000022</v>
      </c>
      <c r="AK117" s="13">
        <f t="shared" si="89"/>
        <v>76.939258522537912</v>
      </c>
      <c r="AL117" s="20">
        <f t="shared" si="58"/>
        <v>704.62914609342045</v>
      </c>
      <c r="AM117" s="59">
        <f t="shared" si="59"/>
        <v>997.96247942675382</v>
      </c>
      <c r="AN117" s="59">
        <f ca="1">AVERAGE(OFFSET($AM$3,0,0,'Données projet'!$E$10+1,1))-AVERAGE(OFFSET($H$3,0,0,'Données projet'!$E$10+1,1))</f>
        <v>263.15518481854753</v>
      </c>
      <c r="AO117" s="59">
        <f t="shared" si="90"/>
        <v>210.80755370263819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275.99999999999972</v>
      </c>
      <c r="BE117" s="13">
        <f>BD117*VLOOKUP('Données projet'!$B$11,Paramètres!$A$1:$I$89,3,0)*VLOOKUP('Données projet'!$B$11,Paramètres!$A$1:$I$89,5,0)</f>
        <v>223.8911999999998</v>
      </c>
      <c r="BF117" s="13">
        <f t="shared" si="91"/>
        <v>54.95975389514858</v>
      </c>
      <c r="BG117" s="20">
        <f t="shared" si="61"/>
        <v>485.66541136738346</v>
      </c>
      <c r="BH117" s="59">
        <f t="shared" si="62"/>
        <v>778.99874470071677</v>
      </c>
      <c r="BI117" s="59">
        <f ca="1">AVERAGE(OFFSET($BH$3,0,0,'Données projet'!$E$11+1,1))-AVERAGE(OFFSET($H$3,0,0,'Données projet'!$E$11+1,1))</f>
        <v>203.21935660591021</v>
      </c>
      <c r="BJ117" s="59">
        <f t="shared" si="92"/>
        <v>180.54762778843178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0.18995243552033239</v>
      </c>
      <c r="BQ117" s="21">
        <f>EXP(-LN(2)/25)*BQ116+(1-EXP(-LN(2)/25))/(LN(2)/25)*Calculateur!BL117*Calculateur!BN117*VLOOKUP('Données projet'!$B$11,Paramètres!$A$1:$I$89,3,0)*0.475*44/12</f>
        <v>0.56525477684988301</v>
      </c>
      <c r="BR117" s="21">
        <f>EXP(-LN(2)/2)*BR116+(1-EXP(-LN(2)/2))/(LN(2)/2)*BL117*BO117*VLOOKUP('Données projet'!$B$11,Paramètres!$A$1:$I$89,3,0)*0.475*44/12</f>
        <v>2.0606158887812723E-12</v>
      </c>
      <c r="BS117" s="22">
        <f t="shared" si="63"/>
        <v>0.75520721237227595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5.3066239316239274</v>
      </c>
      <c r="BY117" s="12">
        <f>IF('Données projet'!$A$114&gt;35,BY116+BX117-CG116,IF(A117&lt;'Données projet'!$A$114,$BV$205^A117,IF(A117='Données projet'!$A$114,'Données projet'!$B$114,BY116+BX117-CG116)))</f>
        <v>219.9220085470082</v>
      </c>
      <c r="BZ117" s="13">
        <f>BY117*VLOOKUP('Données projet'!$B$12,Paramètres!$A$1:$I$89,3,0)*VLOOKUP('Données projet'!$B$12,Paramètres!$A$1:$I$89,5,0)</f>
        <v>236.72404999999964</v>
      </c>
      <c r="CA117" s="13">
        <f t="shared" si="93"/>
        <v>57.73413108155286</v>
      </c>
      <c r="CB117" s="20">
        <f t="shared" si="64"/>
        <v>512.84799871703717</v>
      </c>
      <c r="CC117" s="59">
        <f t="shared" si="65"/>
        <v>806.18133205037043</v>
      </c>
      <c r="CD117" s="59">
        <f ca="1">AVERAGE(OFFSET($CC$3,0,0,'Données projet'!$E$12+1,1))-AVERAGE(OFFSET($H$3,0,0,'Données projet'!$E$12+1,1))</f>
        <v>211.18501783767226</v>
      </c>
      <c r="CE117" s="59">
        <f t="shared" si="94"/>
        <v>147.98306963466246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0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5.3066239316239274</v>
      </c>
      <c r="CT117" s="12">
        <f>IF('Données projet'!$A$140&gt;35,CT116+CS117-DB116,IF(A117&lt;'Données projet'!$A$140,$CQ$205^A117,IF(A117='Données projet'!$A$140,'Données projet'!$B$140,CT116+CS117-DB116)))</f>
        <v>219.9220085470082</v>
      </c>
      <c r="CU117" s="17">
        <f>CT117*VLOOKUP('Données projet'!$B$13,Paramètres!$A$1:$I$89,3,0)*VLOOKUP('Données projet'!$B$13,Paramètres!$A$1:$I$89,5,0)</f>
        <v>236.72404999999964</v>
      </c>
      <c r="CV117" s="13">
        <f t="shared" si="95"/>
        <v>57.73413108155286</v>
      </c>
      <c r="CW117" s="20">
        <f t="shared" si="67"/>
        <v>512.84799871703717</v>
      </c>
      <c r="CX117" s="59">
        <f t="shared" si="68"/>
        <v>806.18133205037043</v>
      </c>
      <c r="CY117" s="59">
        <f ca="1">AVERAGE(OFFSET($CX$3,0,0,'Données projet'!$E$13+1,1))-AVERAGE(OFFSET($H$3,0,0,'Données projet'!$E$13+1,1))</f>
        <v>211.18501783767226</v>
      </c>
      <c r="CZ117" s="59">
        <f t="shared" si="96"/>
        <v>147.98306963466246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0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-1.3596945791505279E-13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182.25704762953387</v>
      </c>
      <c r="T118" s="59">
        <f t="shared" si="88"/>
        <v>265.61788177751134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0.92821970955270261</v>
      </c>
      <c r="AA118" s="21">
        <f>EXP(-LN(2)/25)*AA117+(1-EXP(-LN(2)/25))/(LN(2)/25)*Calculateur!V118*Calculateur!X118*VLOOKUP('Données projet'!$B$9,Paramètres!$A$1:$I$89,3,0)*0.475*44/12</f>
        <v>1.6227472870677191</v>
      </c>
      <c r="AB118" s="21">
        <f>EXP(-LN(2)/2)*AB117+(1-EXP(-LN(2)/2))/(LN(2)/2)*V118*Y118*VLOOKUP('Données projet'!$B$9,Paramètres!$A$1:$I$89,3,0)*0.475*44/12</f>
        <v>4.7427775015868124E-13</v>
      </c>
      <c r="AC118" s="22">
        <f t="shared" si="57"/>
        <v>2.5509669966208959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6.8461538461538511</v>
      </c>
      <c r="AI118" s="13">
        <f>IF('Données projet'!$A$62&gt;35,AI117+AH118-AQ117,IF(A118&lt;'Données projet'!$A$62,$AF$205^A118,IF(A118='Données projet'!$A$62,'Données projet'!$B$62,AI117+AH118-AQ117)))</f>
        <v>329.95512820512846</v>
      </c>
      <c r="AJ118" s="13">
        <f>AI118*VLOOKUP('Données projet'!$B$10,Paramètres!$A$1:$I$89,3,0)*VLOOKUP('Données projet'!$B$10,Paramètres!$A$1:$I$89,5,0)</f>
        <v>334.57450000000028</v>
      </c>
      <c r="AK118" s="13">
        <f t="shared" si="89"/>
        <v>78.377956496830464</v>
      </c>
      <c r="AL118" s="20">
        <f t="shared" si="58"/>
        <v>719.22552839864682</v>
      </c>
      <c r="AM118" s="59">
        <f t="shared" si="59"/>
        <v>1012.5588617319802</v>
      </c>
      <c r="AN118" s="59">
        <f ca="1">AVERAGE(OFFSET($AM$3,0,0,'Données projet'!$E$10+1,1))-AVERAGE(OFFSET($H$3,0,0,'Données projet'!$E$10+1,1))</f>
        <v>263.15518481854753</v>
      </c>
      <c r="AO118" s="59">
        <f t="shared" si="90"/>
        <v>210.80755370263819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275.99999999999972</v>
      </c>
      <c r="BE118" s="13">
        <f>BD118*VLOOKUP('Données projet'!$B$11,Paramètres!$A$1:$I$89,3,0)*VLOOKUP('Données projet'!$B$11,Paramètres!$A$1:$I$89,5,0)</f>
        <v>223.8911999999998</v>
      </c>
      <c r="BF118" s="13">
        <f t="shared" si="91"/>
        <v>54.95975389514858</v>
      </c>
      <c r="BG118" s="20">
        <f t="shared" si="61"/>
        <v>485.66541136738346</v>
      </c>
      <c r="BH118" s="59">
        <f t="shared" si="62"/>
        <v>778.99874470071677</v>
      </c>
      <c r="BI118" s="59">
        <f ca="1">AVERAGE(OFFSET($BH$3,0,0,'Données projet'!$E$11+1,1))-AVERAGE(OFFSET($H$3,0,0,'Données projet'!$E$11+1,1))</f>
        <v>203.21935660591021</v>
      </c>
      <c r="BJ118" s="59">
        <f t="shared" si="92"/>
        <v>180.54762778843178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0.18622758411932416</v>
      </c>
      <c r="BQ118" s="21">
        <f>EXP(-LN(2)/25)*BQ117+(1-EXP(-LN(2)/25))/(LN(2)/25)*Calculateur!BL118*Calculateur!BN118*VLOOKUP('Données projet'!$B$11,Paramètres!$A$1:$I$89,3,0)*0.475*44/12</f>
        <v>0.54979785525146618</v>
      </c>
      <c r="BR118" s="21">
        <f>EXP(-LN(2)/2)*BR117+(1-EXP(-LN(2)/2))/(LN(2)/2)*BL118*BO118*VLOOKUP('Données projet'!$B$11,Paramètres!$A$1:$I$89,3,0)*0.475*44/12</f>
        <v>1.4570754683779823E-12</v>
      </c>
      <c r="BS118" s="22">
        <f t="shared" si="63"/>
        <v>0.7360254393722474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5.3066239316239274</v>
      </c>
      <c r="BY118" s="12">
        <f>IF('Données projet'!$A$114&gt;35,BY117+BX118-CG117,IF(A118&lt;'Données projet'!$A$114,$BV$205^A118,IF(A118='Données projet'!$A$114,'Données projet'!$B$114,BY117+BX118-CG117)))</f>
        <v>225.22863247863214</v>
      </c>
      <c r="BZ118" s="13">
        <f>BY118*VLOOKUP('Données projet'!$B$12,Paramètres!$A$1:$I$89,3,0)*VLOOKUP('Données projet'!$B$12,Paramètres!$A$1:$I$89,5,0)</f>
        <v>242.43609999999961</v>
      </c>
      <c r="CA118" s="13">
        <f t="shared" si="93"/>
        <v>58.963360790552656</v>
      </c>
      <c r="CB118" s="20">
        <f t="shared" si="64"/>
        <v>524.93739421021189</v>
      </c>
      <c r="CC118" s="59">
        <f t="shared" si="65"/>
        <v>818.27072754354526</v>
      </c>
      <c r="CD118" s="59">
        <f ca="1">AVERAGE(OFFSET($CC$3,0,0,'Données projet'!$E$12+1,1))-AVERAGE(OFFSET($H$3,0,0,'Données projet'!$E$12+1,1))</f>
        <v>211.18501783767226</v>
      </c>
      <c r="CE118" s="59">
        <f t="shared" si="94"/>
        <v>147.98306963466246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0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5.3066239316239274</v>
      </c>
      <c r="CT118" s="12">
        <f>IF('Données projet'!$A$140&gt;35,CT117+CS118-DB117,IF(A118&lt;'Données projet'!$A$140,$CQ$205^A118,IF(A118='Données projet'!$A$140,'Données projet'!$B$140,CT117+CS118-DB117)))</f>
        <v>225.22863247863214</v>
      </c>
      <c r="CU118" s="17">
        <f>CT118*VLOOKUP('Données projet'!$B$13,Paramètres!$A$1:$I$89,3,0)*VLOOKUP('Données projet'!$B$13,Paramètres!$A$1:$I$89,5,0)</f>
        <v>242.43609999999961</v>
      </c>
      <c r="CV118" s="13">
        <f t="shared" si="95"/>
        <v>58.963360790552656</v>
      </c>
      <c r="CW118" s="20">
        <f t="shared" si="67"/>
        <v>524.93739421021189</v>
      </c>
      <c r="CX118" s="59">
        <f t="shared" si="68"/>
        <v>818.27072754354526</v>
      </c>
      <c r="CY118" s="59">
        <f ca="1">AVERAGE(OFFSET($CX$3,0,0,'Données projet'!$E$13+1,1))-AVERAGE(OFFSET($H$3,0,0,'Données projet'!$E$13+1,1))</f>
        <v>211.18501783767226</v>
      </c>
      <c r="CZ118" s="59">
        <f t="shared" si="96"/>
        <v>147.98306963466246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0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-1.3596945791505279E-13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182.25704762953387</v>
      </c>
      <c r="T119" s="59">
        <f t="shared" si="88"/>
        <v>265.61788177751134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0.91001788720649346</v>
      </c>
      <c r="AA119" s="21">
        <f>EXP(-LN(2)/25)*AA118+(1-EXP(-LN(2)/25))/(LN(2)/25)*Calculateur!V119*Calculateur!X119*VLOOKUP('Données projet'!$B$9,Paramètres!$A$1:$I$89,3,0)*0.475*44/12</f>
        <v>1.5783731771662812</v>
      </c>
      <c r="AB119" s="21">
        <f>EXP(-LN(2)/2)*AB118+(1-EXP(-LN(2)/2))/(LN(2)/2)*V119*Y119*VLOOKUP('Données projet'!$B$9,Paramètres!$A$1:$I$89,3,0)*0.475*44/12</f>
        <v>3.3536501330310267E-13</v>
      </c>
      <c r="AC119" s="22">
        <f t="shared" si="57"/>
        <v>2.48839106437311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6.8461538461538511</v>
      </c>
      <c r="AI119" s="13">
        <f>IF('Données projet'!$A$62&gt;35,AI118+AH119-AQ118,IF(A119&lt;'Données projet'!$A$62,$AF$205^A119,IF(A119='Données projet'!$A$62,'Données projet'!$B$62,AI118+AH119-AQ118)))</f>
        <v>336.80128205128233</v>
      </c>
      <c r="AJ119" s="13">
        <f>AI119*VLOOKUP('Données projet'!$B$10,Paramètres!$A$1:$I$89,3,0)*VLOOKUP('Données projet'!$B$10,Paramètres!$A$1:$I$89,5,0)</f>
        <v>341.51650000000029</v>
      </c>
      <c r="AK119" s="13">
        <f t="shared" si="89"/>
        <v>79.813183723893872</v>
      </c>
      <c r="AL119" s="20">
        <f t="shared" si="58"/>
        <v>733.81586581911563</v>
      </c>
      <c r="AM119" s="59">
        <f t="shared" si="59"/>
        <v>1027.149199152449</v>
      </c>
      <c r="AN119" s="59">
        <f ca="1">AVERAGE(OFFSET($AM$3,0,0,'Données projet'!$E$10+1,1))-AVERAGE(OFFSET($H$3,0,0,'Données projet'!$E$10+1,1))</f>
        <v>263.15518481854753</v>
      </c>
      <c r="AO119" s="59">
        <f t="shared" si="90"/>
        <v>210.80755370263819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275.99999999999972</v>
      </c>
      <c r="BE119" s="13">
        <f>BD119*VLOOKUP('Données projet'!$B$11,Paramètres!$A$1:$I$89,3,0)*VLOOKUP('Données projet'!$B$11,Paramètres!$A$1:$I$89,5,0)</f>
        <v>223.8911999999998</v>
      </c>
      <c r="BF119" s="13">
        <f t="shared" si="91"/>
        <v>54.95975389514858</v>
      </c>
      <c r="BG119" s="20">
        <f t="shared" si="61"/>
        <v>485.66541136738346</v>
      </c>
      <c r="BH119" s="59">
        <f t="shared" si="62"/>
        <v>778.99874470071677</v>
      </c>
      <c r="BI119" s="59">
        <f ca="1">AVERAGE(OFFSET($BH$3,0,0,'Données projet'!$E$11+1,1))-AVERAGE(OFFSET($H$3,0,0,'Données projet'!$E$11+1,1))</f>
        <v>203.21935660591021</v>
      </c>
      <c r="BJ119" s="59">
        <f t="shared" si="92"/>
        <v>180.54762778843178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0.18257577478235468</v>
      </c>
      <c r="BQ119" s="21">
        <f>EXP(-LN(2)/25)*BQ118+(1-EXP(-LN(2)/25))/(LN(2)/25)*Calculateur!BL119*Calculateur!BN119*VLOOKUP('Données projet'!$B$11,Paramètres!$A$1:$I$89,3,0)*0.475*44/12</f>
        <v>0.53476360398700218</v>
      </c>
      <c r="BR119" s="21">
        <f>EXP(-LN(2)/2)*BR118+(1-EXP(-LN(2)/2))/(LN(2)/2)*BL119*BO119*VLOOKUP('Données projet'!$B$11,Paramètres!$A$1:$I$89,3,0)*0.475*44/12</f>
        <v>1.0303079443906361E-12</v>
      </c>
      <c r="BS119" s="22">
        <f t="shared" si="63"/>
        <v>0.71733937877038711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5.3066239316239274</v>
      </c>
      <c r="BY119" s="12">
        <f>IF('Données projet'!$A$114&gt;35,BY118+BX119-CG118,IF(A119&lt;'Données projet'!$A$114,$BV$205^A119,IF(A119='Données projet'!$A$114,'Données projet'!$B$114,BY118+BX119-CG118)))</f>
        <v>230.53525641025607</v>
      </c>
      <c r="BZ119" s="13">
        <f>BY119*VLOOKUP('Données projet'!$B$12,Paramètres!$A$1:$I$89,3,0)*VLOOKUP('Données projet'!$B$12,Paramètres!$A$1:$I$89,5,0)</f>
        <v>248.14814999999965</v>
      </c>
      <c r="CA119" s="13">
        <f t="shared" si="93"/>
        <v>60.1892236181613</v>
      </c>
      <c r="CB119" s="20">
        <f t="shared" si="64"/>
        <v>537.02092571829689</v>
      </c>
      <c r="CC119" s="59">
        <f t="shared" si="65"/>
        <v>830.35425905163015</v>
      </c>
      <c r="CD119" s="59">
        <f ca="1">AVERAGE(OFFSET($CC$3,0,0,'Données projet'!$E$12+1,1))-AVERAGE(OFFSET($H$3,0,0,'Données projet'!$E$12+1,1))</f>
        <v>211.18501783767226</v>
      </c>
      <c r="CE119" s="59">
        <f t="shared" si="94"/>
        <v>147.98306963466246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0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5.3066239316239274</v>
      </c>
      <c r="CT119" s="12">
        <f>IF('Données projet'!$A$140&gt;35,CT118+CS119-DB118,IF(A119&lt;'Données projet'!$A$140,$CQ$205^A119,IF(A119='Données projet'!$A$140,'Données projet'!$B$140,CT118+CS119-DB118)))</f>
        <v>230.53525641025607</v>
      </c>
      <c r="CU119" s="17">
        <f>CT119*VLOOKUP('Données projet'!$B$13,Paramètres!$A$1:$I$89,3,0)*VLOOKUP('Données projet'!$B$13,Paramètres!$A$1:$I$89,5,0)</f>
        <v>248.14814999999965</v>
      </c>
      <c r="CV119" s="13">
        <f t="shared" si="95"/>
        <v>60.1892236181613</v>
      </c>
      <c r="CW119" s="20">
        <f t="shared" si="67"/>
        <v>537.02092571829689</v>
      </c>
      <c r="CX119" s="59">
        <f t="shared" si="68"/>
        <v>830.35425905163015</v>
      </c>
      <c r="CY119" s="59">
        <f ca="1">AVERAGE(OFFSET($CX$3,0,0,'Données projet'!$E$13+1,1))-AVERAGE(OFFSET($H$3,0,0,'Données projet'!$E$13+1,1))</f>
        <v>211.18501783767226</v>
      </c>
      <c r="CZ119" s="59">
        <f t="shared" si="96"/>
        <v>147.98306963466246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0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-1.3596945791505279E-13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182.25704762953387</v>
      </c>
      <c r="T120" s="59">
        <f t="shared" si="88"/>
        <v>265.61788177751134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0.89217299149447804</v>
      </c>
      <c r="AA120" s="21">
        <f>EXP(-LN(2)/25)*AA119+(1-EXP(-LN(2)/25))/(LN(2)/25)*Calculateur!V120*Calculateur!X120*VLOOKUP('Données projet'!$B$9,Paramètres!$A$1:$I$89,3,0)*0.475*44/12</f>
        <v>1.5352124796336313</v>
      </c>
      <c r="AB120" s="21">
        <f>EXP(-LN(2)/2)*AB119+(1-EXP(-LN(2)/2))/(LN(2)/2)*V120*Y120*VLOOKUP('Données projet'!$B$9,Paramètres!$A$1:$I$89,3,0)*0.475*44/12</f>
        <v>2.3713887507934062E-13</v>
      </c>
      <c r="AC120" s="22">
        <f t="shared" si="57"/>
        <v>2.4273854711283462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6.8461538461538511</v>
      </c>
      <c r="AI120" s="13">
        <f>IF('Données projet'!$A$62&gt;35,AI119+AH120-AQ119,IF(A120&lt;'Données projet'!$A$62,$AF$205^A120,IF(A120='Données projet'!$A$62,'Données projet'!$B$62,AI119+AH120-AQ119)))</f>
        <v>343.6474358974362</v>
      </c>
      <c r="AJ120" s="13">
        <f>AI120*VLOOKUP('Données projet'!$B$10,Paramètres!$A$1:$I$89,3,0)*VLOOKUP('Données projet'!$B$10,Paramètres!$A$1:$I$89,5,0)</f>
        <v>348.45850000000036</v>
      </c>
      <c r="AK120" s="13">
        <f t="shared" si="89"/>
        <v>81.245018883378833</v>
      </c>
      <c r="AL120" s="20">
        <f t="shared" si="58"/>
        <v>748.40029538855197</v>
      </c>
      <c r="AM120" s="59">
        <f t="shared" si="59"/>
        <v>1041.7336287218852</v>
      </c>
      <c r="AN120" s="59">
        <f ca="1">AVERAGE(OFFSET($AM$3,0,0,'Données projet'!$E$10+1,1))-AVERAGE(OFFSET($H$3,0,0,'Données projet'!$E$10+1,1))</f>
        <v>263.15518481854753</v>
      </c>
      <c r="AO120" s="59">
        <f t="shared" si="90"/>
        <v>210.80755370263819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275.99999999999972</v>
      </c>
      <c r="BE120" s="13">
        <f>BD120*VLOOKUP('Données projet'!$B$11,Paramètres!$A$1:$I$89,3,0)*VLOOKUP('Données projet'!$B$11,Paramètres!$A$1:$I$89,5,0)</f>
        <v>223.8911999999998</v>
      </c>
      <c r="BF120" s="13">
        <f t="shared" si="91"/>
        <v>54.95975389514858</v>
      </c>
      <c r="BG120" s="20">
        <f t="shared" si="61"/>
        <v>485.66541136738346</v>
      </c>
      <c r="BH120" s="59">
        <f t="shared" si="62"/>
        <v>778.99874470071677</v>
      </c>
      <c r="BI120" s="59">
        <f ca="1">AVERAGE(OFFSET($BH$3,0,0,'Données projet'!$E$11+1,1))-AVERAGE(OFFSET($H$3,0,0,'Données projet'!$E$11+1,1))</f>
        <v>203.21935660591021</v>
      </c>
      <c r="BJ120" s="59">
        <f t="shared" si="92"/>
        <v>180.54762778843178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0.17899557519909942</v>
      </c>
      <c r="BQ120" s="21">
        <f>EXP(-LN(2)/25)*BQ119+(1-EXP(-LN(2)/25))/(LN(2)/25)*Calculateur!BL120*Calculateur!BN120*VLOOKUP('Données projet'!$B$11,Paramètres!$A$1:$I$89,3,0)*0.475*44/12</f>
        <v>0.52014046511398193</v>
      </c>
      <c r="BR120" s="21">
        <f>EXP(-LN(2)/2)*BR119+(1-EXP(-LN(2)/2))/(LN(2)/2)*BL120*BO120*VLOOKUP('Données projet'!$B$11,Paramètres!$A$1:$I$89,3,0)*0.475*44/12</f>
        <v>7.2853773418899114E-13</v>
      </c>
      <c r="BS120" s="22">
        <f t="shared" si="63"/>
        <v>0.69913604031380983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5.3066239316239274</v>
      </c>
      <c r="BY120" s="12">
        <f>IF('Données projet'!$A$114&gt;35,BY119+BX120-CG119,IF(A120&lt;'Données projet'!$A$114,$BV$205^A120,IF(A120='Données projet'!$A$114,'Données projet'!$B$114,BY119+BX120-CG119)))</f>
        <v>235.84188034188</v>
      </c>
      <c r="BZ120" s="13">
        <f>BY120*VLOOKUP('Données projet'!$B$12,Paramètres!$A$1:$I$89,3,0)*VLOOKUP('Données projet'!$B$12,Paramètres!$A$1:$I$89,5,0)</f>
        <v>253.86019999999962</v>
      </c>
      <c r="CA120" s="13">
        <f t="shared" si="93"/>
        <v>61.41180598640338</v>
      </c>
      <c r="CB120" s="20">
        <f t="shared" si="64"/>
        <v>549.09874375965182</v>
      </c>
      <c r="CC120" s="59">
        <f t="shared" si="65"/>
        <v>842.43207709298508</v>
      </c>
      <c r="CD120" s="59">
        <f ca="1">AVERAGE(OFFSET($CC$3,0,0,'Données projet'!$E$12+1,1))-AVERAGE(OFFSET($H$3,0,0,'Données projet'!$E$12+1,1))</f>
        <v>211.18501783767226</v>
      </c>
      <c r="CE120" s="59">
        <f t="shared" si="94"/>
        <v>147.98306963466246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0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5.3066239316239274</v>
      </c>
      <c r="CT120" s="12">
        <f>IF('Données projet'!$A$140&gt;35,CT119+CS120-DB119,IF(A120&lt;'Données projet'!$A$140,$CQ$205^A120,IF(A120='Données projet'!$A$140,'Données projet'!$B$140,CT119+CS120-DB119)))</f>
        <v>235.84188034188</v>
      </c>
      <c r="CU120" s="17">
        <f>CT120*VLOOKUP('Données projet'!$B$13,Paramètres!$A$1:$I$89,3,0)*VLOOKUP('Données projet'!$B$13,Paramètres!$A$1:$I$89,5,0)</f>
        <v>253.86019999999962</v>
      </c>
      <c r="CV120" s="13">
        <f t="shared" si="95"/>
        <v>61.41180598640338</v>
      </c>
      <c r="CW120" s="20">
        <f t="shared" si="67"/>
        <v>549.09874375965182</v>
      </c>
      <c r="CX120" s="59">
        <f t="shared" si="68"/>
        <v>842.43207709298508</v>
      </c>
      <c r="CY120" s="59">
        <f ca="1">AVERAGE(OFFSET($CX$3,0,0,'Données projet'!$E$13+1,1))-AVERAGE(OFFSET($H$3,0,0,'Données projet'!$E$13+1,1))</f>
        <v>211.18501783767226</v>
      </c>
      <c r="CZ120" s="59">
        <f t="shared" si="96"/>
        <v>147.98306963466246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0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-1.3596945791505279E-13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182.25704762953387</v>
      </c>
      <c r="T121" s="59">
        <f t="shared" si="88"/>
        <v>265.61788177751134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0.87467802330306366</v>
      </c>
      <c r="AA121" s="21">
        <f>EXP(-LN(2)/25)*AA120+(1-EXP(-LN(2)/25))/(LN(2)/25)*Calculateur!V121*Calculateur!X121*VLOOKUP('Données projet'!$B$9,Paramètres!$A$1:$I$89,3,0)*0.475*44/12</f>
        <v>1.4932320136447341</v>
      </c>
      <c r="AB121" s="21">
        <f>EXP(-LN(2)/2)*AB120+(1-EXP(-LN(2)/2))/(LN(2)/2)*V121*Y121*VLOOKUP('Données projet'!$B$9,Paramètres!$A$1:$I$89,3,0)*0.475*44/12</f>
        <v>1.6768250665155134E-13</v>
      </c>
      <c r="AC121" s="22">
        <f t="shared" si="57"/>
        <v>2.3679100369479658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6.8461538461538511</v>
      </c>
      <c r="AI121" s="13">
        <f>IF('Données projet'!$A$62&gt;35,AI120+AH121-AQ120,IF(A121&lt;'Données projet'!$A$62,$AF$205^A121,IF(A121='Données projet'!$A$62,'Données projet'!$B$62,AI120+AH121-AQ120)))</f>
        <v>350.49358974359006</v>
      </c>
      <c r="AJ121" s="13">
        <f>AI121*VLOOKUP('Données projet'!$B$10,Paramètres!$A$1:$I$89,3,0)*VLOOKUP('Données projet'!$B$10,Paramètres!$A$1:$I$89,5,0)</f>
        <v>355.40050000000036</v>
      </c>
      <c r="AK121" s="13">
        <f t="shared" si="89"/>
        <v>82.673537340753484</v>
      </c>
      <c r="AL121" s="20">
        <f t="shared" si="58"/>
        <v>762.97894836847956</v>
      </c>
      <c r="AM121" s="59">
        <f t="shared" si="59"/>
        <v>1056.3122817018129</v>
      </c>
      <c r="AN121" s="59">
        <f ca="1">AVERAGE(OFFSET($AM$3,0,0,'Données projet'!$E$10+1,1))-AVERAGE(OFFSET($H$3,0,0,'Données projet'!$E$10+1,1))</f>
        <v>263.15518481854753</v>
      </c>
      <c r="AO121" s="59">
        <f t="shared" si="90"/>
        <v>210.80755370263819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275.99999999999972</v>
      </c>
      <c r="BE121" s="13">
        <f>BD121*VLOOKUP('Données projet'!$B$11,Paramètres!$A$1:$I$89,3,0)*VLOOKUP('Données projet'!$B$11,Paramètres!$A$1:$I$89,5,0)</f>
        <v>223.8911999999998</v>
      </c>
      <c r="BF121" s="13">
        <f t="shared" si="91"/>
        <v>54.95975389514858</v>
      </c>
      <c r="BG121" s="20">
        <f t="shared" si="61"/>
        <v>485.66541136738346</v>
      </c>
      <c r="BH121" s="59">
        <f t="shared" si="62"/>
        <v>778.99874470071677</v>
      </c>
      <c r="BI121" s="59">
        <f ca="1">AVERAGE(OFFSET($BH$3,0,0,'Données projet'!$E$11+1,1))-AVERAGE(OFFSET($H$3,0,0,'Données projet'!$E$11+1,1))</f>
        <v>203.21935660591021</v>
      </c>
      <c r="BJ121" s="59">
        <f t="shared" si="92"/>
        <v>180.54762778843178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0.17548558114596566</v>
      </c>
      <c r="BQ121" s="21">
        <f>EXP(-LN(2)/25)*BQ120+(1-EXP(-LN(2)/25))/(LN(2)/25)*Calculateur!BL121*Calculateur!BN121*VLOOKUP('Données projet'!$B$11,Paramètres!$A$1:$I$89,3,0)*0.475*44/12</f>
        <v>0.50591719674244184</v>
      </c>
      <c r="BR121" s="21">
        <f>EXP(-LN(2)/2)*BR120+(1-EXP(-LN(2)/2))/(LN(2)/2)*BL121*BO121*VLOOKUP('Données projet'!$B$11,Paramètres!$A$1:$I$89,3,0)*0.475*44/12</f>
        <v>5.1515397219531807E-13</v>
      </c>
      <c r="BS121" s="22">
        <f t="shared" si="63"/>
        <v>0.68140277788892267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5.3066239316239274</v>
      </c>
      <c r="BY121" s="12">
        <f>IF('Données projet'!$A$114&gt;35,BY120+BX121-CG120,IF(A121&lt;'Données projet'!$A$114,$BV$205^A121,IF(A121='Données projet'!$A$114,'Données projet'!$B$114,BY120+BX121-CG120)))</f>
        <v>241.14850427350393</v>
      </c>
      <c r="BZ121" s="13">
        <f>BY121*VLOOKUP('Données projet'!$B$12,Paramètres!$A$1:$I$89,3,0)*VLOOKUP('Données projet'!$B$12,Paramètres!$A$1:$I$89,5,0)</f>
        <v>259.5722499999996</v>
      </c>
      <c r="CA121" s="13">
        <f t="shared" si="93"/>
        <v>62.631190206173727</v>
      </c>
      <c r="CB121" s="20">
        <f t="shared" si="64"/>
        <v>561.17099169241851</v>
      </c>
      <c r="CC121" s="59">
        <f t="shared" si="65"/>
        <v>854.50432502575177</v>
      </c>
      <c r="CD121" s="59">
        <f ca="1">AVERAGE(OFFSET($CC$3,0,0,'Données projet'!$E$12+1,1))-AVERAGE(OFFSET($H$3,0,0,'Données projet'!$E$12+1,1))</f>
        <v>211.18501783767226</v>
      </c>
      <c r="CE121" s="59">
        <f t="shared" si="94"/>
        <v>147.98306963466246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0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5.3066239316239274</v>
      </c>
      <c r="CT121" s="12">
        <f>IF('Données projet'!$A$140&gt;35,CT120+CS121-DB120,IF(A121&lt;'Données projet'!$A$140,$CQ$205^A121,IF(A121='Données projet'!$A$140,'Données projet'!$B$140,CT120+CS121-DB120)))</f>
        <v>241.14850427350393</v>
      </c>
      <c r="CU121" s="17">
        <f>CT121*VLOOKUP('Données projet'!$B$13,Paramètres!$A$1:$I$89,3,0)*VLOOKUP('Données projet'!$B$13,Paramètres!$A$1:$I$89,5,0)</f>
        <v>259.5722499999996</v>
      </c>
      <c r="CV121" s="13">
        <f t="shared" si="95"/>
        <v>62.631190206173727</v>
      </c>
      <c r="CW121" s="20">
        <f t="shared" si="67"/>
        <v>561.17099169241851</v>
      </c>
      <c r="CX121" s="59">
        <f t="shared" si="68"/>
        <v>854.50432502575177</v>
      </c>
      <c r="CY121" s="59">
        <f ca="1">AVERAGE(OFFSET($CX$3,0,0,'Données projet'!$E$13+1,1))-AVERAGE(OFFSET($H$3,0,0,'Données projet'!$E$13+1,1))</f>
        <v>211.18501783767226</v>
      </c>
      <c r="CZ121" s="59">
        <f t="shared" si="96"/>
        <v>147.98306963466246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0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-1.3596945791505279E-13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182.25704762953387</v>
      </c>
      <c r="T122" s="59">
        <f t="shared" si="88"/>
        <v>265.61788177751134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0.85752612076700596</v>
      </c>
      <c r="AA122" s="21">
        <f>EXP(-LN(2)/25)*AA121+(1-EXP(-LN(2)/25))/(LN(2)/25)*Calculateur!V122*Calculateur!X122*VLOOKUP('Données projet'!$B$9,Paramètres!$A$1:$I$89,3,0)*0.475*44/12</f>
        <v>1.45239950570596</v>
      </c>
      <c r="AB122" s="21">
        <f>EXP(-LN(2)/2)*AB121+(1-EXP(-LN(2)/2))/(LN(2)/2)*V122*Y122*VLOOKUP('Données projet'!$B$9,Paramètres!$A$1:$I$89,3,0)*0.475*44/12</f>
        <v>1.1856943753967031E-13</v>
      </c>
      <c r="AC122" s="22">
        <f t="shared" si="57"/>
        <v>2.3099256264730843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>
        <f>VLOOKUP(A122,'Données projet'!$A$61:$I$81,2,0)</f>
        <v>357.33974358974359</v>
      </c>
      <c r="AG122" s="12">
        <f>VLOOKUP(A122,'Données projet'!$A$61:$I$81,9,0)</f>
        <v>6.8461538461538511</v>
      </c>
      <c r="AH122" s="12">
        <f t="array" ref="AH122">INDEX(AG:AG,MIN(IF(ISNUMBER(AG122:AG318),ROW(AG122:AG318),"")))</f>
        <v>6.8461538461538511</v>
      </c>
      <c r="AI122" s="13">
        <f>IF('Données projet'!$A$62&gt;35,AI121+AH122-AQ121,IF(A122&lt;'Données projet'!$A$62,$AF$205^A122,IF(A122='Données projet'!$A$62,'Données projet'!$B$62,AI121+AH122-AQ121)))</f>
        <v>357.33974358974393</v>
      </c>
      <c r="AJ122" s="13">
        <f>AI122*VLOOKUP('Données projet'!$B$10,Paramètres!$A$1:$I$89,3,0)*VLOOKUP('Données projet'!$B$10,Paramètres!$A$1:$I$89,5,0)</f>
        <v>362.34250000000037</v>
      </c>
      <c r="AK122" s="13">
        <f t="shared" si="89"/>
        <v>84.098811348867258</v>
      </c>
      <c r="AL122" s="20">
        <f t="shared" si="58"/>
        <v>777.5519505992778</v>
      </c>
      <c r="AM122" s="59">
        <f t="shared" si="59"/>
        <v>1070.8852839326112</v>
      </c>
      <c r="AN122" s="59">
        <f ca="1">AVERAGE(OFFSET($AM$3,0,0,'Données projet'!$E$10+1,1))-AVERAGE(OFFSET($H$3,0,0,'Données projet'!$E$10+1,1))</f>
        <v>263.15518481854753</v>
      </c>
      <c r="AO122" s="59">
        <f t="shared" si="90"/>
        <v>210.80755370263819</v>
      </c>
      <c r="AP122" s="15">
        <f>IF(ISNA(VLOOKUP(A122,'Données projet'!$A$61:$I$81,3,0)),0,VLOOKUP(A122,'Données projet'!$A$61:$I$81,3,0))</f>
        <v>11</v>
      </c>
      <c r="AQ122" s="15">
        <f>IF(ISNA(VLOOKUP(A122,'Données projet'!$A$61:$I$81,4,0)),0,VLOOKUP(A122,'Données projet'!$A$61:$I$81,4,0))</f>
        <v>150.02564102564102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275.99999999999972</v>
      </c>
      <c r="BE122" s="13">
        <f>BD122*VLOOKUP('Données projet'!$B$11,Paramètres!$A$1:$I$89,3,0)*VLOOKUP('Données projet'!$B$11,Paramètres!$A$1:$I$89,5,0)</f>
        <v>223.8911999999998</v>
      </c>
      <c r="BF122" s="13">
        <f t="shared" si="91"/>
        <v>54.95975389514858</v>
      </c>
      <c r="BG122" s="20">
        <f t="shared" si="61"/>
        <v>485.66541136738346</v>
      </c>
      <c r="BH122" s="59">
        <f t="shared" si="62"/>
        <v>778.99874470071677</v>
      </c>
      <c r="BI122" s="59">
        <f ca="1">AVERAGE(OFFSET($BH$3,0,0,'Données projet'!$E$11+1,1))-AVERAGE(OFFSET($H$3,0,0,'Données projet'!$E$11+1,1))</f>
        <v>203.21935660591021</v>
      </c>
      <c r="BJ122" s="59">
        <f t="shared" si="92"/>
        <v>180.54762778843178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0.17204441593532888</v>
      </c>
      <c r="BQ122" s="21">
        <f>EXP(-LN(2)/25)*BQ121+(1-EXP(-LN(2)/25))/(LN(2)/25)*Calculateur!BL122*Calculateur!BN122*VLOOKUP('Données projet'!$B$11,Paramètres!$A$1:$I$89,3,0)*0.475*44/12</f>
        <v>0.49208286439249066</v>
      </c>
      <c r="BR122" s="21">
        <f>EXP(-LN(2)/2)*BR121+(1-EXP(-LN(2)/2))/(LN(2)/2)*BL122*BO122*VLOOKUP('Données projet'!$B$11,Paramètres!$A$1:$I$89,3,0)*0.475*44/12</f>
        <v>3.6426886709449557E-13</v>
      </c>
      <c r="BS122" s="22">
        <f t="shared" si="63"/>
        <v>0.6641272803281838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5.3066239316239274</v>
      </c>
      <c r="BY122" s="12">
        <f>IF('Données projet'!$A$114&gt;35,BY121+BX122-CG121,IF(A122&lt;'Données projet'!$A$114,$BV$205^A122,IF(A122='Données projet'!$A$114,'Données projet'!$B$114,BY121+BX122-CG121)))</f>
        <v>246.45512820512786</v>
      </c>
      <c r="BZ122" s="13">
        <f>BY122*VLOOKUP('Données projet'!$B$12,Paramètres!$A$1:$I$89,3,0)*VLOOKUP('Données projet'!$B$12,Paramètres!$A$1:$I$89,5,0)</f>
        <v>265.28429999999963</v>
      </c>
      <c r="CA122" s="13">
        <f t="shared" si="93"/>
        <v>63.847454758902479</v>
      </c>
      <c r="CB122" s="20">
        <f t="shared" si="64"/>
        <v>573.23780620508774</v>
      </c>
      <c r="CC122" s="59">
        <f t="shared" si="65"/>
        <v>866.57113953842099</v>
      </c>
      <c r="CD122" s="59">
        <f ca="1">AVERAGE(OFFSET($CC$3,0,0,'Données projet'!$E$12+1,1))-AVERAGE(OFFSET($H$3,0,0,'Données projet'!$E$12+1,1))</f>
        <v>211.18501783767226</v>
      </c>
      <c r="CE122" s="59">
        <f t="shared" si="94"/>
        <v>147.98306963466246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0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5.3066239316239274</v>
      </c>
      <c r="CT122" s="12">
        <f>IF('Données projet'!$A$140&gt;35,CT121+CS122-DB121,IF(A122&lt;'Données projet'!$A$140,$CQ$205^A122,IF(A122='Données projet'!$A$140,'Données projet'!$B$140,CT121+CS122-DB121)))</f>
        <v>246.45512820512786</v>
      </c>
      <c r="CU122" s="17">
        <f>CT122*VLOOKUP('Données projet'!$B$13,Paramètres!$A$1:$I$89,3,0)*VLOOKUP('Données projet'!$B$13,Paramètres!$A$1:$I$89,5,0)</f>
        <v>265.28429999999963</v>
      </c>
      <c r="CV122" s="13">
        <f t="shared" si="95"/>
        <v>63.847454758902479</v>
      </c>
      <c r="CW122" s="20">
        <f t="shared" si="67"/>
        <v>573.23780620508774</v>
      </c>
      <c r="CX122" s="59">
        <f t="shared" si="68"/>
        <v>866.57113953842099</v>
      </c>
      <c r="CY122" s="59">
        <f ca="1">AVERAGE(OFFSET($CX$3,0,0,'Données projet'!$E$13+1,1))-AVERAGE(OFFSET($H$3,0,0,'Données projet'!$E$13+1,1))</f>
        <v>211.18501783767226</v>
      </c>
      <c r="CZ122" s="59">
        <f t="shared" si="96"/>
        <v>147.98306963466246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0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-1.3596945791505279E-13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182.25704762953387</v>
      </c>
      <c r="T123" s="59">
        <f t="shared" si="88"/>
        <v>265.61788177751134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0.84071055657805283</v>
      </c>
      <c r="AA123" s="21">
        <f>EXP(-LN(2)/25)*AA122+(1-EXP(-LN(2)/25))/(LN(2)/25)*Calculateur!V123*Calculateur!X123*VLOOKUP('Données projet'!$B$9,Paramètres!$A$1:$I$89,3,0)*0.475*44/12</f>
        <v>1.4126835648440601</v>
      </c>
      <c r="AB123" s="21">
        <f>EXP(-LN(2)/2)*AB122+(1-EXP(-LN(2)/2))/(LN(2)/2)*V123*Y123*VLOOKUP('Données projet'!$B$9,Paramètres!$A$1:$I$89,3,0)*0.475*44/12</f>
        <v>8.3841253325775668E-14</v>
      </c>
      <c r="AC123" s="22">
        <f t="shared" si="57"/>
        <v>2.2533941214221969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3.8301282051282044</v>
      </c>
      <c r="AI123" s="13">
        <f>IF('Données projet'!$A$62&gt;35,AI122+AH123-AQ122,IF(A123&lt;'Données projet'!$A$62,$AF$205^A123,IF(A123='Données projet'!$A$62,'Données projet'!$B$62,AI122+AH123-AQ122)))</f>
        <v>211.14423076923114</v>
      </c>
      <c r="AJ123" s="13">
        <f>AI123*VLOOKUP('Données projet'!$B$10,Paramètres!$A$1:$I$89,3,0)*VLOOKUP('Données projet'!$B$10,Paramètres!$A$1:$I$89,5,0)</f>
        <v>214.10025000000041</v>
      </c>
      <c r="AK123" s="13">
        <f t="shared" si="89"/>
        <v>52.83058262367053</v>
      </c>
      <c r="AL123" s="20">
        <f t="shared" si="58"/>
        <v>464.90453348622685</v>
      </c>
      <c r="AM123" s="59">
        <f t="shared" si="59"/>
        <v>758.23786681956017</v>
      </c>
      <c r="AN123" s="59">
        <f ca="1">AVERAGE(OFFSET($AM$3,0,0,'Données projet'!$E$10+1,1))-AVERAGE(OFFSET($H$3,0,0,'Données projet'!$E$10+1,1))</f>
        <v>263.15518481854753</v>
      </c>
      <c r="AO123" s="59">
        <f t="shared" si="90"/>
        <v>210.80755370263819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275.99999999999972</v>
      </c>
      <c r="BE123" s="13">
        <f>BD123*VLOOKUP('Données projet'!$B$11,Paramètres!$A$1:$I$89,3,0)*VLOOKUP('Données projet'!$B$11,Paramètres!$A$1:$I$89,5,0)</f>
        <v>223.8911999999998</v>
      </c>
      <c r="BF123" s="13">
        <f t="shared" si="91"/>
        <v>54.95975389514858</v>
      </c>
      <c r="BG123" s="20">
        <f t="shared" si="61"/>
        <v>485.66541136738346</v>
      </c>
      <c r="BH123" s="59">
        <f t="shared" si="62"/>
        <v>778.99874470071677</v>
      </c>
      <c r="BI123" s="59">
        <f ca="1">AVERAGE(OFFSET($BH$3,0,0,'Données projet'!$E$11+1,1))-AVERAGE(OFFSET($H$3,0,0,'Données projet'!$E$11+1,1))</f>
        <v>203.21935660591021</v>
      </c>
      <c r="BJ123" s="59">
        <f t="shared" si="92"/>
        <v>180.54762778843178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0.16867072987556916</v>
      </c>
      <c r="BQ123" s="21">
        <f>EXP(-LN(2)/25)*BQ122+(1-EXP(-LN(2)/25))/(LN(2)/25)*Calculateur!BL123*Calculateur!BN123*VLOOKUP('Données projet'!$B$11,Paramètres!$A$1:$I$89,3,0)*0.475*44/12</f>
        <v>0.47862683258816485</v>
      </c>
      <c r="BR123" s="21">
        <f>EXP(-LN(2)/2)*BR122+(1-EXP(-LN(2)/2))/(LN(2)/2)*BL123*BO123*VLOOKUP('Données projet'!$B$11,Paramètres!$A$1:$I$89,3,0)*0.475*44/12</f>
        <v>2.5757698609765904E-13</v>
      </c>
      <c r="BS123" s="22">
        <f t="shared" si="63"/>
        <v>0.64729756246399162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5.3066239316239274</v>
      </c>
      <c r="BY123" s="12">
        <f>IF('Données projet'!$A$114&gt;35,BY122+BX123-CG122,IF(A123&lt;'Données projet'!$A$114,$BV$205^A123,IF(A123='Données projet'!$A$114,'Données projet'!$B$114,BY122+BX123-CG122)))</f>
        <v>251.7617521367518</v>
      </c>
      <c r="BZ123" s="13">
        <f>BY123*VLOOKUP('Données projet'!$B$12,Paramètres!$A$1:$I$89,3,0)*VLOOKUP('Données projet'!$B$12,Paramètres!$A$1:$I$89,5,0)</f>
        <v>270.99634999999961</v>
      </c>
      <c r="CA123" s="13">
        <f t="shared" si="93"/>
        <v>65.060674553276314</v>
      </c>
      <c r="CB123" s="20">
        <f t="shared" si="64"/>
        <v>585.29931776362218</v>
      </c>
      <c r="CC123" s="59">
        <f t="shared" si="65"/>
        <v>878.63265109695544</v>
      </c>
      <c r="CD123" s="59">
        <f ca="1">AVERAGE(OFFSET($CC$3,0,0,'Données projet'!$E$12+1,1))-AVERAGE(OFFSET($H$3,0,0,'Données projet'!$E$12+1,1))</f>
        <v>211.18501783767226</v>
      </c>
      <c r="CE123" s="59">
        <f t="shared" si="94"/>
        <v>147.98306963466246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0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5.3066239316239274</v>
      </c>
      <c r="CT123" s="12">
        <f>IF('Données projet'!$A$140&gt;35,CT122+CS123-DB122,IF(A123&lt;'Données projet'!$A$140,$CQ$205^A123,IF(A123='Données projet'!$A$140,'Données projet'!$B$140,CT122+CS123-DB122)))</f>
        <v>251.7617521367518</v>
      </c>
      <c r="CU123" s="17">
        <f>CT123*VLOOKUP('Données projet'!$B$13,Paramètres!$A$1:$I$89,3,0)*VLOOKUP('Données projet'!$B$13,Paramètres!$A$1:$I$89,5,0)</f>
        <v>270.99634999999961</v>
      </c>
      <c r="CV123" s="13">
        <f t="shared" si="95"/>
        <v>65.060674553276314</v>
      </c>
      <c r="CW123" s="20">
        <f t="shared" si="67"/>
        <v>585.29931776362218</v>
      </c>
      <c r="CX123" s="59">
        <f t="shared" si="68"/>
        <v>878.63265109695544</v>
      </c>
      <c r="CY123" s="59">
        <f ca="1">AVERAGE(OFFSET($CX$3,0,0,'Données projet'!$E$13+1,1))-AVERAGE(OFFSET($H$3,0,0,'Données projet'!$E$13+1,1))</f>
        <v>211.18501783767226</v>
      </c>
      <c r="CZ123" s="59">
        <f t="shared" si="96"/>
        <v>147.98306963466246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0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-1.3596945791505279E-13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182.25704762953387</v>
      </c>
      <c r="T124" s="59">
        <f t="shared" si="88"/>
        <v>265.61788177751134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0.82422473534636365</v>
      </c>
      <c r="AA124" s="21">
        <f>EXP(-LN(2)/25)*AA123+(1-EXP(-LN(2)/25))/(LN(2)/25)*Calculateur!V124*Calculateur!X124*VLOOKUP('Données projet'!$B$9,Paramètres!$A$1:$I$89,3,0)*0.475*44/12</f>
        <v>1.3740536584735994</v>
      </c>
      <c r="AB124" s="21">
        <f>EXP(-LN(2)/2)*AB123+(1-EXP(-LN(2)/2))/(LN(2)/2)*V124*Y124*VLOOKUP('Données projet'!$B$9,Paramètres!$A$1:$I$89,3,0)*0.475*44/12</f>
        <v>5.9284718769835155E-14</v>
      </c>
      <c r="AC124" s="22">
        <f t="shared" si="57"/>
        <v>2.1982783938200221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3.8301282051282044</v>
      </c>
      <c r="AI124" s="13">
        <f>IF('Données projet'!$A$62&gt;35,AI123+AH124-AQ123,IF(A124&lt;'Données projet'!$A$62,$AF$205^A124,IF(A124='Données projet'!$A$62,'Données projet'!$B$62,AI123+AH124-AQ123)))</f>
        <v>214.97435897435935</v>
      </c>
      <c r="AJ124" s="13">
        <f>AI124*VLOOKUP('Données projet'!$B$10,Paramètres!$A$1:$I$89,3,0)*VLOOKUP('Données projet'!$B$10,Paramètres!$A$1:$I$89,5,0)</f>
        <v>217.98400000000038</v>
      </c>
      <c r="AK124" s="13">
        <f t="shared" si="89"/>
        <v>53.67648359532749</v>
      </c>
      <c r="AL124" s="20">
        <f t="shared" si="58"/>
        <v>473.14200892852932</v>
      </c>
      <c r="AM124" s="59">
        <f t="shared" si="59"/>
        <v>766.47534226186258</v>
      </c>
      <c r="AN124" s="59">
        <f ca="1">AVERAGE(OFFSET($AM$3,0,0,'Données projet'!$E$10+1,1))-AVERAGE(OFFSET($H$3,0,0,'Données projet'!$E$10+1,1))</f>
        <v>263.15518481854753</v>
      </c>
      <c r="AO124" s="59">
        <f t="shared" si="90"/>
        <v>210.80755370263819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275.99999999999972</v>
      </c>
      <c r="BE124" s="13">
        <f>BD124*VLOOKUP('Données projet'!$B$11,Paramètres!$A$1:$I$89,3,0)*VLOOKUP('Données projet'!$B$11,Paramètres!$A$1:$I$89,5,0)</f>
        <v>223.8911999999998</v>
      </c>
      <c r="BF124" s="13">
        <f t="shared" si="91"/>
        <v>54.95975389514858</v>
      </c>
      <c r="BG124" s="20">
        <f t="shared" si="61"/>
        <v>485.66541136738346</v>
      </c>
      <c r="BH124" s="59">
        <f t="shared" si="62"/>
        <v>778.99874470071677</v>
      </c>
      <c r="BI124" s="59">
        <f ca="1">AVERAGE(OFFSET($BH$3,0,0,'Données projet'!$E$11+1,1))-AVERAGE(OFFSET($H$3,0,0,'Données projet'!$E$11+1,1))</f>
        <v>203.21935660591021</v>
      </c>
      <c r="BJ124" s="59">
        <f t="shared" si="92"/>
        <v>180.54762778843178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0.16536319974169603</v>
      </c>
      <c r="BQ124" s="21">
        <f>EXP(-LN(2)/25)*BQ123+(1-EXP(-LN(2)/25))/(LN(2)/25)*Calculateur!BL124*Calculateur!BN124*VLOOKUP('Données projet'!$B$11,Paramètres!$A$1:$I$89,3,0)*0.475*44/12</f>
        <v>0.4655387566811503</v>
      </c>
      <c r="BR124" s="21">
        <f>EXP(-LN(2)/2)*BR123+(1-EXP(-LN(2)/2))/(LN(2)/2)*BL124*BO124*VLOOKUP('Données projet'!$B$11,Paramètres!$A$1:$I$89,3,0)*0.475*44/12</f>
        <v>1.8213443354724779E-13</v>
      </c>
      <c r="BS124" s="22">
        <f t="shared" si="63"/>
        <v>0.63090195642302849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5.3066239316239274</v>
      </c>
      <c r="BY124" s="12">
        <f>IF('Données projet'!$A$114&gt;35,BY123+BX124-CG123,IF(A124&lt;'Données projet'!$A$114,$BV$205^A124,IF(A124='Données projet'!$A$114,'Données projet'!$B$114,BY123+BX124-CG123)))</f>
        <v>257.0683760683757</v>
      </c>
      <c r="BZ124" s="13">
        <f>BY124*VLOOKUP('Données projet'!$B$12,Paramètres!$A$1:$I$89,3,0)*VLOOKUP('Données projet'!$B$12,Paramètres!$A$1:$I$89,5,0)</f>
        <v>276.70839999999959</v>
      </c>
      <c r="CA124" s="13">
        <f t="shared" si="93"/>
        <v>66.270921159704841</v>
      </c>
      <c r="CB124" s="20">
        <f t="shared" si="64"/>
        <v>597.35565101981854</v>
      </c>
      <c r="CC124" s="59">
        <f t="shared" si="65"/>
        <v>890.68898435315191</v>
      </c>
      <c r="CD124" s="59">
        <f ca="1">AVERAGE(OFFSET($CC$3,0,0,'Données projet'!$E$12+1,1))-AVERAGE(OFFSET($H$3,0,0,'Données projet'!$E$12+1,1))</f>
        <v>211.18501783767226</v>
      </c>
      <c r="CE124" s="59">
        <f t="shared" si="94"/>
        <v>147.98306963466246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0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5.3066239316239274</v>
      </c>
      <c r="CT124" s="12">
        <f>IF('Données projet'!$A$140&gt;35,CT123+CS124-DB123,IF(A124&lt;'Données projet'!$A$140,$CQ$205^A124,IF(A124='Données projet'!$A$140,'Données projet'!$B$140,CT123+CS124-DB123)))</f>
        <v>257.0683760683757</v>
      </c>
      <c r="CU124" s="17">
        <f>CT124*VLOOKUP('Données projet'!$B$13,Paramètres!$A$1:$I$89,3,0)*VLOOKUP('Données projet'!$B$13,Paramètres!$A$1:$I$89,5,0)</f>
        <v>276.70839999999959</v>
      </c>
      <c r="CV124" s="13">
        <f t="shared" si="95"/>
        <v>66.270921159704841</v>
      </c>
      <c r="CW124" s="20">
        <f t="shared" si="67"/>
        <v>597.35565101981854</v>
      </c>
      <c r="CX124" s="59">
        <f t="shared" si="68"/>
        <v>890.68898435315191</v>
      </c>
      <c r="CY124" s="59">
        <f ca="1">AVERAGE(OFFSET($CX$3,0,0,'Données projet'!$E$13+1,1))-AVERAGE(OFFSET($H$3,0,0,'Données projet'!$E$13+1,1))</f>
        <v>211.18501783767226</v>
      </c>
      <c r="CZ124" s="59">
        <f t="shared" si="96"/>
        <v>147.98306963466246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0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-1.3596945791505279E-13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182.25704762953387</v>
      </c>
      <c r="T125" s="59">
        <f t="shared" si="88"/>
        <v>265.61788177751134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0.80806219101366983</v>
      </c>
      <c r="AA125" s="21">
        <f>EXP(-LN(2)/25)*AA124+(1-EXP(-LN(2)/25))/(LN(2)/25)*Calculateur!V125*Calculateur!X125*VLOOKUP('Données projet'!$B$9,Paramètres!$A$1:$I$89,3,0)*0.475*44/12</f>
        <v>1.3364800889242974</v>
      </c>
      <c r="AB125" s="21">
        <f>EXP(-LN(2)/2)*AB124+(1-EXP(-LN(2)/2))/(LN(2)/2)*V125*Y125*VLOOKUP('Données projet'!$B$9,Paramètres!$A$1:$I$89,3,0)*0.475*44/12</f>
        <v>4.1920626662887834E-14</v>
      </c>
      <c r="AC125" s="22">
        <f t="shared" si="57"/>
        <v>2.1445422799380092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3.8301282051282044</v>
      </c>
      <c r="AI125" s="13">
        <f>IF('Données projet'!$A$62&gt;35,AI124+AH125-AQ124,IF(A125&lt;'Données projet'!$A$62,$AF$205^A125,IF(A125='Données projet'!$A$62,'Données projet'!$B$62,AI124+AH125-AQ124)))</f>
        <v>218.80448717948755</v>
      </c>
      <c r="AJ125" s="13">
        <f>AI125*VLOOKUP('Données projet'!$B$10,Paramètres!$A$1:$I$89,3,0)*VLOOKUP('Données projet'!$B$10,Paramètres!$A$1:$I$89,5,0)</f>
        <v>221.8677500000004</v>
      </c>
      <c r="AK125" s="13">
        <f t="shared" si="89"/>
        <v>54.520632005800415</v>
      </c>
      <c r="AL125" s="20">
        <f t="shared" si="58"/>
        <v>481.37643199343637</v>
      </c>
      <c r="AM125" s="59">
        <f t="shared" si="59"/>
        <v>774.70976532676968</v>
      </c>
      <c r="AN125" s="59">
        <f ca="1">AVERAGE(OFFSET($AM$3,0,0,'Données projet'!$E$10+1,1))-AVERAGE(OFFSET($H$3,0,0,'Données projet'!$E$10+1,1))</f>
        <v>263.15518481854753</v>
      </c>
      <c r="AO125" s="59">
        <f t="shared" si="90"/>
        <v>210.80755370263819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275.99999999999972</v>
      </c>
      <c r="BE125" s="13">
        <f>BD125*VLOOKUP('Données projet'!$B$11,Paramètres!$A$1:$I$89,3,0)*VLOOKUP('Données projet'!$B$11,Paramètres!$A$1:$I$89,5,0)</f>
        <v>223.8911999999998</v>
      </c>
      <c r="BF125" s="13">
        <f t="shared" si="91"/>
        <v>54.95975389514858</v>
      </c>
      <c r="BG125" s="20">
        <f t="shared" si="61"/>
        <v>485.66541136738346</v>
      </c>
      <c r="BH125" s="59">
        <f t="shared" si="62"/>
        <v>778.99874470071677</v>
      </c>
      <c r="BI125" s="59">
        <f ca="1">AVERAGE(OFFSET($BH$3,0,0,'Données projet'!$E$11+1,1))-AVERAGE(OFFSET($H$3,0,0,'Données projet'!$E$11+1,1))</f>
        <v>203.21935660591021</v>
      </c>
      <c r="BJ125" s="59">
        <f t="shared" si="92"/>
        <v>180.54762778843178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0.16212052825635395</v>
      </c>
      <c r="BQ125" s="21">
        <f>EXP(-LN(2)/25)*BQ124+(1-EXP(-LN(2)/25))/(LN(2)/25)*Calculateur!BL125*Calculateur!BN125*VLOOKUP('Données projet'!$B$11,Paramètres!$A$1:$I$89,3,0)*0.475*44/12</f>
        <v>0.45280857489808501</v>
      </c>
      <c r="BR125" s="21">
        <f>EXP(-LN(2)/2)*BR124+(1-EXP(-LN(2)/2))/(LN(2)/2)*BL125*BO125*VLOOKUP('Données projet'!$B$11,Paramètres!$A$1:$I$89,3,0)*0.475*44/12</f>
        <v>1.2878849304882952E-13</v>
      </c>
      <c r="BS125" s="22">
        <f t="shared" si="63"/>
        <v>0.61492910315456772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5.3066239316239274</v>
      </c>
      <c r="BY125" s="12">
        <f>IF('Données projet'!$A$114&gt;35,BY124+BX125-CG124,IF(A125&lt;'Données projet'!$A$114,$BV$205^A125,IF(A125='Données projet'!$A$114,'Données projet'!$B$114,BY124+BX125-CG124)))</f>
        <v>262.3749999999996</v>
      </c>
      <c r="BZ125" s="13">
        <f>BY125*VLOOKUP('Données projet'!$B$12,Paramètres!$A$1:$I$89,3,0)*VLOOKUP('Données projet'!$B$12,Paramètres!$A$1:$I$89,5,0)</f>
        <v>282.42044999999956</v>
      </c>
      <c r="CA125" s="13">
        <f t="shared" si="93"/>
        <v>67.478263024879425</v>
      </c>
      <c r="CB125" s="20">
        <f t="shared" si="64"/>
        <v>609.40692518499748</v>
      </c>
      <c r="CC125" s="59">
        <f t="shared" si="65"/>
        <v>902.74025851833085</v>
      </c>
      <c r="CD125" s="59">
        <f ca="1">AVERAGE(OFFSET($CC$3,0,0,'Données projet'!$E$12+1,1))-AVERAGE(OFFSET($H$3,0,0,'Données projet'!$E$12+1,1))</f>
        <v>211.18501783767226</v>
      </c>
      <c r="CE125" s="59">
        <f t="shared" si="94"/>
        <v>147.98306963466246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0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5.3066239316239274</v>
      </c>
      <c r="CT125" s="12">
        <f>IF('Données projet'!$A$140&gt;35,CT124+CS125-DB124,IF(A125&lt;'Données projet'!$A$140,$CQ$205^A125,IF(A125='Données projet'!$A$140,'Données projet'!$B$140,CT124+CS125-DB124)))</f>
        <v>262.3749999999996</v>
      </c>
      <c r="CU125" s="17">
        <f>CT125*VLOOKUP('Données projet'!$B$13,Paramètres!$A$1:$I$89,3,0)*VLOOKUP('Données projet'!$B$13,Paramètres!$A$1:$I$89,5,0)</f>
        <v>282.42044999999956</v>
      </c>
      <c r="CV125" s="13">
        <f t="shared" si="95"/>
        <v>67.478263024879425</v>
      </c>
      <c r="CW125" s="20">
        <f t="shared" si="67"/>
        <v>609.40692518499748</v>
      </c>
      <c r="CX125" s="59">
        <f t="shared" si="68"/>
        <v>902.74025851833085</v>
      </c>
      <c r="CY125" s="59">
        <f ca="1">AVERAGE(OFFSET($CX$3,0,0,'Données projet'!$E$13+1,1))-AVERAGE(OFFSET($H$3,0,0,'Données projet'!$E$13+1,1))</f>
        <v>211.18501783767226</v>
      </c>
      <c r="CZ125" s="59">
        <f t="shared" si="96"/>
        <v>147.98306963466246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0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-1.3596945791505279E-13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182.25704762953387</v>
      </c>
      <c r="T126" s="59">
        <f t="shared" si="88"/>
        <v>265.61788177751134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0.79221658431716147</v>
      </c>
      <c r="AA126" s="21">
        <f>EXP(-LN(2)/25)*AA125+(1-EXP(-LN(2)/25))/(LN(2)/25)*Calculateur!V126*Calculateur!X126*VLOOKUP('Données projet'!$B$9,Paramètres!$A$1:$I$89,3,0)*0.475*44/12</f>
        <v>1.2999339706102291</v>
      </c>
      <c r="AB126" s="21">
        <f>EXP(-LN(2)/2)*AB125+(1-EXP(-LN(2)/2))/(LN(2)/2)*V126*Y126*VLOOKUP('Données projet'!$B$9,Paramètres!$A$1:$I$89,3,0)*0.475*44/12</f>
        <v>2.9642359384917577E-14</v>
      </c>
      <c r="AC126" s="22">
        <f t="shared" si="57"/>
        <v>2.0921505549274202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>
        <f>VLOOKUP(A126,'Données projet'!$A$61:$I$81,2,0)</f>
        <v>222.63461538461539</v>
      </c>
      <c r="AG126" s="12">
        <f>VLOOKUP(A126,'Données projet'!$A$61:$I$81,9,0)</f>
        <v>3.8301282051282044</v>
      </c>
      <c r="AH126" s="12">
        <f t="array" ref="AH126">INDEX(AG:AG,MIN(IF(ISNUMBER(AG126:AG322),ROW(AG126:AG322),"")))</f>
        <v>3.8301282051282044</v>
      </c>
      <c r="AI126" s="13">
        <f>IF('Données projet'!$A$62&gt;35,AI125+AH126-AQ125,IF(A126&lt;'Données projet'!$A$62,$AF$205^A126,IF(A126='Données projet'!$A$62,'Données projet'!$B$62,AI125+AH126-AQ125)))</f>
        <v>222.63461538461576</v>
      </c>
      <c r="AJ126" s="13">
        <f>AI126*VLOOKUP('Données projet'!$B$10,Paramètres!$A$1:$I$89,3,0)*VLOOKUP('Données projet'!$B$10,Paramètres!$A$1:$I$89,5,0)</f>
        <v>225.75150000000036</v>
      </c>
      <c r="AK126" s="13">
        <f t="shared" si="89"/>
        <v>55.363062072917515</v>
      </c>
      <c r="AL126" s="20">
        <f t="shared" si="58"/>
        <v>489.60786227699856</v>
      </c>
      <c r="AM126" s="59">
        <f t="shared" si="59"/>
        <v>782.94119561033187</v>
      </c>
      <c r="AN126" s="59">
        <f ca="1">AVERAGE(OFFSET($AM$3,0,0,'Données projet'!$E$10+1,1))-AVERAGE(OFFSET($H$3,0,0,'Données projet'!$E$10+1,1))</f>
        <v>263.15518481854753</v>
      </c>
      <c r="AO126" s="59">
        <f t="shared" si="90"/>
        <v>210.80755370263819</v>
      </c>
      <c r="AP126" s="15">
        <f>IF(ISNA(VLOOKUP(A126,'Données projet'!$A$61:$I$81,3,0)),0,VLOOKUP(A126,'Données projet'!$A$61:$I$81,3,0))</f>
        <v>12</v>
      </c>
      <c r="AQ126" s="15">
        <f>IF(ISNA(VLOOKUP(A126,'Données projet'!$A$61:$I$81,4,0)),0,VLOOKUP(A126,'Données projet'!$A$61:$I$81,4,0))</f>
        <v>77.17307692307692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275.99999999999972</v>
      </c>
      <c r="BE126" s="13">
        <f>BD126*VLOOKUP('Données projet'!$B$11,Paramètres!$A$1:$I$89,3,0)*VLOOKUP('Données projet'!$B$11,Paramètres!$A$1:$I$89,5,0)</f>
        <v>223.8911999999998</v>
      </c>
      <c r="BF126" s="13">
        <f t="shared" si="91"/>
        <v>54.95975389514858</v>
      </c>
      <c r="BG126" s="20">
        <f t="shared" si="61"/>
        <v>485.66541136738346</v>
      </c>
      <c r="BH126" s="59">
        <f t="shared" si="62"/>
        <v>778.99874470071677</v>
      </c>
      <c r="BI126" s="59">
        <f ca="1">AVERAGE(OFFSET($BH$3,0,0,'Données projet'!$E$11+1,1))-AVERAGE(OFFSET($H$3,0,0,'Données projet'!$E$11+1,1))</f>
        <v>203.21935660591021</v>
      </c>
      <c r="BJ126" s="59">
        <f t="shared" si="92"/>
        <v>180.54762778843178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0.15894144358100512</v>
      </c>
      <c r="BQ126" s="21">
        <f>EXP(-LN(2)/25)*BQ125+(1-EXP(-LN(2)/25))/(LN(2)/25)*Calculateur!BL126*Calculateur!BN126*VLOOKUP('Données projet'!$B$11,Paramètres!$A$1:$I$89,3,0)*0.475*44/12</f>
        <v>0.44042650060532884</v>
      </c>
      <c r="BR126" s="21">
        <f>EXP(-LN(2)/2)*BR125+(1-EXP(-LN(2)/2))/(LN(2)/2)*BL126*BO126*VLOOKUP('Données projet'!$B$11,Paramètres!$A$1:$I$89,3,0)*0.475*44/12</f>
        <v>9.1067216773623893E-14</v>
      </c>
      <c r="BS126" s="22">
        <f t="shared" si="63"/>
        <v>0.59936794418642503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5.3066239316239274</v>
      </c>
      <c r="BY126" s="12">
        <f>IF('Données projet'!$A$114&gt;35,BY125+BX126-CG125,IF(A126&lt;'Données projet'!$A$114,$BV$205^A126,IF(A126='Données projet'!$A$114,'Données projet'!$B$114,BY125+BX126-CG125)))</f>
        <v>267.68162393162351</v>
      </c>
      <c r="BZ126" s="13">
        <f>BY126*VLOOKUP('Données projet'!$B$12,Paramètres!$A$1:$I$89,3,0)*VLOOKUP('Données projet'!$B$12,Paramètres!$A$1:$I$89,5,0)</f>
        <v>288.13249999999954</v>
      </c>
      <c r="CA126" s="13">
        <f t="shared" si="93"/>
        <v>68.682765668484066</v>
      </c>
      <c r="CB126" s="20">
        <f t="shared" si="64"/>
        <v>621.45325437260897</v>
      </c>
      <c r="CC126" s="59">
        <f t="shared" si="65"/>
        <v>914.78658770594234</v>
      </c>
      <c r="CD126" s="59">
        <f ca="1">AVERAGE(OFFSET($CC$3,0,0,'Données projet'!$E$12+1,1))-AVERAGE(OFFSET($H$3,0,0,'Données projet'!$E$12+1,1))</f>
        <v>211.18501783767226</v>
      </c>
      <c r="CE126" s="59">
        <f t="shared" si="94"/>
        <v>147.98306963466246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0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5.3066239316239274</v>
      </c>
      <c r="CT126" s="12">
        <f>IF('Données projet'!$A$140&gt;35,CT125+CS126-DB125,IF(A126&lt;'Données projet'!$A$140,$CQ$205^A126,IF(A126='Données projet'!$A$140,'Données projet'!$B$140,CT125+CS126-DB125)))</f>
        <v>267.68162393162351</v>
      </c>
      <c r="CU126" s="17">
        <f>CT126*VLOOKUP('Données projet'!$B$13,Paramètres!$A$1:$I$89,3,0)*VLOOKUP('Données projet'!$B$13,Paramètres!$A$1:$I$89,5,0)</f>
        <v>288.13249999999954</v>
      </c>
      <c r="CV126" s="13">
        <f t="shared" si="95"/>
        <v>68.682765668484066</v>
      </c>
      <c r="CW126" s="20">
        <f t="shared" si="67"/>
        <v>621.45325437260897</v>
      </c>
      <c r="CX126" s="59">
        <f t="shared" si="68"/>
        <v>914.78658770594234</v>
      </c>
      <c r="CY126" s="59">
        <f ca="1">AVERAGE(OFFSET($CX$3,0,0,'Données projet'!$E$13+1,1))-AVERAGE(OFFSET($H$3,0,0,'Données projet'!$E$13+1,1))</f>
        <v>211.18501783767226</v>
      </c>
      <c r="CZ126" s="59">
        <f t="shared" si="96"/>
        <v>147.98306963466246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0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-1.3596945791505279E-13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182.25704762953387</v>
      </c>
      <c r="T127" s="59">
        <f t="shared" si="88"/>
        <v>265.61788177751134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0.7766817003031059</v>
      </c>
      <c r="AA127" s="21">
        <f>EXP(-LN(2)/25)*AA126+(1-EXP(-LN(2)/25))/(LN(2)/25)*Calculateur!V127*Calculateur!X127*VLOOKUP('Données projet'!$B$9,Paramètres!$A$1:$I$89,3,0)*0.475*44/12</f>
        <v>1.2643872078233358</v>
      </c>
      <c r="AB127" s="21">
        <f>EXP(-LN(2)/2)*AB126+(1-EXP(-LN(2)/2))/(LN(2)/2)*V127*Y127*VLOOKUP('Données projet'!$B$9,Paramètres!$A$1:$I$89,3,0)*0.475*44/12</f>
        <v>2.0960313331443917E-14</v>
      </c>
      <c r="AC127" s="22">
        <f t="shared" si="57"/>
        <v>2.0410689081264626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2.3349358974358978</v>
      </c>
      <c r="AI127" s="13">
        <f>IF('Données projet'!$A$62&gt;35,AI126+AH127-AQ126,IF(A127&lt;'Données projet'!$A$62,$AF$205^A127,IF(A127='Données projet'!$A$62,'Données projet'!$B$62,AI126+AH127-AQ126)))</f>
        <v>147.79647435897476</v>
      </c>
      <c r="AJ127" s="13">
        <f>AI127*VLOOKUP('Données projet'!$B$10,Paramètres!$A$1:$I$89,3,0)*VLOOKUP('Données projet'!$B$10,Paramètres!$A$1:$I$89,5,0)</f>
        <v>149.86562500000042</v>
      </c>
      <c r="AK127" s="13">
        <f t="shared" si="89"/>
        <v>38.548046827253025</v>
      </c>
      <c r="AL127" s="20">
        <f t="shared" si="58"/>
        <v>328.15381176579973</v>
      </c>
      <c r="AM127" s="59">
        <f t="shared" si="59"/>
        <v>621.48714509913304</v>
      </c>
      <c r="AN127" s="59">
        <f ca="1">AVERAGE(OFFSET($AM$3,0,0,'Données projet'!$E$10+1,1))-AVERAGE(OFFSET($H$3,0,0,'Données projet'!$E$10+1,1))</f>
        <v>263.15518481854753</v>
      </c>
      <c r="AO127" s="59">
        <f t="shared" si="90"/>
        <v>210.80755370263819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275.99999999999972</v>
      </c>
      <c r="BE127" s="13">
        <f>BD127*VLOOKUP('Données projet'!$B$11,Paramètres!$A$1:$I$89,3,0)*VLOOKUP('Données projet'!$B$11,Paramètres!$A$1:$I$89,5,0)</f>
        <v>223.8911999999998</v>
      </c>
      <c r="BF127" s="13">
        <f t="shared" si="91"/>
        <v>54.95975389514858</v>
      </c>
      <c r="BG127" s="20">
        <f t="shared" si="61"/>
        <v>485.66541136738346</v>
      </c>
      <c r="BH127" s="59">
        <f t="shared" si="62"/>
        <v>778.99874470071677</v>
      </c>
      <c r="BI127" s="59">
        <f ca="1">AVERAGE(OFFSET($BH$3,0,0,'Données projet'!$E$11+1,1))-AVERAGE(OFFSET($H$3,0,0,'Données projet'!$E$11+1,1))</f>
        <v>203.21935660591021</v>
      </c>
      <c r="BJ127" s="59">
        <f t="shared" si="92"/>
        <v>180.54762778843178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0.15582469881708971</v>
      </c>
      <c r="BQ127" s="21">
        <f>EXP(-LN(2)/25)*BQ126+(1-EXP(-LN(2)/25))/(LN(2)/25)*Calculateur!BL127*Calculateur!BN127*VLOOKUP('Données projet'!$B$11,Paramètres!$A$1:$I$89,3,0)*0.475*44/12</f>
        <v>0.42838301478525309</v>
      </c>
      <c r="BR127" s="21">
        <f>EXP(-LN(2)/2)*BR126+(1-EXP(-LN(2)/2))/(LN(2)/2)*BL127*BO127*VLOOKUP('Données projet'!$B$11,Paramètres!$A$1:$I$89,3,0)*0.475*44/12</f>
        <v>6.4394246524414759E-14</v>
      </c>
      <c r="BS127" s="22">
        <f t="shared" si="63"/>
        <v>0.5842077136024072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5.3066239316239274</v>
      </c>
      <c r="BY127" s="12">
        <f>IF('Données projet'!$A$114&gt;35,BY126+BX127-CG126,IF(A127&lt;'Données projet'!$A$114,$BV$205^A127,IF(A127='Données projet'!$A$114,'Données projet'!$B$114,BY126+BX127-CG126)))</f>
        <v>272.98824786324741</v>
      </c>
      <c r="BZ127" s="13">
        <f>BY127*VLOOKUP('Données projet'!$B$12,Paramètres!$A$1:$I$89,3,0)*VLOOKUP('Données projet'!$B$12,Paramètres!$A$1:$I$89,5,0)</f>
        <v>293.84454999999946</v>
      </c>
      <c r="CA127" s="13">
        <f t="shared" si="93"/>
        <v>69.884491863867197</v>
      </c>
      <c r="CB127" s="20">
        <f t="shared" si="64"/>
        <v>633.49474791290106</v>
      </c>
      <c r="CC127" s="59">
        <f t="shared" si="65"/>
        <v>926.82808124623443</v>
      </c>
      <c r="CD127" s="59">
        <f ca="1">AVERAGE(OFFSET($CC$3,0,0,'Données projet'!$E$12+1,1))-AVERAGE(OFFSET($H$3,0,0,'Données projet'!$E$12+1,1))</f>
        <v>211.18501783767226</v>
      </c>
      <c r="CE127" s="59">
        <f t="shared" si="94"/>
        <v>147.98306963466246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0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5.3066239316239274</v>
      </c>
      <c r="CT127" s="12">
        <f>IF('Données projet'!$A$140&gt;35,CT126+CS127-DB126,IF(A127&lt;'Données projet'!$A$140,$CQ$205^A127,IF(A127='Données projet'!$A$140,'Données projet'!$B$140,CT126+CS127-DB126)))</f>
        <v>272.98824786324741</v>
      </c>
      <c r="CU127" s="17">
        <f>CT127*VLOOKUP('Données projet'!$B$13,Paramètres!$A$1:$I$89,3,0)*VLOOKUP('Données projet'!$B$13,Paramètres!$A$1:$I$89,5,0)</f>
        <v>293.84454999999946</v>
      </c>
      <c r="CV127" s="13">
        <f t="shared" si="95"/>
        <v>69.884491863867197</v>
      </c>
      <c r="CW127" s="20">
        <f t="shared" si="67"/>
        <v>633.49474791290106</v>
      </c>
      <c r="CX127" s="59">
        <f t="shared" si="68"/>
        <v>926.82808124623443</v>
      </c>
      <c r="CY127" s="59">
        <f ca="1">AVERAGE(OFFSET($CX$3,0,0,'Données projet'!$E$13+1,1))-AVERAGE(OFFSET($H$3,0,0,'Données projet'!$E$13+1,1))</f>
        <v>211.18501783767226</v>
      </c>
      <c r="CZ127" s="59">
        <f t="shared" si="96"/>
        <v>147.98306963466246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0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-1.3596945791505279E-13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182.25704762953387</v>
      </c>
      <c r="T128" s="59">
        <f t="shared" si="88"/>
        <v>265.61788177751134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0.76145144588922231</v>
      </c>
      <c r="AA128" s="21">
        <f>EXP(-LN(2)/25)*AA127+(1-EXP(-LN(2)/25))/(LN(2)/25)*Calculateur!V128*Calculateur!X128*VLOOKUP('Données projet'!$B$9,Paramètres!$A$1:$I$89,3,0)*0.475*44/12</f>
        <v>1.2298124731341733</v>
      </c>
      <c r="AB128" s="21">
        <f>EXP(-LN(2)/2)*AB127+(1-EXP(-LN(2)/2))/(LN(2)/2)*V128*Y128*VLOOKUP('Données projet'!$B$9,Paramètres!$A$1:$I$89,3,0)*0.475*44/12</f>
        <v>1.4821179692458789E-14</v>
      </c>
      <c r="AC128" s="22">
        <f t="shared" si="57"/>
        <v>1.9912639190234105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2.3349358974358978</v>
      </c>
      <c r="AI128" s="13">
        <f>IF('Données projet'!$A$62&gt;35,AI127+AH128-AQ127,IF(A128&lt;'Données projet'!$A$62,$AF$205^A128,IF(A128='Données projet'!$A$62,'Données projet'!$B$62,AI127+AH128-AQ127)))</f>
        <v>150.13141025641067</v>
      </c>
      <c r="AJ128" s="13">
        <f>AI128*VLOOKUP('Données projet'!$B$10,Paramètres!$A$1:$I$89,3,0)*VLOOKUP('Données projet'!$B$10,Paramètres!$A$1:$I$89,5,0)</f>
        <v>152.23325000000042</v>
      </c>
      <c r="AK128" s="13">
        <f t="shared" si="89"/>
        <v>39.085662353070305</v>
      </c>
      <c r="AL128" s="20">
        <f t="shared" si="58"/>
        <v>333.21377234826485</v>
      </c>
      <c r="AM128" s="59">
        <f t="shared" si="59"/>
        <v>626.54710568159817</v>
      </c>
      <c r="AN128" s="59">
        <f ca="1">AVERAGE(OFFSET($AM$3,0,0,'Données projet'!$E$10+1,1))-AVERAGE(OFFSET($H$3,0,0,'Données projet'!$E$10+1,1))</f>
        <v>263.15518481854753</v>
      </c>
      <c r="AO128" s="59">
        <f t="shared" si="90"/>
        <v>210.80755370263819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275.99999999999972</v>
      </c>
      <c r="BE128" s="13">
        <f>BD128*VLOOKUP('Données projet'!$B$11,Paramètres!$A$1:$I$89,3,0)*VLOOKUP('Données projet'!$B$11,Paramètres!$A$1:$I$89,5,0)</f>
        <v>223.8911999999998</v>
      </c>
      <c r="BF128" s="13">
        <f t="shared" si="91"/>
        <v>54.95975389514858</v>
      </c>
      <c r="BG128" s="20">
        <f t="shared" si="61"/>
        <v>485.66541136738346</v>
      </c>
      <c r="BH128" s="59">
        <f t="shared" si="62"/>
        <v>778.99874470071677</v>
      </c>
      <c r="BI128" s="59">
        <f ca="1">AVERAGE(OFFSET($BH$3,0,0,'Données projet'!$E$11+1,1))-AVERAGE(OFFSET($H$3,0,0,'Données projet'!$E$11+1,1))</f>
        <v>203.21935660591021</v>
      </c>
      <c r="BJ128" s="59">
        <f t="shared" si="92"/>
        <v>180.54762778843178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0.15276907151696809</v>
      </c>
      <c r="BQ128" s="21">
        <f>EXP(-LN(2)/25)*BQ127+(1-EXP(-LN(2)/25))/(LN(2)/25)*Calculateur!BL128*Calculateur!BN128*VLOOKUP('Données projet'!$B$11,Paramètres!$A$1:$I$89,3,0)*0.475*44/12</f>
        <v>0.4166688587182667</v>
      </c>
      <c r="BR128" s="21">
        <f>EXP(-LN(2)/2)*BR127+(1-EXP(-LN(2)/2))/(LN(2)/2)*BL128*BO128*VLOOKUP('Données projet'!$B$11,Paramètres!$A$1:$I$89,3,0)*0.475*44/12</f>
        <v>4.5533608386811946E-14</v>
      </c>
      <c r="BS128" s="22">
        <f t="shared" si="63"/>
        <v>0.56943793023528033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>
        <f>VLOOKUP(A128,'Données projet'!$A$113:$I$133,2,0)</f>
        <v>278.29487179487177</v>
      </c>
      <c r="BW128" s="12">
        <f>VLOOKUP(A128,'Données projet'!$A$113:$I$133,9,0)</f>
        <v>5.3066239316239274</v>
      </c>
      <c r="BX128" s="12">
        <f t="array" ref="BX128">INDEX(BW:BW,MIN(IF(ISNUMBER(BW128:BW324),ROW(BW128:BW324),"")))</f>
        <v>5.3066239316239274</v>
      </c>
      <c r="BY128" s="12">
        <f>IF('Données projet'!$A$114&gt;35,BY127+BX128-CG127,IF(A128&lt;'Données projet'!$A$114,$BV$205^A128,IF(A128='Données projet'!$A$114,'Données projet'!$B$114,BY127+BX128-CG127)))</f>
        <v>278.29487179487131</v>
      </c>
      <c r="BZ128" s="13">
        <f>BY128*VLOOKUP('Données projet'!$B$12,Paramètres!$A$1:$I$89,3,0)*VLOOKUP('Données projet'!$B$12,Paramètres!$A$1:$I$89,5,0)</f>
        <v>299.55659999999949</v>
      </c>
      <c r="CA128" s="13">
        <f t="shared" si="93"/>
        <v>71.083501804267385</v>
      </c>
      <c r="CB128" s="20">
        <f t="shared" si="64"/>
        <v>645.53151064243139</v>
      </c>
      <c r="CC128" s="59">
        <f t="shared" si="65"/>
        <v>938.86484397576464</v>
      </c>
      <c r="CD128" s="59">
        <f ca="1">AVERAGE(OFFSET($CC$3,0,0,'Données projet'!$E$12+1,1))-AVERAGE(OFFSET($H$3,0,0,'Données projet'!$E$12+1,1))</f>
        <v>211.18501783767226</v>
      </c>
      <c r="CE128" s="59">
        <f t="shared" si="94"/>
        <v>147.98306963466246</v>
      </c>
      <c r="CF128" s="15">
        <f>IF(ISNA(VLOOKUP(A128,'Données projet'!$A$113:$I$133,3,0)),0,VLOOKUP(A128,'Données projet'!$A$113:$I$133,3,0))</f>
        <v>10</v>
      </c>
      <c r="CG128" s="15">
        <f>IF(ISNA(VLOOKUP(A128,'Données projet'!$A$113:$I$133,4,0)),0,VLOOKUP(A128,'Données projet'!$A$113:$I$133,4,0))</f>
        <v>48.160256410256409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0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>
        <f>VLOOKUP(A128,'Données projet'!$A$139:$I$159,2,0)</f>
        <v>278.29487179487177</v>
      </c>
      <c r="CR128" s="12">
        <f>VLOOKUP(A128,'Données projet'!$A$139:$I$159,9,0)</f>
        <v>5.3066239316239274</v>
      </c>
      <c r="CS128" s="12">
        <f t="array" ref="CS128">INDEX(CR:CR,MIN(IF(ISNUMBER(CR128:CR324),ROW(CR128:CR324),"")))</f>
        <v>5.3066239316239274</v>
      </c>
      <c r="CT128" s="12">
        <f>IF('Données projet'!$A$140&gt;35,CT127+CS128-DB127,IF(A128&lt;'Données projet'!$A$140,$CQ$205^A128,IF(A128='Données projet'!$A$140,'Données projet'!$B$140,CT127+CS128-DB127)))</f>
        <v>278.29487179487131</v>
      </c>
      <c r="CU128" s="17">
        <f>CT128*VLOOKUP('Données projet'!$B$13,Paramètres!$A$1:$I$89,3,0)*VLOOKUP('Données projet'!$B$13,Paramètres!$A$1:$I$89,5,0)</f>
        <v>299.55659999999949</v>
      </c>
      <c r="CV128" s="13">
        <f t="shared" si="95"/>
        <v>71.083501804267385</v>
      </c>
      <c r="CW128" s="20">
        <f t="shared" si="67"/>
        <v>645.53151064243139</v>
      </c>
      <c r="CX128" s="59">
        <f t="shared" si="68"/>
        <v>938.86484397576464</v>
      </c>
      <c r="CY128" s="59">
        <f ca="1">AVERAGE(OFFSET($CX$3,0,0,'Données projet'!$E$13+1,1))-AVERAGE(OFFSET($H$3,0,0,'Données projet'!$E$13+1,1))</f>
        <v>211.18501783767226</v>
      </c>
      <c r="CZ128" s="59">
        <f t="shared" si="96"/>
        <v>147.98306963466246</v>
      </c>
      <c r="DA128" s="15">
        <f>IF(ISNA(VLOOKUP(A128,'Données projet'!$A$139:$I$159,3,0)),0,VLOOKUP(A128,'Données projet'!$A$139:$I$159,3,0))</f>
        <v>10</v>
      </c>
      <c r="DB128" s="15">
        <f>IF(ISNA(VLOOKUP(A128,'Données projet'!$A$139:$I$159,4,0)),0,VLOOKUP(A128,'Données projet'!$A$139:$I$159,4,0))</f>
        <v>48.160256410256409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0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-1.3596945791505279E-13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182.25704762953387</v>
      </c>
      <c r="T129" s="59">
        <f t="shared" si="88"/>
        <v>265.61788177751134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0.74651984747485711</v>
      </c>
      <c r="AA129" s="21">
        <f>EXP(-LN(2)/25)*AA128+(1-EXP(-LN(2)/25))/(LN(2)/25)*Calculateur!V129*Calculateur!X129*VLOOKUP('Données projet'!$B$9,Paramètres!$A$1:$I$89,3,0)*0.475*44/12</f>
        <v>1.1961831863832921</v>
      </c>
      <c r="AB129" s="21">
        <f>EXP(-LN(2)/2)*AB128+(1-EXP(-LN(2)/2))/(LN(2)/2)*V129*Y129*VLOOKUP('Données projet'!$B$9,Paramètres!$A$1:$I$89,3,0)*0.475*44/12</f>
        <v>1.0480156665721958E-14</v>
      </c>
      <c r="AC129" s="22">
        <f t="shared" si="57"/>
        <v>1.9427030338581597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2.3349358974358978</v>
      </c>
      <c r="AI129" s="13">
        <f>IF('Données projet'!$A$62&gt;35,AI128+AH129-AQ128,IF(A129&lt;'Données projet'!$A$62,$AF$205^A129,IF(A129='Données projet'!$A$62,'Données projet'!$B$62,AI128+AH129-AQ128)))</f>
        <v>152.46634615384659</v>
      </c>
      <c r="AJ129" s="13">
        <f>AI129*VLOOKUP('Données projet'!$B$10,Paramètres!$A$1:$I$89,3,0)*VLOOKUP('Données projet'!$B$10,Paramètres!$A$1:$I$89,5,0)</f>
        <v>154.60087500000046</v>
      </c>
      <c r="AK129" s="13">
        <f t="shared" si="89"/>
        <v>39.622305459420097</v>
      </c>
      <c r="AL129" s="20">
        <f t="shared" si="58"/>
        <v>338.27203930015747</v>
      </c>
      <c r="AM129" s="59">
        <f t="shared" si="59"/>
        <v>631.60537263349079</v>
      </c>
      <c r="AN129" s="59">
        <f ca="1">AVERAGE(OFFSET($AM$3,0,0,'Données projet'!$E$10+1,1))-AVERAGE(OFFSET($H$3,0,0,'Données projet'!$E$10+1,1))</f>
        <v>263.15518481854753</v>
      </c>
      <c r="AO129" s="59">
        <f t="shared" si="90"/>
        <v>210.80755370263819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275.99999999999972</v>
      </c>
      <c r="BE129" s="13">
        <f>BD129*VLOOKUP('Données projet'!$B$11,Paramètres!$A$1:$I$89,3,0)*VLOOKUP('Données projet'!$B$11,Paramètres!$A$1:$I$89,5,0)</f>
        <v>223.8911999999998</v>
      </c>
      <c r="BF129" s="13">
        <f t="shared" si="91"/>
        <v>54.95975389514858</v>
      </c>
      <c r="BG129" s="20">
        <f t="shared" si="61"/>
        <v>485.66541136738346</v>
      </c>
      <c r="BH129" s="59">
        <f t="shared" si="62"/>
        <v>778.99874470071677</v>
      </c>
      <c r="BI129" s="59">
        <f ca="1">AVERAGE(OFFSET($BH$3,0,0,'Données projet'!$E$11+1,1))-AVERAGE(OFFSET($H$3,0,0,'Données projet'!$E$11+1,1))</f>
        <v>203.21935660591021</v>
      </c>
      <c r="BJ129" s="59">
        <f t="shared" si="92"/>
        <v>180.54762778843178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0.14977336320445322</v>
      </c>
      <c r="BQ129" s="21">
        <f>EXP(-LN(2)/25)*BQ128+(1-EXP(-LN(2)/25))/(LN(2)/25)*Calculateur!BL129*Calculateur!BN129*VLOOKUP('Données projet'!$B$11,Paramètres!$A$1:$I$89,3,0)*0.475*44/12</f>
        <v>0.4052750268649527</v>
      </c>
      <c r="BR129" s="21">
        <f>EXP(-LN(2)/2)*BR128+(1-EXP(-LN(2)/2))/(LN(2)/2)*BL129*BO129*VLOOKUP('Données projet'!$B$11,Paramètres!$A$1:$I$89,3,0)*0.475*44/12</f>
        <v>3.2197123262207379E-14</v>
      </c>
      <c r="BS129" s="22">
        <f t="shared" si="63"/>
        <v>0.55504839006943807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5.2446581196581219</v>
      </c>
      <c r="BY129" s="12">
        <f>IF('Données projet'!$A$114&gt;35,BY128+BX129-CG128,IF(A129&lt;'Données projet'!$A$114,$BV$205^A129,IF(A129='Données projet'!$A$114,'Données projet'!$B$114,BY128+BX129-CG128)))</f>
        <v>235.37927350427304</v>
      </c>
      <c r="BZ129" s="13">
        <f>BY129*VLOOKUP('Données projet'!$B$12,Paramètres!$A$1:$I$89,3,0)*VLOOKUP('Données projet'!$B$12,Paramètres!$A$1:$I$89,5,0)</f>
        <v>253.36224999999948</v>
      </c>
      <c r="CA129" s="13">
        <f t="shared" si="93"/>
        <v>61.305355338832562</v>
      </c>
      <c r="CB129" s="20">
        <f t="shared" si="64"/>
        <v>548.04607929846588</v>
      </c>
      <c r="CC129" s="59">
        <f t="shared" si="65"/>
        <v>841.37941263179914</v>
      </c>
      <c r="CD129" s="59">
        <f ca="1">AVERAGE(OFFSET($CC$3,0,0,'Données projet'!$E$12+1,1))-AVERAGE(OFFSET($H$3,0,0,'Données projet'!$E$12+1,1))</f>
        <v>211.18501783767226</v>
      </c>
      <c r="CE129" s="59">
        <f t="shared" si="94"/>
        <v>147.98306963466246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0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5.2446581196581219</v>
      </c>
      <c r="CT129" s="12">
        <f>IF('Données projet'!$A$140&gt;35,CT128+CS129-DB128,IF(A129&lt;'Données projet'!$A$140,$CQ$205^A129,IF(A129='Données projet'!$A$140,'Données projet'!$B$140,CT128+CS129-DB128)))</f>
        <v>235.37927350427304</v>
      </c>
      <c r="CU129" s="17">
        <f>CT129*VLOOKUP('Données projet'!$B$13,Paramètres!$A$1:$I$89,3,0)*VLOOKUP('Données projet'!$B$13,Paramètres!$A$1:$I$89,5,0)</f>
        <v>253.36224999999948</v>
      </c>
      <c r="CV129" s="13">
        <f t="shared" si="95"/>
        <v>61.305355338832562</v>
      </c>
      <c r="CW129" s="20">
        <f t="shared" si="67"/>
        <v>548.04607929846588</v>
      </c>
      <c r="CX129" s="59">
        <f t="shared" si="68"/>
        <v>841.37941263179914</v>
      </c>
      <c r="CY129" s="59">
        <f ca="1">AVERAGE(OFFSET($CX$3,0,0,'Données projet'!$E$13+1,1))-AVERAGE(OFFSET($H$3,0,0,'Données projet'!$E$13+1,1))</f>
        <v>211.18501783767226</v>
      </c>
      <c r="CZ129" s="59">
        <f t="shared" si="96"/>
        <v>147.98306963466246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0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-1.3596945791505279E-13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182.25704762953387</v>
      </c>
      <c r="T130" s="59">
        <f t="shared" si="88"/>
        <v>265.61788177751134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0.73188104859802183</v>
      </c>
      <c r="AA130" s="21">
        <f>EXP(-LN(2)/25)*AA129+(1-EXP(-LN(2)/25))/(LN(2)/25)*Calculateur!V130*Calculateur!X130*VLOOKUP('Données projet'!$B$9,Paramètres!$A$1:$I$89,3,0)*0.475*44/12</f>
        <v>1.1634734942471012</v>
      </c>
      <c r="AB130" s="21">
        <f>EXP(-LN(2)/2)*AB129+(1-EXP(-LN(2)/2))/(LN(2)/2)*V130*Y130*VLOOKUP('Données projet'!$B$9,Paramètres!$A$1:$I$89,3,0)*0.475*44/12</f>
        <v>7.4105898462293944E-15</v>
      </c>
      <c r="AC130" s="22">
        <f t="shared" si="57"/>
        <v>1.8953545428451304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>
        <f>VLOOKUP(A130,'Données projet'!$A$61:$I$81,2,0)</f>
        <v>154.80128205128204</v>
      </c>
      <c r="AG130" s="12">
        <f>VLOOKUP(A130,'Données projet'!$A$61:$I$81,9,0)</f>
        <v>2.3349358974358978</v>
      </c>
      <c r="AH130" s="12">
        <f t="array" ref="AH130">INDEX(AG:AG,MIN(IF(ISNUMBER(AG130:AG326),ROW(AG130:AG326),"")))</f>
        <v>2.3349358974358978</v>
      </c>
      <c r="AI130" s="13">
        <f>IF('Données projet'!$A$62&gt;35,AI129+AH130-AQ129,IF(A130&lt;'Données projet'!$A$62,$AF$205^A130,IF(A130='Données projet'!$A$62,'Données projet'!$B$62,AI129+AH130-AQ129)))</f>
        <v>154.8012820512825</v>
      </c>
      <c r="AJ130" s="13">
        <f>AI130*VLOOKUP('Données projet'!$B$10,Paramètres!$A$1:$I$89,3,0)*VLOOKUP('Données projet'!$B$10,Paramètres!$A$1:$I$89,5,0)</f>
        <v>156.96850000000046</v>
      </c>
      <c r="AK130" s="13">
        <f t="shared" si="89"/>
        <v>40.157992758290085</v>
      </c>
      <c r="AL130" s="20">
        <f t="shared" si="58"/>
        <v>343.32864155402268</v>
      </c>
      <c r="AM130" s="59">
        <f t="shared" si="59"/>
        <v>636.661974887356</v>
      </c>
      <c r="AN130" s="59">
        <f ca="1">AVERAGE(OFFSET($AM$3,0,0,'Données projet'!$E$10+1,1))-AVERAGE(OFFSET($H$3,0,0,'Données projet'!$E$10+1,1))</f>
        <v>263.15518481854753</v>
      </c>
      <c r="AO130" s="59">
        <f t="shared" si="90"/>
        <v>210.80755370263819</v>
      </c>
      <c r="AP130" s="15">
        <f>IF(ISNA(VLOOKUP(A130,'Données projet'!$A$61:$I$81,3,0)),0,VLOOKUP(A130,'Données projet'!$A$61:$I$81,3,0))</f>
        <v>13</v>
      </c>
      <c r="AQ130" s="15">
        <f>IF(ISNA(VLOOKUP(A130,'Données projet'!$A$61:$I$81,4,0)),0,VLOOKUP(A130,'Données projet'!$A$61:$I$81,4,0))</f>
        <v>49.916666666666671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275.99999999999972</v>
      </c>
      <c r="BE130" s="13">
        <f>BD130*VLOOKUP('Données projet'!$B$11,Paramètres!$A$1:$I$89,3,0)*VLOOKUP('Données projet'!$B$11,Paramètres!$A$1:$I$89,5,0)</f>
        <v>223.8911999999998</v>
      </c>
      <c r="BF130" s="13">
        <f t="shared" si="91"/>
        <v>54.95975389514858</v>
      </c>
      <c r="BG130" s="20">
        <f t="shared" si="61"/>
        <v>485.66541136738346</v>
      </c>
      <c r="BH130" s="59">
        <f t="shared" si="62"/>
        <v>778.99874470071677</v>
      </c>
      <c r="BI130" s="59">
        <f ca="1">AVERAGE(OFFSET($BH$3,0,0,'Données projet'!$E$11+1,1))-AVERAGE(OFFSET($H$3,0,0,'Données projet'!$E$11+1,1))</f>
        <v>203.21935660591021</v>
      </c>
      <c r="BJ130" s="59">
        <f t="shared" si="92"/>
        <v>180.54762778843178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0.14683639890474512</v>
      </c>
      <c r="BQ130" s="21">
        <f>EXP(-LN(2)/25)*BQ129+(1-EXP(-LN(2)/25))/(LN(2)/25)*Calculateur!BL130*Calculateur!BN130*VLOOKUP('Données projet'!$B$11,Paramètres!$A$1:$I$89,3,0)*0.475*44/12</f>
        <v>0.3941927599428432</v>
      </c>
      <c r="BR130" s="21">
        <f>EXP(-LN(2)/2)*BR129+(1-EXP(-LN(2)/2))/(LN(2)/2)*BL130*BO130*VLOOKUP('Données projet'!$B$11,Paramètres!$A$1:$I$89,3,0)*0.475*44/12</f>
        <v>2.2766804193405973E-14</v>
      </c>
      <c r="BS130" s="22">
        <f t="shared" si="63"/>
        <v>0.54102915884761105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5.2446581196581219</v>
      </c>
      <c r="BY130" s="12">
        <f>IF('Données projet'!$A$114&gt;35,BY129+BX130-CG129,IF(A130&lt;'Données projet'!$A$114,$BV$205^A130,IF(A130='Données projet'!$A$114,'Données projet'!$B$114,BY129+BX130-CG129)))</f>
        <v>240.62393162393116</v>
      </c>
      <c r="BZ130" s="13">
        <f>BY130*VLOOKUP('Données projet'!$B$12,Paramètres!$A$1:$I$89,3,0)*VLOOKUP('Données projet'!$B$12,Paramètres!$A$1:$I$89,5,0)</f>
        <v>259.00759999999946</v>
      </c>
      <c r="CA130" s="13">
        <f t="shared" si="93"/>
        <v>62.510791320628492</v>
      </c>
      <c r="CB130" s="20">
        <f t="shared" si="64"/>
        <v>559.97786488342695</v>
      </c>
      <c r="CC130" s="59">
        <f t="shared" si="65"/>
        <v>853.3111982167602</v>
      </c>
      <c r="CD130" s="59">
        <f ca="1">AVERAGE(OFFSET($CC$3,0,0,'Données projet'!$E$12+1,1))-AVERAGE(OFFSET($H$3,0,0,'Données projet'!$E$12+1,1))</f>
        <v>211.18501783767226</v>
      </c>
      <c r="CE130" s="59">
        <f t="shared" si="94"/>
        <v>147.98306963466246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0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5.2446581196581219</v>
      </c>
      <c r="CT130" s="12">
        <f>IF('Données projet'!$A$140&gt;35,CT129+CS130-DB129,IF(A130&lt;'Données projet'!$A$140,$CQ$205^A130,IF(A130='Données projet'!$A$140,'Données projet'!$B$140,CT129+CS130-DB129)))</f>
        <v>240.62393162393116</v>
      </c>
      <c r="CU130" s="17">
        <f>CT130*VLOOKUP('Données projet'!$B$13,Paramètres!$A$1:$I$89,3,0)*VLOOKUP('Données projet'!$B$13,Paramètres!$A$1:$I$89,5,0)</f>
        <v>259.00759999999946</v>
      </c>
      <c r="CV130" s="13">
        <f t="shared" si="95"/>
        <v>62.510791320628492</v>
      </c>
      <c r="CW130" s="20">
        <f t="shared" si="67"/>
        <v>559.97786488342695</v>
      </c>
      <c r="CX130" s="59">
        <f t="shared" si="68"/>
        <v>853.3111982167602</v>
      </c>
      <c r="CY130" s="59">
        <f ca="1">AVERAGE(OFFSET($CX$3,0,0,'Données projet'!$E$13+1,1))-AVERAGE(OFFSET($H$3,0,0,'Données projet'!$E$13+1,1))</f>
        <v>211.18501783767226</v>
      </c>
      <c r="CZ130" s="59">
        <f t="shared" si="96"/>
        <v>147.98306963466246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0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-1.3596945791505279E-13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182.25704762953387</v>
      </c>
      <c r="T131" s="59">
        <f t="shared" si="88"/>
        <v>265.61788177751134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0.71752930763837564</v>
      </c>
      <c r="AA131" s="21">
        <f>EXP(-LN(2)/25)*AA130+(1-EXP(-LN(2)/25))/(LN(2)/25)*Calculateur!V131*Calculateur!X131*VLOOKUP('Données projet'!$B$9,Paramètres!$A$1:$I$89,3,0)*0.475*44/12</f>
        <v>1.1316582503625023</v>
      </c>
      <c r="AB131" s="21">
        <f>EXP(-LN(2)/2)*AB130+(1-EXP(-LN(2)/2))/(LN(2)/2)*V131*Y131*VLOOKUP('Données projet'!$B$9,Paramètres!$A$1:$I$89,3,0)*0.475*44/12</f>
        <v>5.2400783328609792E-15</v>
      </c>
      <c r="AC131" s="22">
        <f t="shared" si="57"/>
        <v>1.8491875580008834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1.5064102564102591</v>
      </c>
      <c r="AI131" s="13">
        <f>IF('Données projet'!$A$62&gt;35,AI130+AH131-AQ130,IF(A131&lt;'Données projet'!$A$62,$AF$205^A131,IF(A131='Données projet'!$A$62,'Données projet'!$B$62,AI130+AH131-AQ130)))</f>
        <v>106.39102564102608</v>
      </c>
      <c r="AJ131" s="13">
        <f>AI131*VLOOKUP('Données projet'!$B$10,Paramètres!$A$1:$I$89,3,0)*VLOOKUP('Données projet'!$B$10,Paramètres!$A$1:$I$89,5,0)</f>
        <v>107.88050000000045</v>
      </c>
      <c r="AK131" s="13">
        <f t="shared" si="89"/>
        <v>28.831049785836466</v>
      </c>
      <c r="AL131" s="20">
        <f t="shared" si="58"/>
        <v>238.1059492103326</v>
      </c>
      <c r="AM131" s="59">
        <f t="shared" si="59"/>
        <v>531.43928254366597</v>
      </c>
      <c r="AN131" s="59">
        <f ca="1">AVERAGE(OFFSET($AM$3,0,0,'Données projet'!$E$10+1,1))-AVERAGE(OFFSET($H$3,0,0,'Données projet'!$E$10+1,1))</f>
        <v>263.15518481854753</v>
      </c>
      <c r="AO131" s="59">
        <f t="shared" si="90"/>
        <v>210.80755370263819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275.99999999999972</v>
      </c>
      <c r="BE131" s="13">
        <f>BD131*VLOOKUP('Données projet'!$B$11,Paramètres!$A$1:$I$89,3,0)*VLOOKUP('Données projet'!$B$11,Paramètres!$A$1:$I$89,5,0)</f>
        <v>223.8911999999998</v>
      </c>
      <c r="BF131" s="13">
        <f t="shared" si="91"/>
        <v>54.95975389514858</v>
      </c>
      <c r="BG131" s="20">
        <f t="shared" si="61"/>
        <v>485.66541136738346</v>
      </c>
      <c r="BH131" s="59">
        <f t="shared" si="62"/>
        <v>778.99874470071677</v>
      </c>
      <c r="BI131" s="59">
        <f ca="1">AVERAGE(OFFSET($BH$3,0,0,'Données projet'!$E$11+1,1))-AVERAGE(OFFSET($H$3,0,0,'Données projet'!$E$11+1,1))</f>
        <v>203.21935660591021</v>
      </c>
      <c r="BJ131" s="59">
        <f t="shared" si="92"/>
        <v>180.54762778843178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0.14395702668358296</v>
      </c>
      <c r="BQ131" s="21">
        <f>EXP(-LN(2)/25)*BQ130+(1-EXP(-LN(2)/25))/(LN(2)/25)*Calculateur!BL131*Calculateur!BN131*VLOOKUP('Données projet'!$B$11,Paramètres!$A$1:$I$89,3,0)*0.475*44/12</f>
        <v>0.38341353819250984</v>
      </c>
      <c r="BR131" s="21">
        <f>EXP(-LN(2)/2)*BR130+(1-EXP(-LN(2)/2))/(LN(2)/2)*BL131*BO131*VLOOKUP('Données projet'!$B$11,Paramètres!$A$1:$I$89,3,0)*0.475*44/12</f>
        <v>1.609856163110369E-14</v>
      </c>
      <c r="BS131" s="22">
        <f t="shared" si="63"/>
        <v>0.52737056487610889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5.2446581196581219</v>
      </c>
      <c r="BY131" s="12">
        <f>IF('Données projet'!$A$114&gt;35,BY130+BX131-CG130,IF(A131&lt;'Données projet'!$A$114,$BV$205^A131,IF(A131='Données projet'!$A$114,'Données projet'!$B$114,BY130+BX131-CG130)))</f>
        <v>245.86858974358927</v>
      </c>
      <c r="BZ131" s="13">
        <f>BY131*VLOOKUP('Données projet'!$B$12,Paramètres!$A$1:$I$89,3,0)*VLOOKUP('Données projet'!$B$12,Paramètres!$A$1:$I$89,5,0)</f>
        <v>264.65294999999946</v>
      </c>
      <c r="CA131" s="13">
        <f t="shared" si="93"/>
        <v>63.713172655326758</v>
      </c>
      <c r="CB131" s="20">
        <f t="shared" si="64"/>
        <v>571.90433029135977</v>
      </c>
      <c r="CC131" s="59">
        <f t="shared" si="65"/>
        <v>865.23766362469314</v>
      </c>
      <c r="CD131" s="59">
        <f ca="1">AVERAGE(OFFSET($CC$3,0,0,'Données projet'!$E$12+1,1))-AVERAGE(OFFSET($H$3,0,0,'Données projet'!$E$12+1,1))</f>
        <v>211.18501783767226</v>
      </c>
      <c r="CE131" s="59">
        <f t="shared" si="94"/>
        <v>147.98306963466246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0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5.2446581196581219</v>
      </c>
      <c r="CT131" s="12">
        <f>IF('Données projet'!$A$140&gt;35,CT130+CS131-DB130,IF(A131&lt;'Données projet'!$A$140,$CQ$205^A131,IF(A131='Données projet'!$A$140,'Données projet'!$B$140,CT130+CS131-DB130)))</f>
        <v>245.86858974358927</v>
      </c>
      <c r="CU131" s="17">
        <f>CT131*VLOOKUP('Données projet'!$B$13,Paramètres!$A$1:$I$89,3,0)*VLOOKUP('Données projet'!$B$13,Paramètres!$A$1:$I$89,5,0)</f>
        <v>264.65294999999946</v>
      </c>
      <c r="CV131" s="13">
        <f t="shared" si="95"/>
        <v>63.713172655326758</v>
      </c>
      <c r="CW131" s="20">
        <f t="shared" si="67"/>
        <v>571.90433029135977</v>
      </c>
      <c r="CX131" s="59">
        <f t="shared" si="68"/>
        <v>865.23766362469314</v>
      </c>
      <c r="CY131" s="59">
        <f ca="1">AVERAGE(OFFSET($CX$3,0,0,'Données projet'!$E$13+1,1))-AVERAGE(OFFSET($H$3,0,0,'Données projet'!$E$13+1,1))</f>
        <v>211.18501783767226</v>
      </c>
      <c r="CZ131" s="59">
        <f t="shared" si="96"/>
        <v>147.98306963466246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0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-1.3596945791505279E-13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182.25704762953387</v>
      </c>
      <c r="T132" s="59">
        <f t="shared" si="88"/>
        <v>265.61788177751134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0.70345899556525049</v>
      </c>
      <c r="AA132" s="21">
        <f>EXP(-LN(2)/25)*AA131+(1-EXP(-LN(2)/25))/(LN(2)/25)*Calculateur!V132*Calculateur!X132*VLOOKUP('Données projet'!$B$9,Paramètres!$A$1:$I$89,3,0)*0.475*44/12</f>
        <v>1.1007129959950188</v>
      </c>
      <c r="AB132" s="21">
        <f>EXP(-LN(2)/2)*AB131+(1-EXP(-LN(2)/2))/(LN(2)/2)*V132*Y132*VLOOKUP('Données projet'!$B$9,Paramètres!$A$1:$I$89,3,0)*0.475*44/12</f>
        <v>3.7052949231146972E-15</v>
      </c>
      <c r="AC132" s="22">
        <f t="shared" ref="AC132:AC153" si="111">SUM(Z132:AB132)</f>
        <v>1.804171991560273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1.5064102564102591</v>
      </c>
      <c r="AI132" s="13">
        <f>IF('Données projet'!$A$62&gt;35,AI131+AH132-AQ131,IF(A132&lt;'Données projet'!$A$62,$AF$205^A132,IF(A132='Données projet'!$A$62,'Données projet'!$B$62,AI131+AH132-AQ131)))</f>
        <v>107.89743589743634</v>
      </c>
      <c r="AJ132" s="13">
        <f>AI132*VLOOKUP('Données projet'!$B$10,Paramètres!$A$1:$I$89,3,0)*VLOOKUP('Données projet'!$B$10,Paramètres!$A$1:$I$89,5,0)</f>
        <v>109.40800000000046</v>
      </c>
      <c r="AK132" s="13">
        <f t="shared" si="89"/>
        <v>29.191460979261116</v>
      </c>
      <c r="AL132" s="20">
        <f t="shared" ref="AL132:AL153" si="112">(AJ132+AK132)*0.475*44/12</f>
        <v>241.39406120554722</v>
      </c>
      <c r="AM132" s="59">
        <f t="shared" ref="AM132:AM195" si="113">AL132+(AD132+AE132)*44/12</f>
        <v>534.7273945388805</v>
      </c>
      <c r="AN132" s="59">
        <f ca="1">AVERAGE(OFFSET($AM$3,0,0,'Données projet'!$E$10+1,1))-AVERAGE(OFFSET($H$3,0,0,'Données projet'!$E$10+1,1))</f>
        <v>263.15518481854753</v>
      </c>
      <c r="AO132" s="59">
        <f t="shared" si="90"/>
        <v>210.80755370263819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275.99999999999972</v>
      </c>
      <c r="BE132" s="13">
        <f>BD132*VLOOKUP('Données projet'!$B$11,Paramètres!$A$1:$I$89,3,0)*VLOOKUP('Données projet'!$B$11,Paramètres!$A$1:$I$89,5,0)</f>
        <v>223.8911999999998</v>
      </c>
      <c r="BF132" s="13">
        <f t="shared" si="91"/>
        <v>54.95975389514858</v>
      </c>
      <c r="BG132" s="20">
        <f t="shared" ref="BG132:BG153" si="115">(BE132+BF132)*0.475*44/12</f>
        <v>485.66541136738346</v>
      </c>
      <c r="BH132" s="59">
        <f t="shared" ref="BH132:BH195" si="116">BG132+(AY132+AZ132)*44/12</f>
        <v>778.99874470071677</v>
      </c>
      <c r="BI132" s="59">
        <f ca="1">AVERAGE(OFFSET($BH$3,0,0,'Données projet'!$E$11+1,1))-AVERAGE(OFFSET($H$3,0,0,'Données projet'!$E$11+1,1))</f>
        <v>203.21935660591021</v>
      </c>
      <c r="BJ132" s="59">
        <f t="shared" si="92"/>
        <v>180.54762778843178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0.14113411719543414</v>
      </c>
      <c r="BQ132" s="21">
        <f>EXP(-LN(2)/25)*BQ131+(1-EXP(-LN(2)/25))/(LN(2)/25)*Calculateur!BL132*Calculateur!BN132*VLOOKUP('Données projet'!$B$11,Paramètres!$A$1:$I$89,3,0)*0.475*44/12</f>
        <v>0.37292907482779397</v>
      </c>
      <c r="BR132" s="21">
        <f>EXP(-LN(2)/2)*BR131+(1-EXP(-LN(2)/2))/(LN(2)/2)*BL132*BO132*VLOOKUP('Données projet'!$B$11,Paramètres!$A$1:$I$89,3,0)*0.475*44/12</f>
        <v>1.1383402096702987E-14</v>
      </c>
      <c r="BS132" s="22">
        <f t="shared" ref="BS132:BS153" si="117">SUM(BP132:BR132)</f>
        <v>0.51406319202323958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5.2446581196581219</v>
      </c>
      <c r="BY132" s="12">
        <f>IF('Données projet'!$A$114&gt;35,BY131+BX132-CG131,IF(A132&lt;'Données projet'!$A$114,$BV$205^A132,IF(A132='Données projet'!$A$114,'Données projet'!$B$114,BY131+BX132-CG131)))</f>
        <v>251.11324786324738</v>
      </c>
      <c r="BZ132" s="13">
        <f>BY132*VLOOKUP('Données projet'!$B$12,Paramètres!$A$1:$I$89,3,0)*VLOOKUP('Données projet'!$B$12,Paramètres!$A$1:$I$89,5,0)</f>
        <v>270.29829999999947</v>
      </c>
      <c r="CA132" s="13">
        <f t="shared" si="93"/>
        <v>64.912572007457499</v>
      </c>
      <c r="CB132" s="20">
        <f t="shared" ref="CB132:CB153" si="118">(BZ132+CA132)*0.475*44/12</f>
        <v>583.82560207965423</v>
      </c>
      <c r="CC132" s="59">
        <f t="shared" ref="CC132:CC195" si="119">CB132+(BT132+BU132)*44/12</f>
        <v>877.1589354129876</v>
      </c>
      <c r="CD132" s="59">
        <f ca="1">AVERAGE(OFFSET($CC$3,0,0,'Données projet'!$E$12+1,1))-AVERAGE(OFFSET($H$3,0,0,'Données projet'!$E$12+1,1))</f>
        <v>211.18501783767226</v>
      </c>
      <c r="CE132" s="59">
        <f t="shared" si="94"/>
        <v>147.98306963466246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0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5.2446581196581219</v>
      </c>
      <c r="CT132" s="12">
        <f>IF('Données projet'!$A$140&gt;35,CT131+CS132-DB131,IF(A132&lt;'Données projet'!$A$140,$CQ$205^A132,IF(A132='Données projet'!$A$140,'Données projet'!$B$140,CT131+CS132-DB131)))</f>
        <v>251.11324786324738</v>
      </c>
      <c r="CU132" s="17">
        <f>CT132*VLOOKUP('Données projet'!$B$13,Paramètres!$A$1:$I$89,3,0)*VLOOKUP('Données projet'!$B$13,Paramètres!$A$1:$I$89,5,0)</f>
        <v>270.29829999999947</v>
      </c>
      <c r="CV132" s="13">
        <f t="shared" si="95"/>
        <v>64.912572007457499</v>
      </c>
      <c r="CW132" s="20">
        <f t="shared" ref="CW132:CW153" si="121">(CU132+CV132)*0.475*44/12</f>
        <v>583.82560207965423</v>
      </c>
      <c r="CX132" s="59">
        <f t="shared" ref="CX132:CX195" si="122">CW132+(CO132+CP132)*44/12</f>
        <v>877.1589354129876</v>
      </c>
      <c r="CY132" s="59">
        <f ca="1">AVERAGE(OFFSET($CX$3,0,0,'Données projet'!$E$13+1,1))-AVERAGE(OFFSET($H$3,0,0,'Données projet'!$E$13+1,1))</f>
        <v>211.18501783767226</v>
      </c>
      <c r="CZ132" s="59">
        <f t="shared" si="96"/>
        <v>147.98306963466246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0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-1.3596945791505279E-13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182.25704762953387</v>
      </c>
      <c r="T133" s="59">
        <f t="shared" ref="T133:T196" si="142">$T$3</f>
        <v>265.61788177751134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0.68966459372983635</v>
      </c>
      <c r="AA133" s="21">
        <f>EXP(-LN(2)/25)*AA132+(1-EXP(-LN(2)/25))/(LN(2)/25)*Calculateur!V133*Calculateur!X133*VLOOKUP('Données projet'!$B$9,Paramètres!$A$1:$I$89,3,0)*0.475*44/12</f>
        <v>1.0706139412355542</v>
      </c>
      <c r="AB133" s="21">
        <f>EXP(-LN(2)/2)*AB132+(1-EXP(-LN(2)/2))/(LN(2)/2)*V133*Y133*VLOOKUP('Données projet'!$B$9,Paramètres!$A$1:$I$89,3,0)*0.475*44/12</f>
        <v>2.6200391664304896E-15</v>
      </c>
      <c r="AC133" s="22">
        <f t="shared" si="111"/>
        <v>1.7602785349653933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1.5064102564102591</v>
      </c>
      <c r="AI133" s="13">
        <f>IF('Données projet'!$A$62&gt;35,AI132+AH133-AQ132,IF(A133&lt;'Données projet'!$A$62,$AF$205^A133,IF(A133='Données projet'!$A$62,'Données projet'!$B$62,AI132+AH133-AQ132)))</f>
        <v>109.4038461538466</v>
      </c>
      <c r="AJ133" s="13">
        <f>AI133*VLOOKUP('Données projet'!$B$10,Paramètres!$A$1:$I$89,3,0)*VLOOKUP('Données projet'!$B$10,Paramètres!$A$1:$I$89,5,0)</f>
        <v>110.93550000000046</v>
      </c>
      <c r="AK133" s="13">
        <f t="shared" ref="AK133:AK153" si="143">EXP(-1.0587+0.8836*LN(AJ133)+0.284)</f>
        <v>29.55128691723468</v>
      </c>
      <c r="AL133" s="20">
        <f t="shared" si="112"/>
        <v>244.68115388085121</v>
      </c>
      <c r="AM133" s="59">
        <f t="shared" si="113"/>
        <v>538.01448721418456</v>
      </c>
      <c r="AN133" s="59">
        <f ca="1">AVERAGE(OFFSET($AM$3,0,0,'Données projet'!$E$10+1,1))-AVERAGE(OFFSET($H$3,0,0,'Données projet'!$E$10+1,1))</f>
        <v>263.15518481854753</v>
      </c>
      <c r="AO133" s="59">
        <f t="shared" ref="AO133:AO196" si="144">$AO$3</f>
        <v>210.80755370263819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275.99999999999972</v>
      </c>
      <c r="BE133" s="13">
        <f>BD133*VLOOKUP('Données projet'!$B$11,Paramètres!$A$1:$I$89,3,0)*VLOOKUP('Données projet'!$B$11,Paramètres!$A$1:$I$89,5,0)</f>
        <v>223.8911999999998</v>
      </c>
      <c r="BF133" s="13">
        <f t="shared" ref="BF133:BF153" si="145">EXP(-1.0587+0.8836*LN(BE133)+0.284)</f>
        <v>54.95975389514858</v>
      </c>
      <c r="BG133" s="20">
        <f t="shared" si="115"/>
        <v>485.66541136738346</v>
      </c>
      <c r="BH133" s="59">
        <f t="shared" si="116"/>
        <v>778.99874470071677</v>
      </c>
      <c r="BI133" s="59">
        <f ca="1">AVERAGE(OFFSET($BH$3,0,0,'Données projet'!$E$11+1,1))-AVERAGE(OFFSET($H$3,0,0,'Données projet'!$E$11+1,1))</f>
        <v>203.21935660591021</v>
      </c>
      <c r="BJ133" s="59">
        <f t="shared" ref="BJ133:BJ196" si="146">$BJ$3</f>
        <v>180.54762778843178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0.13836656324054314</v>
      </c>
      <c r="BQ133" s="21">
        <f>EXP(-LN(2)/25)*BQ132+(1-EXP(-LN(2)/25))/(LN(2)/25)*Calculateur!BL133*Calculateur!BN133*VLOOKUP('Données projet'!$B$11,Paramètres!$A$1:$I$89,3,0)*0.475*44/12</f>
        <v>0.36273130966514022</v>
      </c>
      <c r="BR133" s="21">
        <f>EXP(-LN(2)/2)*BR132+(1-EXP(-LN(2)/2))/(LN(2)/2)*BL133*BO133*VLOOKUP('Données projet'!$B$11,Paramètres!$A$1:$I$89,3,0)*0.475*44/12</f>
        <v>8.0492808155518449E-15</v>
      </c>
      <c r="BS133" s="22">
        <f t="shared" si="117"/>
        <v>0.50109787290569152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5.2446581196581219</v>
      </c>
      <c r="BY133" s="12">
        <f>IF('Données projet'!$A$114&gt;35,BY132+BX133-CG132,IF(A133&lt;'Données projet'!$A$114,$BV$205^A133,IF(A133='Données projet'!$A$114,'Données projet'!$B$114,BY132+BX133-CG132)))</f>
        <v>256.35790598290549</v>
      </c>
      <c r="BZ133" s="13">
        <f>BY133*VLOOKUP('Données projet'!$B$12,Paramètres!$A$1:$I$89,3,0)*VLOOKUP('Données projet'!$B$12,Paramètres!$A$1:$I$89,5,0)</f>
        <v>275.94364999999948</v>
      </c>
      <c r="CA133" s="13">
        <f t="shared" ref="CA133:CA153" si="147">EXP(-1.0587+0.8836*LN(BZ133)+0.284)</f>
        <v>66.10905883280887</v>
      </c>
      <c r="CB133" s="20">
        <f t="shared" si="118"/>
        <v>595.74180121714119</v>
      </c>
      <c r="CC133" s="59">
        <f t="shared" si="119"/>
        <v>889.07513455047456</v>
      </c>
      <c r="CD133" s="59">
        <f ca="1">AVERAGE(OFFSET($CC$3,0,0,'Données projet'!$E$12+1,1))-AVERAGE(OFFSET($H$3,0,0,'Données projet'!$E$12+1,1))</f>
        <v>211.18501783767226</v>
      </c>
      <c r="CE133" s="59">
        <f t="shared" ref="CE133:CE196" si="148">$CE$3</f>
        <v>147.98306963466246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0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5.2446581196581219</v>
      </c>
      <c r="CT133" s="12">
        <f>IF('Données projet'!$A$140&gt;35,CT132+CS133-DB132,IF(A133&lt;'Données projet'!$A$140,$CQ$205^A133,IF(A133='Données projet'!$A$140,'Données projet'!$B$140,CT132+CS133-DB132)))</f>
        <v>256.35790598290549</v>
      </c>
      <c r="CU133" s="17">
        <f>CT133*VLOOKUP('Données projet'!$B$13,Paramètres!$A$1:$I$89,3,0)*VLOOKUP('Données projet'!$B$13,Paramètres!$A$1:$I$89,5,0)</f>
        <v>275.94364999999948</v>
      </c>
      <c r="CV133" s="13">
        <f t="shared" ref="CV133:CV153" si="149">EXP(-1.0587+0.8836*LN(CU133)+0.284)</f>
        <v>66.10905883280887</v>
      </c>
      <c r="CW133" s="20">
        <f t="shared" si="121"/>
        <v>595.74180121714119</v>
      </c>
      <c r="CX133" s="59">
        <f t="shared" si="122"/>
        <v>889.07513455047456</v>
      </c>
      <c r="CY133" s="59">
        <f ca="1">AVERAGE(OFFSET($CX$3,0,0,'Données projet'!$E$13+1,1))-AVERAGE(OFFSET($H$3,0,0,'Données projet'!$E$13+1,1))</f>
        <v>211.18501783767226</v>
      </c>
      <c r="CZ133" s="59">
        <f t="shared" ref="CZ133:CZ196" si="150">$CZ$3</f>
        <v>147.98306963466246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0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-1.3596945791505279E-13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182.25704762953387</v>
      </c>
      <c r="T134" s="59">
        <f t="shared" si="142"/>
        <v>265.61788177751134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0.67614069170066027</v>
      </c>
      <c r="AA134" s="21">
        <f>EXP(-LN(2)/25)*AA133+(1-EXP(-LN(2)/25))/(LN(2)/25)*Calculateur!V134*Calculateur!X134*VLOOKUP('Données projet'!$B$9,Paramètres!$A$1:$I$89,3,0)*0.475*44/12</f>
        <v>1.0413379467113277</v>
      </c>
      <c r="AB134" s="21">
        <f>EXP(-LN(2)/2)*AB133+(1-EXP(-LN(2)/2))/(LN(2)/2)*V134*Y134*VLOOKUP('Données projet'!$B$9,Paramètres!$A$1:$I$89,3,0)*0.475*44/12</f>
        <v>1.8526474615573486E-15</v>
      </c>
      <c r="AC134" s="22">
        <f t="shared" si="111"/>
        <v>1.7174786384119898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>
        <f>VLOOKUP(A134,'Données projet'!$A$61:$I$81,2,0)</f>
        <v>110.91025641025641</v>
      </c>
      <c r="AG134" s="12">
        <f>VLOOKUP(A134,'Données projet'!$A$61:$I$81,9,0)</f>
        <v>1.5064102564102591</v>
      </c>
      <c r="AH134" s="12">
        <f t="array" ref="AH134">INDEX(AG:AG,MIN(IF(ISNUMBER(AG134:AG330),ROW(AG134:AG330),"")))</f>
        <v>1.5064102564102591</v>
      </c>
      <c r="AI134" s="13">
        <f>IF('Données projet'!$A$62&gt;35,AI133+AH134-AQ133,IF(A134&lt;'Données projet'!$A$62,$AF$205^A134,IF(A134='Données projet'!$A$62,'Données projet'!$B$62,AI133+AH134-AQ133)))</f>
        <v>110.91025641025686</v>
      </c>
      <c r="AJ134" s="13">
        <f>AI134*VLOOKUP('Données projet'!$B$10,Paramètres!$A$1:$I$89,3,0)*VLOOKUP('Données projet'!$B$10,Paramètres!$A$1:$I$89,5,0)</f>
        <v>112.46300000000048</v>
      </c>
      <c r="AK134" s="13">
        <f t="shared" si="143"/>
        <v>29.910536589672532</v>
      </c>
      <c r="AL134" s="20">
        <f t="shared" si="112"/>
        <v>247.96724289368044</v>
      </c>
      <c r="AM134" s="59">
        <f t="shared" si="113"/>
        <v>541.30057622701372</v>
      </c>
      <c r="AN134" s="59">
        <f ca="1">AVERAGE(OFFSET($AM$3,0,0,'Données projet'!$E$10+1,1))-AVERAGE(OFFSET($H$3,0,0,'Données projet'!$E$10+1,1))</f>
        <v>263.15518481854753</v>
      </c>
      <c r="AO134" s="59">
        <f t="shared" si="144"/>
        <v>210.80755370263819</v>
      </c>
      <c r="AP134" s="15">
        <f>IF(ISNA(VLOOKUP(A134,'Données projet'!$A$61:$I$81,3,0)),0,VLOOKUP(A134,'Données projet'!$A$61:$I$81,3,0))</f>
        <v>14</v>
      </c>
      <c r="AQ134" s="15">
        <f>IF(ISNA(VLOOKUP(A134,'Données projet'!$A$61:$I$81,4,0)),0,VLOOKUP(A134,'Données projet'!$A$61:$I$81,4,0))</f>
        <v>110.91025641025641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275.99999999999972</v>
      </c>
      <c r="BE134" s="13">
        <f>BD134*VLOOKUP('Données projet'!$B$11,Paramètres!$A$1:$I$89,3,0)*VLOOKUP('Données projet'!$B$11,Paramètres!$A$1:$I$89,5,0)</f>
        <v>223.8911999999998</v>
      </c>
      <c r="BF134" s="13">
        <f t="shared" si="145"/>
        <v>54.95975389514858</v>
      </c>
      <c r="BG134" s="20">
        <f t="shared" si="115"/>
        <v>485.66541136738346</v>
      </c>
      <c r="BH134" s="59">
        <f t="shared" si="116"/>
        <v>778.99874470071677</v>
      </c>
      <c r="BI134" s="59">
        <f ca="1">AVERAGE(OFFSET($BH$3,0,0,'Données projet'!$E$11+1,1))-AVERAGE(OFFSET($H$3,0,0,'Données projet'!$E$11+1,1))</f>
        <v>203.21935660591021</v>
      </c>
      <c r="BJ134" s="59">
        <f t="shared" si="146"/>
        <v>180.54762778843178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0.13565327933066632</v>
      </c>
      <c r="BQ134" s="21">
        <f>EXP(-LN(2)/25)*BQ133+(1-EXP(-LN(2)/25))/(LN(2)/25)*Calculateur!BL134*Calculateur!BN134*VLOOKUP('Données projet'!$B$11,Paramètres!$A$1:$I$89,3,0)*0.475*44/12</f>
        <v>0.35281240292713645</v>
      </c>
      <c r="BR134" s="21">
        <f>EXP(-LN(2)/2)*BR133+(1-EXP(-LN(2)/2))/(LN(2)/2)*BL134*BO134*VLOOKUP('Données projet'!$B$11,Paramètres!$A$1:$I$89,3,0)*0.475*44/12</f>
        <v>5.6917010483514933E-15</v>
      </c>
      <c r="BS134" s="22">
        <f t="shared" si="117"/>
        <v>0.48846568225780845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5.2446581196581219</v>
      </c>
      <c r="BY134" s="12">
        <f>IF('Données projet'!$A$114&gt;35,BY133+BX134-CG133,IF(A134&lt;'Données projet'!$A$114,$BV$205^A134,IF(A134='Données projet'!$A$114,'Données projet'!$B$114,BY133+BX134-CG133)))</f>
        <v>261.60256410256363</v>
      </c>
      <c r="BZ134" s="13">
        <f>BY134*VLOOKUP('Données projet'!$B$12,Paramètres!$A$1:$I$89,3,0)*VLOOKUP('Données projet'!$B$12,Paramètres!$A$1:$I$89,5,0)</f>
        <v>281.58899999999949</v>
      </c>
      <c r="CA134" s="13">
        <f t="shared" si="147"/>
        <v>67.302699582818846</v>
      </c>
      <c r="CB134" s="20">
        <f t="shared" si="118"/>
        <v>607.65304344007518</v>
      </c>
      <c r="CC134" s="59">
        <f t="shared" si="119"/>
        <v>900.98637677340844</v>
      </c>
      <c r="CD134" s="59">
        <f ca="1">AVERAGE(OFFSET($CC$3,0,0,'Données projet'!$E$12+1,1))-AVERAGE(OFFSET($H$3,0,0,'Données projet'!$E$12+1,1))</f>
        <v>211.18501783767226</v>
      </c>
      <c r="CE134" s="59">
        <f t="shared" si="148"/>
        <v>147.98306963466246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0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5.2446581196581219</v>
      </c>
      <c r="CT134" s="12">
        <f>IF('Données projet'!$A$140&gt;35,CT133+CS134-DB133,IF(A134&lt;'Données projet'!$A$140,$CQ$205^A134,IF(A134='Données projet'!$A$140,'Données projet'!$B$140,CT133+CS134-DB133)))</f>
        <v>261.60256410256363</v>
      </c>
      <c r="CU134" s="17">
        <f>CT134*VLOOKUP('Données projet'!$B$13,Paramètres!$A$1:$I$89,3,0)*VLOOKUP('Données projet'!$B$13,Paramètres!$A$1:$I$89,5,0)</f>
        <v>281.58899999999949</v>
      </c>
      <c r="CV134" s="13">
        <f t="shared" si="149"/>
        <v>67.302699582818846</v>
      </c>
      <c r="CW134" s="20">
        <f t="shared" si="121"/>
        <v>607.65304344007518</v>
      </c>
      <c r="CX134" s="59">
        <f t="shared" si="122"/>
        <v>900.98637677340844</v>
      </c>
      <c r="CY134" s="59">
        <f ca="1">AVERAGE(OFFSET($CX$3,0,0,'Données projet'!$E$13+1,1))-AVERAGE(OFFSET($H$3,0,0,'Données projet'!$E$13+1,1))</f>
        <v>211.18501783767226</v>
      </c>
      <c r="CZ134" s="59">
        <f t="shared" si="150"/>
        <v>147.98306963466246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0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-1.3596945791505279E-13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182.25704762953387</v>
      </c>
      <c r="T135" s="59">
        <f t="shared" si="142"/>
        <v>265.61788177751134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0.66288198514151064</v>
      </c>
      <c r="AA135" s="21">
        <f>EXP(-LN(2)/25)*AA134+(1-EXP(-LN(2)/25))/(LN(2)/25)*Calculateur!V135*Calculateur!X135*VLOOKUP('Données projet'!$B$9,Paramètres!$A$1:$I$89,3,0)*0.475*44/12</f>
        <v>1.0128625057969238</v>
      </c>
      <c r="AB135" s="21">
        <f>EXP(-LN(2)/2)*AB134+(1-EXP(-LN(2)/2))/(LN(2)/2)*V135*Y135*VLOOKUP('Données projet'!$B$9,Paramètres!$A$1:$I$89,3,0)*0.475*44/12</f>
        <v>1.3100195832152448E-15</v>
      </c>
      <c r="AC135" s="22">
        <f t="shared" si="111"/>
        <v>1.6757444909384358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4.5474735088646412E-13</v>
      </c>
      <c r="AJ135" s="13">
        <f>AI135*VLOOKUP('Données projet'!$B$10,Paramètres!$A$1:$I$89,3,0)*VLOOKUP('Données projet'!$B$10,Paramètres!$A$1:$I$89,5,0)</f>
        <v>4.6111381379887462E-13</v>
      </c>
      <c r="AK135" s="13">
        <f t="shared" si="143"/>
        <v>5.7981965206434308E-12</v>
      </c>
      <c r="AL135" s="20">
        <f t="shared" si="112"/>
        <v>1.0901632165820347E-11</v>
      </c>
      <c r="AM135" s="59">
        <f t="shared" si="113"/>
        <v>293.33333333334423</v>
      </c>
      <c r="AN135" s="59">
        <f ca="1">AVERAGE(OFFSET($AM$3,0,0,'Données projet'!$E$10+1,1))-AVERAGE(OFFSET($H$3,0,0,'Données projet'!$E$10+1,1))</f>
        <v>263.15518481854753</v>
      </c>
      <c r="AO135" s="59">
        <f t="shared" si="144"/>
        <v>210.80755370263819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275.99999999999972</v>
      </c>
      <c r="BE135" s="13">
        <f>BD135*VLOOKUP('Données projet'!$B$11,Paramètres!$A$1:$I$89,3,0)*VLOOKUP('Données projet'!$B$11,Paramètres!$A$1:$I$89,5,0)</f>
        <v>223.8911999999998</v>
      </c>
      <c r="BF135" s="13">
        <f t="shared" si="145"/>
        <v>54.95975389514858</v>
      </c>
      <c r="BG135" s="20">
        <f t="shared" si="115"/>
        <v>485.66541136738346</v>
      </c>
      <c r="BH135" s="59">
        <f t="shared" si="116"/>
        <v>778.99874470071677</v>
      </c>
      <c r="BI135" s="59">
        <f ca="1">AVERAGE(OFFSET($BH$3,0,0,'Données projet'!$E$11+1,1))-AVERAGE(OFFSET($H$3,0,0,'Données projet'!$E$11+1,1))</f>
        <v>203.21935660591021</v>
      </c>
      <c r="BJ135" s="59">
        <f t="shared" si="146"/>
        <v>180.54762778843178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0.13299320126332242</v>
      </c>
      <c r="BQ135" s="21">
        <f>EXP(-LN(2)/25)*BQ134+(1-EXP(-LN(2)/25))/(LN(2)/25)*Calculateur!BL135*Calculateur!BN135*VLOOKUP('Données projet'!$B$11,Paramètres!$A$1:$I$89,3,0)*0.475*44/12</f>
        <v>0.34316472921549601</v>
      </c>
      <c r="BR135" s="21">
        <f>EXP(-LN(2)/2)*BR134+(1-EXP(-LN(2)/2))/(LN(2)/2)*BL135*BO135*VLOOKUP('Données projet'!$B$11,Paramètres!$A$1:$I$89,3,0)*0.475*44/12</f>
        <v>4.0246404077759224E-15</v>
      </c>
      <c r="BS135" s="22">
        <f t="shared" si="117"/>
        <v>0.47615793047882249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5.2446581196581219</v>
      </c>
      <c r="BY135" s="12">
        <f>IF('Données projet'!$A$114&gt;35,BY134+BX135-CG134,IF(A135&lt;'Données projet'!$A$114,$BV$205^A135,IF(A135='Données projet'!$A$114,'Données projet'!$B$114,BY134+BX135-CG134)))</f>
        <v>266.84722222222177</v>
      </c>
      <c r="BZ135" s="13">
        <f>BY135*VLOOKUP('Données projet'!$B$12,Paramètres!$A$1:$I$89,3,0)*VLOOKUP('Données projet'!$B$12,Paramètres!$A$1:$I$89,5,0)</f>
        <v>287.23434999999949</v>
      </c>
      <c r="CA135" s="13">
        <f t="shared" si="147"/>
        <v>68.493557892112591</v>
      </c>
      <c r="CB135" s="20">
        <f t="shared" si="118"/>
        <v>619.55943957876173</v>
      </c>
      <c r="CC135" s="59">
        <f t="shared" si="119"/>
        <v>912.8927729120951</v>
      </c>
      <c r="CD135" s="59">
        <f ca="1">AVERAGE(OFFSET($CC$3,0,0,'Données projet'!$E$12+1,1))-AVERAGE(OFFSET($H$3,0,0,'Données projet'!$E$12+1,1))</f>
        <v>211.18501783767226</v>
      </c>
      <c r="CE135" s="59">
        <f t="shared" si="148"/>
        <v>147.98306963466246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0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5.2446581196581219</v>
      </c>
      <c r="CT135" s="12">
        <f>IF('Données projet'!$A$140&gt;35,CT134+CS135-DB134,IF(A135&lt;'Données projet'!$A$140,$CQ$205^A135,IF(A135='Données projet'!$A$140,'Données projet'!$B$140,CT134+CS135-DB134)))</f>
        <v>266.84722222222177</v>
      </c>
      <c r="CU135" s="17">
        <f>CT135*VLOOKUP('Données projet'!$B$13,Paramètres!$A$1:$I$89,3,0)*VLOOKUP('Données projet'!$B$13,Paramètres!$A$1:$I$89,5,0)</f>
        <v>287.23434999999949</v>
      </c>
      <c r="CV135" s="13">
        <f t="shared" si="149"/>
        <v>68.493557892112591</v>
      </c>
      <c r="CW135" s="20">
        <f t="shared" si="121"/>
        <v>619.55943957876173</v>
      </c>
      <c r="CX135" s="59">
        <f t="shared" si="122"/>
        <v>912.8927729120951</v>
      </c>
      <c r="CY135" s="59">
        <f ca="1">AVERAGE(OFFSET($CX$3,0,0,'Données projet'!$E$13+1,1))-AVERAGE(OFFSET($H$3,0,0,'Données projet'!$E$13+1,1))</f>
        <v>211.18501783767226</v>
      </c>
      <c r="CZ135" s="59">
        <f t="shared" si="150"/>
        <v>147.98306963466246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0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-1.3596945791505279E-13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182.25704762953387</v>
      </c>
      <c r="T136" s="59">
        <f t="shared" si="142"/>
        <v>265.61788177751134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0.64988327373097343</v>
      </c>
      <c r="AA136" s="21">
        <f>EXP(-LN(2)/25)*AA135+(1-EXP(-LN(2)/25))/(LN(2)/25)*Calculateur!V136*Calculateur!X136*VLOOKUP('Données projet'!$B$9,Paramètres!$A$1:$I$89,3,0)*0.475*44/12</f>
        <v>0.98516572731178265</v>
      </c>
      <c r="AB136" s="21">
        <f>EXP(-LN(2)/2)*AB135+(1-EXP(-LN(2)/2))/(LN(2)/2)*V136*Y136*VLOOKUP('Données projet'!$B$9,Paramètres!$A$1:$I$89,3,0)*0.475*44/12</f>
        <v>9.263237307786743E-16</v>
      </c>
      <c r="AC136" s="22">
        <f t="shared" si="111"/>
        <v>1.635049001042757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4.5474735088646412E-13</v>
      </c>
      <c r="AJ136" s="13">
        <f>AI136*VLOOKUP('Données projet'!$B$10,Paramètres!$A$1:$I$89,3,0)*VLOOKUP('Données projet'!$B$10,Paramètres!$A$1:$I$89,5,0)</f>
        <v>4.6111381379887462E-13</v>
      </c>
      <c r="AK136" s="13">
        <f t="shared" si="143"/>
        <v>5.7981965206434308E-12</v>
      </c>
      <c r="AL136" s="20">
        <f t="shared" si="112"/>
        <v>1.0901632165820347E-11</v>
      </c>
      <c r="AM136" s="59">
        <f t="shared" si="113"/>
        <v>293.33333333334423</v>
      </c>
      <c r="AN136" s="59">
        <f ca="1">AVERAGE(OFFSET($AM$3,0,0,'Données projet'!$E$10+1,1))-AVERAGE(OFFSET($H$3,0,0,'Données projet'!$E$10+1,1))</f>
        <v>263.15518481854753</v>
      </c>
      <c r="AO136" s="59">
        <f t="shared" si="144"/>
        <v>210.80755370263819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275.99999999999972</v>
      </c>
      <c r="BE136" s="13">
        <f>BD136*VLOOKUP('Données projet'!$B$11,Paramètres!$A$1:$I$89,3,0)*VLOOKUP('Données projet'!$B$11,Paramètres!$A$1:$I$89,5,0)</f>
        <v>223.8911999999998</v>
      </c>
      <c r="BF136" s="13">
        <f t="shared" si="145"/>
        <v>54.95975389514858</v>
      </c>
      <c r="BG136" s="20">
        <f t="shared" si="115"/>
        <v>485.66541136738346</v>
      </c>
      <c r="BH136" s="59">
        <f t="shared" si="116"/>
        <v>778.99874470071677</v>
      </c>
      <c r="BI136" s="59">
        <f ca="1">AVERAGE(OFFSET($BH$3,0,0,'Données projet'!$E$11+1,1))-AVERAGE(OFFSET($H$3,0,0,'Données projet'!$E$11+1,1))</f>
        <v>203.21935660591021</v>
      </c>
      <c r="BJ136" s="59">
        <f t="shared" si="146"/>
        <v>180.54762778843178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0.13038528570439173</v>
      </c>
      <c r="BQ136" s="21">
        <f>EXP(-LN(2)/25)*BQ135+(1-EXP(-LN(2)/25))/(LN(2)/25)*Calculateur!BL136*Calculateur!BN136*VLOOKUP('Données projet'!$B$11,Paramètres!$A$1:$I$89,3,0)*0.475*44/12</f>
        <v>0.33378087164884945</v>
      </c>
      <c r="BR136" s="21">
        <f>EXP(-LN(2)/2)*BR135+(1-EXP(-LN(2)/2))/(LN(2)/2)*BL136*BO136*VLOOKUP('Données projet'!$B$11,Paramètres!$A$1:$I$89,3,0)*0.475*44/12</f>
        <v>2.8458505241757466E-15</v>
      </c>
      <c r="BS136" s="22">
        <f t="shared" si="117"/>
        <v>0.46416615735324401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5.2446581196581219</v>
      </c>
      <c r="BY136" s="12">
        <f>IF('Données projet'!$A$114&gt;35,BY135+BX136-CG135,IF(A136&lt;'Données projet'!$A$114,$BV$205^A136,IF(A136='Données projet'!$A$114,'Données projet'!$B$114,BY135+BX136-CG135)))</f>
        <v>272.09188034187991</v>
      </c>
      <c r="BZ136" s="13">
        <f>BY136*VLOOKUP('Données projet'!$B$12,Paramètres!$A$1:$I$89,3,0)*VLOOKUP('Données projet'!$B$12,Paramètres!$A$1:$I$89,5,0)</f>
        <v>292.8796999999995</v>
      </c>
      <c r="CA136" s="13">
        <f t="shared" si="147"/>
        <v>69.68169475088024</v>
      </c>
      <c r="CB136" s="20">
        <f t="shared" si="118"/>
        <v>631.4610958577822</v>
      </c>
      <c r="CC136" s="59">
        <f t="shared" si="119"/>
        <v>924.79442919111557</v>
      </c>
      <c r="CD136" s="59">
        <f ca="1">AVERAGE(OFFSET($CC$3,0,0,'Données projet'!$E$12+1,1))-AVERAGE(OFFSET($H$3,0,0,'Données projet'!$E$12+1,1))</f>
        <v>211.18501783767226</v>
      </c>
      <c r="CE136" s="59">
        <f t="shared" si="148"/>
        <v>147.98306963466246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0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5.2446581196581219</v>
      </c>
      <c r="CT136" s="12">
        <f>IF('Données projet'!$A$140&gt;35,CT135+CS136-DB135,IF(A136&lt;'Données projet'!$A$140,$CQ$205^A136,IF(A136='Données projet'!$A$140,'Données projet'!$B$140,CT135+CS136-DB135)))</f>
        <v>272.09188034187991</v>
      </c>
      <c r="CU136" s="17">
        <f>CT136*VLOOKUP('Données projet'!$B$13,Paramètres!$A$1:$I$89,3,0)*VLOOKUP('Données projet'!$B$13,Paramètres!$A$1:$I$89,5,0)</f>
        <v>292.8796999999995</v>
      </c>
      <c r="CV136" s="13">
        <f t="shared" si="149"/>
        <v>69.68169475088024</v>
      </c>
      <c r="CW136" s="20">
        <f t="shared" si="121"/>
        <v>631.4610958577822</v>
      </c>
      <c r="CX136" s="59">
        <f t="shared" si="122"/>
        <v>924.79442919111557</v>
      </c>
      <c r="CY136" s="59">
        <f ca="1">AVERAGE(OFFSET($CX$3,0,0,'Données projet'!$E$13+1,1))-AVERAGE(OFFSET($H$3,0,0,'Données projet'!$E$13+1,1))</f>
        <v>211.18501783767226</v>
      </c>
      <c r="CZ136" s="59">
        <f t="shared" si="150"/>
        <v>147.98306963466246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0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-1.3596945791505279E-13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182.25704762953387</v>
      </c>
      <c r="T137" s="59">
        <f t="shared" si="142"/>
        <v>265.61788177751134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0.63713945912276582</v>
      </c>
      <c r="AA137" s="21">
        <f>EXP(-LN(2)/25)*AA136+(1-EXP(-LN(2)/25))/(LN(2)/25)*Calculateur!V137*Calculateur!X137*VLOOKUP('Données projet'!$B$9,Paramètres!$A$1:$I$89,3,0)*0.475*44/12</f>
        <v>0.95822631869082797</v>
      </c>
      <c r="AB137" s="21">
        <f>EXP(-LN(2)/2)*AB136+(1-EXP(-LN(2)/2))/(LN(2)/2)*V137*Y137*VLOOKUP('Données projet'!$B$9,Paramètres!$A$1:$I$89,3,0)*0.475*44/12</f>
        <v>6.5500979160762241E-16</v>
      </c>
      <c r="AC137" s="22">
        <f t="shared" si="111"/>
        <v>1.5953657778135943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4.5474735088646412E-13</v>
      </c>
      <c r="AJ137" s="13">
        <f>AI137*VLOOKUP('Données projet'!$B$10,Paramètres!$A$1:$I$89,3,0)*VLOOKUP('Données projet'!$B$10,Paramètres!$A$1:$I$89,5,0)</f>
        <v>4.6111381379887462E-13</v>
      </c>
      <c r="AK137" s="13">
        <f t="shared" si="143"/>
        <v>5.7981965206434308E-12</v>
      </c>
      <c r="AL137" s="20">
        <f t="shared" si="112"/>
        <v>1.0901632165820347E-11</v>
      </c>
      <c r="AM137" s="59">
        <f t="shared" si="113"/>
        <v>293.33333333334423</v>
      </c>
      <c r="AN137" s="59">
        <f ca="1">AVERAGE(OFFSET($AM$3,0,0,'Données projet'!$E$10+1,1))-AVERAGE(OFFSET($H$3,0,0,'Données projet'!$E$10+1,1))</f>
        <v>263.15518481854753</v>
      </c>
      <c r="AO137" s="59">
        <f t="shared" si="144"/>
        <v>210.80755370263819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275.99999999999972</v>
      </c>
      <c r="BE137" s="13">
        <f>BD137*VLOOKUP('Données projet'!$B$11,Paramètres!$A$1:$I$89,3,0)*VLOOKUP('Données projet'!$B$11,Paramètres!$A$1:$I$89,5,0)</f>
        <v>223.8911999999998</v>
      </c>
      <c r="BF137" s="13">
        <f t="shared" si="145"/>
        <v>54.95975389514858</v>
      </c>
      <c r="BG137" s="20">
        <f t="shared" si="115"/>
        <v>485.66541136738346</v>
      </c>
      <c r="BH137" s="59">
        <f t="shared" si="116"/>
        <v>778.99874470071677</v>
      </c>
      <c r="BI137" s="59">
        <f ca="1">AVERAGE(OFFSET($BH$3,0,0,'Données projet'!$E$11+1,1))-AVERAGE(OFFSET($H$3,0,0,'Données projet'!$E$11+1,1))</f>
        <v>203.21935660591021</v>
      </c>
      <c r="BJ137" s="59">
        <f t="shared" si="146"/>
        <v>180.54762778843178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0.12782850977890023</v>
      </c>
      <c r="BQ137" s="21">
        <f>EXP(-LN(2)/25)*BQ136+(1-EXP(-LN(2)/25))/(LN(2)/25)*Calculateur!BL137*Calculateur!BN137*VLOOKUP('Données projet'!$B$11,Paramètres!$A$1:$I$89,3,0)*0.475*44/12</f>
        <v>0.32465361616083849</v>
      </c>
      <c r="BR137" s="21">
        <f>EXP(-LN(2)/2)*BR136+(1-EXP(-LN(2)/2))/(LN(2)/2)*BL137*BO137*VLOOKUP('Données projet'!$B$11,Paramètres!$A$1:$I$89,3,0)*0.475*44/12</f>
        <v>2.0123202038879612E-15</v>
      </c>
      <c r="BS137" s="22">
        <f t="shared" si="117"/>
        <v>0.45248212593974069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5.2446581196581219</v>
      </c>
      <c r="BY137" s="12">
        <f>IF('Données projet'!$A$114&gt;35,BY136+BX137-CG136,IF(A137&lt;'Données projet'!$A$114,$BV$205^A137,IF(A137='Données projet'!$A$114,'Données projet'!$B$114,BY136+BX137-CG136)))</f>
        <v>277.33653846153805</v>
      </c>
      <c r="BZ137" s="13">
        <f>BY137*VLOOKUP('Données projet'!$B$12,Paramètres!$A$1:$I$89,3,0)*VLOOKUP('Données projet'!$B$12,Paramètres!$A$1:$I$89,5,0)</f>
        <v>298.52504999999957</v>
      </c>
      <c r="CA137" s="13">
        <f t="shared" si="147"/>
        <v>70.867168663588373</v>
      </c>
      <c r="CB137" s="20">
        <f t="shared" si="118"/>
        <v>643.35811417241564</v>
      </c>
      <c r="CC137" s="59">
        <f t="shared" si="119"/>
        <v>936.69144750574901</v>
      </c>
      <c r="CD137" s="59">
        <f ca="1">AVERAGE(OFFSET($CC$3,0,0,'Données projet'!$E$12+1,1))-AVERAGE(OFFSET($H$3,0,0,'Données projet'!$E$12+1,1))</f>
        <v>211.18501783767226</v>
      </c>
      <c r="CE137" s="59">
        <f t="shared" si="148"/>
        <v>147.98306963466246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0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5.2446581196581219</v>
      </c>
      <c r="CT137" s="12">
        <f>IF('Données projet'!$A$140&gt;35,CT136+CS137-DB136,IF(A137&lt;'Données projet'!$A$140,$CQ$205^A137,IF(A137='Données projet'!$A$140,'Données projet'!$B$140,CT136+CS137-DB136)))</f>
        <v>277.33653846153805</v>
      </c>
      <c r="CU137" s="17">
        <f>CT137*VLOOKUP('Données projet'!$B$13,Paramètres!$A$1:$I$89,3,0)*VLOOKUP('Données projet'!$B$13,Paramètres!$A$1:$I$89,5,0)</f>
        <v>298.52504999999957</v>
      </c>
      <c r="CV137" s="13">
        <f t="shared" si="149"/>
        <v>70.867168663588373</v>
      </c>
      <c r="CW137" s="20">
        <f t="shared" si="121"/>
        <v>643.35811417241564</v>
      </c>
      <c r="CX137" s="59">
        <f t="shared" si="122"/>
        <v>936.69144750574901</v>
      </c>
      <c r="CY137" s="59">
        <f ca="1">AVERAGE(OFFSET($CX$3,0,0,'Données projet'!$E$13+1,1))-AVERAGE(OFFSET($H$3,0,0,'Données projet'!$E$13+1,1))</f>
        <v>211.18501783767226</v>
      </c>
      <c r="CZ137" s="59">
        <f t="shared" si="150"/>
        <v>147.98306963466246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0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-1.3596945791505279E-13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182.25704762953387</v>
      </c>
      <c r="T138" s="59">
        <f t="shared" si="142"/>
        <v>265.61788177751134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0.62464554294606578</v>
      </c>
      <c r="AA138" s="21">
        <f>EXP(-LN(2)/25)*AA137+(1-EXP(-LN(2)/25))/(LN(2)/25)*Calculateur!V138*Calculateur!X138*VLOOKUP('Données projet'!$B$9,Paramètres!$A$1:$I$89,3,0)*0.475*44/12</f>
        <v>0.9320235696152952</v>
      </c>
      <c r="AB138" s="21">
        <f>EXP(-LN(2)/2)*AB137+(1-EXP(-LN(2)/2))/(LN(2)/2)*V138*Y138*VLOOKUP('Données projet'!$B$9,Paramètres!$A$1:$I$89,3,0)*0.475*44/12</f>
        <v>4.6316186538933715E-16</v>
      </c>
      <c r="AC138" s="22">
        <f t="shared" si="111"/>
        <v>1.5566691125613614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4.5474735088646412E-13</v>
      </c>
      <c r="AJ138" s="13">
        <f>AI138*VLOOKUP('Données projet'!$B$10,Paramètres!$A$1:$I$89,3,0)*VLOOKUP('Données projet'!$B$10,Paramètres!$A$1:$I$89,5,0)</f>
        <v>4.6111381379887462E-13</v>
      </c>
      <c r="AK138" s="13">
        <f t="shared" si="143"/>
        <v>5.7981965206434308E-12</v>
      </c>
      <c r="AL138" s="20">
        <f t="shared" si="112"/>
        <v>1.0901632165820347E-11</v>
      </c>
      <c r="AM138" s="59">
        <f t="shared" si="113"/>
        <v>293.33333333334423</v>
      </c>
      <c r="AN138" s="59">
        <f ca="1">AVERAGE(OFFSET($AM$3,0,0,'Données projet'!$E$10+1,1))-AVERAGE(OFFSET($H$3,0,0,'Données projet'!$E$10+1,1))</f>
        <v>263.15518481854753</v>
      </c>
      <c r="AO138" s="59">
        <f t="shared" si="144"/>
        <v>210.80755370263819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275.99999999999972</v>
      </c>
      <c r="BE138" s="13">
        <f>BD138*VLOOKUP('Données projet'!$B$11,Paramètres!$A$1:$I$89,3,0)*VLOOKUP('Données projet'!$B$11,Paramètres!$A$1:$I$89,5,0)</f>
        <v>223.8911999999998</v>
      </c>
      <c r="BF138" s="13">
        <f t="shared" si="145"/>
        <v>54.95975389514858</v>
      </c>
      <c r="BG138" s="20">
        <f t="shared" si="115"/>
        <v>485.66541136738346</v>
      </c>
      <c r="BH138" s="59">
        <f t="shared" si="116"/>
        <v>778.99874470071677</v>
      </c>
      <c r="BI138" s="59">
        <f ca="1">AVERAGE(OFFSET($BH$3,0,0,'Données projet'!$E$11+1,1))-AVERAGE(OFFSET($H$3,0,0,'Données projet'!$E$11+1,1))</f>
        <v>203.21935660591021</v>
      </c>
      <c r="BJ138" s="59">
        <f t="shared" si="146"/>
        <v>180.54762778843178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0.12532187066982828</v>
      </c>
      <c r="BQ138" s="21">
        <f>EXP(-LN(2)/25)*BQ137+(1-EXP(-LN(2)/25))/(LN(2)/25)*Calculateur!BL138*Calculateur!BN138*VLOOKUP('Données projet'!$B$11,Paramètres!$A$1:$I$89,3,0)*0.475*44/12</f>
        <v>0.31577594595412867</v>
      </c>
      <c r="BR138" s="21">
        <f>EXP(-LN(2)/2)*BR137+(1-EXP(-LN(2)/2))/(LN(2)/2)*BL138*BO138*VLOOKUP('Données projet'!$B$11,Paramètres!$A$1:$I$89,3,0)*0.475*44/12</f>
        <v>1.4229252620878733E-15</v>
      </c>
      <c r="BS138" s="22">
        <f t="shared" si="117"/>
        <v>0.44109781662395842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5.2446581196581219</v>
      </c>
      <c r="BY138" s="12">
        <f>IF('Données projet'!$A$114&gt;35,BY137+BX138-CG137,IF(A138&lt;'Données projet'!$A$114,$BV$205^A138,IF(A138='Données projet'!$A$114,'Données projet'!$B$114,BY137+BX138-CG137)))</f>
        <v>282.5811965811962</v>
      </c>
      <c r="BZ138" s="13">
        <f>BY138*VLOOKUP('Données projet'!$B$12,Paramètres!$A$1:$I$89,3,0)*VLOOKUP('Données projet'!$B$12,Paramètres!$A$1:$I$89,5,0)</f>
        <v>304.17039999999957</v>
      </c>
      <c r="CA138" s="13">
        <f t="shared" si="147"/>
        <v>72.05003579534619</v>
      </c>
      <c r="CB138" s="20">
        <f t="shared" si="118"/>
        <v>655.25059234356047</v>
      </c>
      <c r="CC138" s="59">
        <f t="shared" si="119"/>
        <v>948.58392567689384</v>
      </c>
      <c r="CD138" s="59">
        <f ca="1">AVERAGE(OFFSET($CC$3,0,0,'Données projet'!$E$12+1,1))-AVERAGE(OFFSET($H$3,0,0,'Données projet'!$E$12+1,1))</f>
        <v>211.18501783767226</v>
      </c>
      <c r="CE138" s="59">
        <f t="shared" si="148"/>
        <v>147.98306963466246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0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5.2446581196581219</v>
      </c>
      <c r="CT138" s="12">
        <f>IF('Données projet'!$A$140&gt;35,CT137+CS138-DB137,IF(A138&lt;'Données projet'!$A$140,$CQ$205^A138,IF(A138='Données projet'!$A$140,'Données projet'!$B$140,CT137+CS138-DB137)))</f>
        <v>282.5811965811962</v>
      </c>
      <c r="CU138" s="17">
        <f>CT138*VLOOKUP('Données projet'!$B$13,Paramètres!$A$1:$I$89,3,0)*VLOOKUP('Données projet'!$B$13,Paramètres!$A$1:$I$89,5,0)</f>
        <v>304.17039999999957</v>
      </c>
      <c r="CV138" s="13">
        <f t="shared" si="149"/>
        <v>72.05003579534619</v>
      </c>
      <c r="CW138" s="20">
        <f t="shared" si="121"/>
        <v>655.25059234356047</v>
      </c>
      <c r="CX138" s="59">
        <f t="shared" si="122"/>
        <v>948.58392567689384</v>
      </c>
      <c r="CY138" s="59">
        <f ca="1">AVERAGE(OFFSET($CX$3,0,0,'Données projet'!$E$13+1,1))-AVERAGE(OFFSET($H$3,0,0,'Données projet'!$E$13+1,1))</f>
        <v>211.18501783767226</v>
      </c>
      <c r="CZ138" s="59">
        <f t="shared" si="150"/>
        <v>147.98306963466246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0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-1.3596945791505279E-13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182.25704762953387</v>
      </c>
      <c r="T139" s="59">
        <f t="shared" si="142"/>
        <v>265.61788177751134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0.61239662484505442</v>
      </c>
      <c r="AA139" s="21">
        <f>EXP(-LN(2)/25)*AA138+(1-EXP(-LN(2)/25))/(LN(2)/25)*Calculateur!V139*Calculateur!X139*VLOOKUP('Données projet'!$B$9,Paramètres!$A$1:$I$89,3,0)*0.475*44/12</f>
        <v>0.90653733609117559</v>
      </c>
      <c r="AB139" s="21">
        <f>EXP(-LN(2)/2)*AB138+(1-EXP(-LN(2)/2))/(LN(2)/2)*V139*Y139*VLOOKUP('Données projet'!$B$9,Paramètres!$A$1:$I$89,3,0)*0.475*44/12</f>
        <v>3.275048958038112E-16</v>
      </c>
      <c r="AC139" s="22">
        <f t="shared" si="111"/>
        <v>1.5189339609362302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4.5474735088646412E-13</v>
      </c>
      <c r="AJ139" s="13">
        <f>AI139*VLOOKUP('Données projet'!$B$10,Paramètres!$A$1:$I$89,3,0)*VLOOKUP('Données projet'!$B$10,Paramètres!$A$1:$I$89,5,0)</f>
        <v>4.6111381379887462E-13</v>
      </c>
      <c r="AK139" s="13">
        <f t="shared" si="143"/>
        <v>5.7981965206434308E-12</v>
      </c>
      <c r="AL139" s="20">
        <f t="shared" si="112"/>
        <v>1.0901632165820347E-11</v>
      </c>
      <c r="AM139" s="59">
        <f t="shared" si="113"/>
        <v>293.33333333334423</v>
      </c>
      <c r="AN139" s="59">
        <f ca="1">AVERAGE(OFFSET($AM$3,0,0,'Données projet'!$E$10+1,1))-AVERAGE(OFFSET($H$3,0,0,'Données projet'!$E$10+1,1))</f>
        <v>263.15518481854753</v>
      </c>
      <c r="AO139" s="59">
        <f t="shared" si="144"/>
        <v>210.80755370263819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275.99999999999972</v>
      </c>
      <c r="BE139" s="13">
        <f>BD139*VLOOKUP('Données projet'!$B$11,Paramètres!$A$1:$I$89,3,0)*VLOOKUP('Données projet'!$B$11,Paramètres!$A$1:$I$89,5,0)</f>
        <v>223.8911999999998</v>
      </c>
      <c r="BF139" s="13">
        <f t="shared" si="145"/>
        <v>54.95975389514858</v>
      </c>
      <c r="BG139" s="20">
        <f t="shared" si="115"/>
        <v>485.66541136738346</v>
      </c>
      <c r="BH139" s="59">
        <f t="shared" si="116"/>
        <v>778.99874470071677</v>
      </c>
      <c r="BI139" s="59">
        <f ca="1">AVERAGE(OFFSET($BH$3,0,0,'Données projet'!$E$11+1,1))-AVERAGE(OFFSET($H$3,0,0,'Données projet'!$E$11+1,1))</f>
        <v>203.21935660591021</v>
      </c>
      <c r="BJ139" s="59">
        <f t="shared" si="146"/>
        <v>180.54762778843178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0.12286438522478635</v>
      </c>
      <c r="BQ139" s="21">
        <f>EXP(-LN(2)/25)*BQ138+(1-EXP(-LN(2)/25))/(LN(2)/25)*Calculateur!BL139*Calculateur!BN139*VLOOKUP('Données projet'!$B$11,Paramètres!$A$1:$I$89,3,0)*0.475*44/12</f>
        <v>0.30714103610607774</v>
      </c>
      <c r="BR139" s="21">
        <f>EXP(-LN(2)/2)*BR138+(1-EXP(-LN(2)/2))/(LN(2)/2)*BL139*BO139*VLOOKUP('Données projet'!$B$11,Paramètres!$A$1:$I$89,3,0)*0.475*44/12</f>
        <v>1.0061601019439806E-15</v>
      </c>
      <c r="BS139" s="22">
        <f t="shared" si="117"/>
        <v>0.43000542133086506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5.2446581196581219</v>
      </c>
      <c r="BY139" s="12">
        <f>IF('Données projet'!$A$114&gt;35,BY138+BX139-CG138,IF(A139&lt;'Données projet'!$A$114,$BV$205^A139,IF(A139='Données projet'!$A$114,'Données projet'!$B$114,BY138+BX139-CG138)))</f>
        <v>287.82585470085434</v>
      </c>
      <c r="BZ139" s="13">
        <f>BY139*VLOOKUP('Données projet'!$B$12,Paramètres!$A$1:$I$89,3,0)*VLOOKUP('Données projet'!$B$12,Paramètres!$A$1:$I$89,5,0)</f>
        <v>309.81574999999958</v>
      </c>
      <c r="CA139" s="13">
        <f t="shared" si="147"/>
        <v>73.230350107099014</v>
      </c>
      <c r="CB139" s="20">
        <f t="shared" si="118"/>
        <v>667.13862435319663</v>
      </c>
      <c r="CC139" s="59">
        <f t="shared" si="119"/>
        <v>960.47195768653</v>
      </c>
      <c r="CD139" s="59">
        <f ca="1">AVERAGE(OFFSET($CC$3,0,0,'Données projet'!$E$12+1,1))-AVERAGE(OFFSET($H$3,0,0,'Données projet'!$E$12+1,1))</f>
        <v>211.18501783767226</v>
      </c>
      <c r="CE139" s="59">
        <f t="shared" si="148"/>
        <v>147.98306963466246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0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5.2446581196581219</v>
      </c>
      <c r="CT139" s="12">
        <f>IF('Données projet'!$A$140&gt;35,CT138+CS139-DB138,IF(A139&lt;'Données projet'!$A$140,$CQ$205^A139,IF(A139='Données projet'!$A$140,'Données projet'!$B$140,CT138+CS139-DB138)))</f>
        <v>287.82585470085434</v>
      </c>
      <c r="CU139" s="17">
        <f>CT139*VLOOKUP('Données projet'!$B$13,Paramètres!$A$1:$I$89,3,0)*VLOOKUP('Données projet'!$B$13,Paramètres!$A$1:$I$89,5,0)</f>
        <v>309.81574999999958</v>
      </c>
      <c r="CV139" s="13">
        <f t="shared" si="149"/>
        <v>73.230350107099014</v>
      </c>
      <c r="CW139" s="20">
        <f t="shared" si="121"/>
        <v>667.13862435319663</v>
      </c>
      <c r="CX139" s="59">
        <f t="shared" si="122"/>
        <v>960.47195768653</v>
      </c>
      <c r="CY139" s="59">
        <f ca="1">AVERAGE(OFFSET($CX$3,0,0,'Données projet'!$E$13+1,1))-AVERAGE(OFFSET($H$3,0,0,'Données projet'!$E$13+1,1))</f>
        <v>211.18501783767226</v>
      </c>
      <c r="CZ139" s="59">
        <f t="shared" si="150"/>
        <v>147.98306963466246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0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-1.3596945791505279E-13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182.25704762953387</v>
      </c>
      <c r="T140" s="59">
        <f t="shared" si="142"/>
        <v>265.61788177751134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0.6003879005569015</v>
      </c>
      <c r="AA140" s="21">
        <f>EXP(-LN(2)/25)*AA139+(1-EXP(-LN(2)/25))/(LN(2)/25)*Calculateur!V140*Calculateur!X140*VLOOKUP('Données projet'!$B$9,Paramètres!$A$1:$I$89,3,0)*0.475*44/12</f>
        <v>0.88174802496303584</v>
      </c>
      <c r="AB140" s="21">
        <f>EXP(-LN(2)/2)*AB139+(1-EXP(-LN(2)/2))/(LN(2)/2)*V140*Y140*VLOOKUP('Données projet'!$B$9,Paramètres!$A$1:$I$89,3,0)*0.475*44/12</f>
        <v>2.3158093269466857E-16</v>
      </c>
      <c r="AC140" s="22">
        <f t="shared" si="111"/>
        <v>1.4821359255199376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4.5474735088646412E-13</v>
      </c>
      <c r="AJ140" s="13">
        <f>AI140*VLOOKUP('Données projet'!$B$10,Paramètres!$A$1:$I$89,3,0)*VLOOKUP('Données projet'!$B$10,Paramètres!$A$1:$I$89,5,0)</f>
        <v>4.6111381379887462E-13</v>
      </c>
      <c r="AK140" s="13">
        <f t="shared" si="143"/>
        <v>5.7981965206434308E-12</v>
      </c>
      <c r="AL140" s="20">
        <f t="shared" si="112"/>
        <v>1.0901632165820347E-11</v>
      </c>
      <c r="AM140" s="59">
        <f t="shared" si="113"/>
        <v>293.33333333334423</v>
      </c>
      <c r="AN140" s="59">
        <f ca="1">AVERAGE(OFFSET($AM$3,0,0,'Données projet'!$E$10+1,1))-AVERAGE(OFFSET($H$3,0,0,'Données projet'!$E$10+1,1))</f>
        <v>263.15518481854753</v>
      </c>
      <c r="AO140" s="59">
        <f t="shared" si="144"/>
        <v>210.80755370263819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275.99999999999972</v>
      </c>
      <c r="BE140" s="13">
        <f>BD140*VLOOKUP('Données projet'!$B$11,Paramètres!$A$1:$I$89,3,0)*VLOOKUP('Données projet'!$B$11,Paramètres!$A$1:$I$89,5,0)</f>
        <v>223.8911999999998</v>
      </c>
      <c r="BF140" s="13">
        <f t="shared" si="145"/>
        <v>54.95975389514858</v>
      </c>
      <c r="BG140" s="20">
        <f t="shared" si="115"/>
        <v>485.66541136738346</v>
      </c>
      <c r="BH140" s="59">
        <f t="shared" si="116"/>
        <v>778.99874470071677</v>
      </c>
      <c r="BI140" s="59">
        <f ca="1">AVERAGE(OFFSET($BH$3,0,0,'Données projet'!$E$11+1,1))-AVERAGE(OFFSET($H$3,0,0,'Données projet'!$E$11+1,1))</f>
        <v>203.21935660591021</v>
      </c>
      <c r="BJ140" s="59">
        <f t="shared" si="146"/>
        <v>180.54762778843178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0.12045508957040357</v>
      </c>
      <c r="BQ140" s="21">
        <f>EXP(-LN(2)/25)*BQ139+(1-EXP(-LN(2)/25))/(LN(2)/25)*Calculateur!BL140*Calculateur!BN140*VLOOKUP('Données projet'!$B$11,Paramètres!$A$1:$I$89,3,0)*0.475*44/12</f>
        <v>0.29874224832191193</v>
      </c>
      <c r="BR140" s="21">
        <f>EXP(-LN(2)/2)*BR139+(1-EXP(-LN(2)/2))/(LN(2)/2)*BL140*BO140*VLOOKUP('Données projet'!$B$11,Paramètres!$A$1:$I$89,3,0)*0.475*44/12</f>
        <v>7.1146263104393666E-16</v>
      </c>
      <c r="BS140" s="22">
        <f t="shared" si="117"/>
        <v>0.41919733789231622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>
        <f>VLOOKUP(A140,'Données projet'!$A$113:$I$133,2,0)</f>
        <v>293.07051282051282</v>
      </c>
      <c r="BW140" s="12">
        <f>VLOOKUP(A140,'Données projet'!$A$113:$I$133,9,0)</f>
        <v>5.2446581196581219</v>
      </c>
      <c r="BX140" s="12">
        <f t="array" ref="BX140">INDEX(BW:BW,MIN(IF(ISNUMBER(BW140:BW336),ROW(BW140:BW336),"")))</f>
        <v>5.2446581196581219</v>
      </c>
      <c r="BY140" s="12">
        <f>IF('Données projet'!$A$114&gt;35,BY139+BX140-CG139,IF(A140&lt;'Données projet'!$A$114,$BV$205^A140,IF(A140='Données projet'!$A$114,'Données projet'!$B$114,BY139+BX140-CG139)))</f>
        <v>293.07051282051248</v>
      </c>
      <c r="BZ140" s="13">
        <f>BY140*VLOOKUP('Données projet'!$B$12,Paramètres!$A$1:$I$89,3,0)*VLOOKUP('Données projet'!$B$12,Paramètres!$A$1:$I$89,5,0)</f>
        <v>315.46109999999959</v>
      </c>
      <c r="CA140" s="13">
        <f t="shared" si="147"/>
        <v>74.408163480688174</v>
      </c>
      <c r="CB140" s="20">
        <f t="shared" si="118"/>
        <v>679.02230056219787</v>
      </c>
      <c r="CC140" s="59">
        <f t="shared" si="119"/>
        <v>972.35563389553113</v>
      </c>
      <c r="CD140" s="59">
        <f ca="1">AVERAGE(OFFSET($CC$3,0,0,'Données projet'!$E$12+1,1))-AVERAGE(OFFSET($H$3,0,0,'Données projet'!$E$12+1,1))</f>
        <v>211.18501783767226</v>
      </c>
      <c r="CE140" s="59">
        <f t="shared" si="148"/>
        <v>147.98306963466246</v>
      </c>
      <c r="CF140" s="15">
        <f>IF(ISNA(VLOOKUP(A140,'Données projet'!$A$113:$I$133,3,0)),0,VLOOKUP(A140,'Données projet'!$A$113:$I$133,3,0))</f>
        <v>11</v>
      </c>
      <c r="CG140" s="15">
        <f>IF(ISNA(VLOOKUP(A140,'Données projet'!$A$113:$I$133,4,0)),0,VLOOKUP(A140,'Données projet'!$A$113:$I$133,4,0))</f>
        <v>51.160256410256409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0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>
        <f>VLOOKUP(A140,'Données projet'!$A$139:$I$159,2,0)</f>
        <v>293.07051282051282</v>
      </c>
      <c r="CR140" s="12">
        <f>VLOOKUP(A140,'Données projet'!$A$139:$I$159,9,0)</f>
        <v>5.2446581196581219</v>
      </c>
      <c r="CS140" s="12">
        <f t="array" ref="CS140">INDEX(CR:CR,MIN(IF(ISNUMBER(CR140:CR336),ROW(CR140:CR336),"")))</f>
        <v>5.2446581196581219</v>
      </c>
      <c r="CT140" s="12">
        <f>IF('Données projet'!$A$140&gt;35,CT139+CS140-DB139,IF(A140&lt;'Données projet'!$A$140,$CQ$205^A140,IF(A140='Données projet'!$A$140,'Données projet'!$B$140,CT139+CS140-DB139)))</f>
        <v>293.07051282051248</v>
      </c>
      <c r="CU140" s="17">
        <f>CT140*VLOOKUP('Données projet'!$B$13,Paramètres!$A$1:$I$89,3,0)*VLOOKUP('Données projet'!$B$13,Paramètres!$A$1:$I$89,5,0)</f>
        <v>315.46109999999959</v>
      </c>
      <c r="CV140" s="13">
        <f t="shared" si="149"/>
        <v>74.408163480688174</v>
      </c>
      <c r="CW140" s="20">
        <f t="shared" si="121"/>
        <v>679.02230056219787</v>
      </c>
      <c r="CX140" s="59">
        <f t="shared" si="122"/>
        <v>972.35563389553113</v>
      </c>
      <c r="CY140" s="59">
        <f ca="1">AVERAGE(OFFSET($CX$3,0,0,'Données projet'!$E$13+1,1))-AVERAGE(OFFSET($H$3,0,0,'Données projet'!$E$13+1,1))</f>
        <v>211.18501783767226</v>
      </c>
      <c r="CZ140" s="59">
        <f t="shared" si="150"/>
        <v>147.98306963466246</v>
      </c>
      <c r="DA140" s="15">
        <f>IF(ISNA(VLOOKUP(A140,'Données projet'!$A$139:$I$159,3,0)),0,VLOOKUP(A140,'Données projet'!$A$139:$I$159,3,0))</f>
        <v>11</v>
      </c>
      <c r="DB140" s="15">
        <f>IF(ISNA(VLOOKUP(A140,'Données projet'!$A$139:$I$159,4,0)),0,VLOOKUP(A140,'Données projet'!$A$139:$I$159,4,0))</f>
        <v>51.160256410256409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0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-1.3596945791505279E-13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182.25704762953387</v>
      </c>
      <c r="T141" s="59">
        <f t="shared" si="142"/>
        <v>265.61788177751134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0.58861466002744067</v>
      </c>
      <c r="AA141" s="21">
        <f>EXP(-LN(2)/25)*AA140+(1-EXP(-LN(2)/25))/(LN(2)/25)*Calculateur!V141*Calculateur!X141*VLOOKUP('Données projet'!$B$9,Paramètres!$A$1:$I$89,3,0)*0.475*44/12</f>
        <v>0.85763657885130828</v>
      </c>
      <c r="AB141" s="21">
        <f>EXP(-LN(2)/2)*AB140+(1-EXP(-LN(2)/2))/(LN(2)/2)*V141*Y141*VLOOKUP('Données projet'!$B$9,Paramètres!$A$1:$I$89,3,0)*0.475*44/12</f>
        <v>1.637524479019056E-16</v>
      </c>
      <c r="AC141" s="22">
        <f t="shared" si="111"/>
        <v>1.4462512388787492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4.5474735088646412E-13</v>
      </c>
      <c r="AJ141" s="13">
        <f>AI141*VLOOKUP('Données projet'!$B$10,Paramètres!$A$1:$I$89,3,0)*VLOOKUP('Données projet'!$B$10,Paramètres!$A$1:$I$89,5,0)</f>
        <v>4.6111381379887462E-13</v>
      </c>
      <c r="AK141" s="13">
        <f t="shared" si="143"/>
        <v>5.7981965206434308E-12</v>
      </c>
      <c r="AL141" s="20">
        <f t="shared" si="112"/>
        <v>1.0901632165820347E-11</v>
      </c>
      <c r="AM141" s="59">
        <f t="shared" si="113"/>
        <v>293.33333333334423</v>
      </c>
      <c r="AN141" s="59">
        <f ca="1">AVERAGE(OFFSET($AM$3,0,0,'Données projet'!$E$10+1,1))-AVERAGE(OFFSET($H$3,0,0,'Données projet'!$E$10+1,1))</f>
        <v>263.15518481854753</v>
      </c>
      <c r="AO141" s="59">
        <f t="shared" si="144"/>
        <v>210.80755370263819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275.99999999999972</v>
      </c>
      <c r="BE141" s="13">
        <f>BD141*VLOOKUP('Données projet'!$B$11,Paramètres!$A$1:$I$89,3,0)*VLOOKUP('Données projet'!$B$11,Paramètres!$A$1:$I$89,5,0)</f>
        <v>223.8911999999998</v>
      </c>
      <c r="BF141" s="13">
        <f t="shared" si="145"/>
        <v>54.95975389514858</v>
      </c>
      <c r="BG141" s="20">
        <f t="shared" si="115"/>
        <v>485.66541136738346</v>
      </c>
      <c r="BH141" s="59">
        <f t="shared" si="116"/>
        <v>778.99874470071677</v>
      </c>
      <c r="BI141" s="59">
        <f ca="1">AVERAGE(OFFSET($BH$3,0,0,'Données projet'!$E$11+1,1))-AVERAGE(OFFSET($H$3,0,0,'Données projet'!$E$11+1,1))</f>
        <v>203.21935660591021</v>
      </c>
      <c r="BJ141" s="59">
        <f t="shared" si="146"/>
        <v>180.54762778843178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0.118093038734278</v>
      </c>
      <c r="BQ141" s="21">
        <f>EXP(-LN(2)/25)*BQ140+(1-EXP(-LN(2)/25))/(LN(2)/25)*Calculateur!BL141*Calculateur!BN141*VLOOKUP('Données projet'!$B$11,Paramètres!$A$1:$I$89,3,0)*0.475*44/12</f>
        <v>0.29057312583137718</v>
      </c>
      <c r="BR141" s="21">
        <f>EXP(-LN(2)/2)*BR140+(1-EXP(-LN(2)/2))/(LN(2)/2)*BL141*BO141*VLOOKUP('Données projet'!$B$11,Paramètres!$A$1:$I$89,3,0)*0.475*44/12</f>
        <v>5.030800509719903E-16</v>
      </c>
      <c r="BS141" s="22">
        <f t="shared" si="117"/>
        <v>0.40866616456565569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5.1063034188034209</v>
      </c>
      <c r="BY141" s="12">
        <f>IF('Données projet'!$A$114&gt;35,BY140+BX141-CG140,IF(A141&lt;'Données projet'!$A$114,$BV$205^A141,IF(A141='Données projet'!$A$114,'Données projet'!$B$114,BY140+BX141-CG140)))</f>
        <v>247.01655982905947</v>
      </c>
      <c r="BZ141" s="13">
        <f>BY141*VLOOKUP('Données projet'!$B$12,Paramètres!$A$1:$I$89,3,0)*VLOOKUP('Données projet'!$B$12,Paramètres!$A$1:$I$89,5,0)</f>
        <v>265.88862499999959</v>
      </c>
      <c r="CA141" s="13">
        <f t="shared" si="147"/>
        <v>63.97595406255607</v>
      </c>
      <c r="CB141" s="20">
        <f t="shared" si="118"/>
        <v>574.51414186728437</v>
      </c>
      <c r="CC141" s="59">
        <f t="shared" si="119"/>
        <v>867.84747520061774</v>
      </c>
      <c r="CD141" s="59">
        <f ca="1">AVERAGE(OFFSET($CC$3,0,0,'Données projet'!$E$12+1,1))-AVERAGE(OFFSET($H$3,0,0,'Données projet'!$E$12+1,1))</f>
        <v>211.18501783767226</v>
      </c>
      <c r="CE141" s="59">
        <f t="shared" si="148"/>
        <v>147.98306963466246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0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5.1063034188034209</v>
      </c>
      <c r="CT141" s="12">
        <f>IF('Données projet'!$A$140&gt;35,CT140+CS141-DB140,IF(A141&lt;'Données projet'!$A$140,$CQ$205^A141,IF(A141='Données projet'!$A$140,'Données projet'!$B$140,CT140+CS141-DB140)))</f>
        <v>247.01655982905947</v>
      </c>
      <c r="CU141" s="17">
        <f>CT141*VLOOKUP('Données projet'!$B$13,Paramètres!$A$1:$I$89,3,0)*VLOOKUP('Données projet'!$B$13,Paramètres!$A$1:$I$89,5,0)</f>
        <v>265.88862499999959</v>
      </c>
      <c r="CV141" s="13">
        <f t="shared" si="149"/>
        <v>63.97595406255607</v>
      </c>
      <c r="CW141" s="20">
        <f t="shared" si="121"/>
        <v>574.51414186728437</v>
      </c>
      <c r="CX141" s="59">
        <f t="shared" si="122"/>
        <v>867.84747520061774</v>
      </c>
      <c r="CY141" s="59">
        <f ca="1">AVERAGE(OFFSET($CX$3,0,0,'Données projet'!$E$13+1,1))-AVERAGE(OFFSET($H$3,0,0,'Données projet'!$E$13+1,1))</f>
        <v>211.18501783767226</v>
      </c>
      <c r="CZ141" s="59">
        <f t="shared" si="150"/>
        <v>147.98306963466246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0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-1.3596945791505279E-13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182.25704762953387</v>
      </c>
      <c r="T142" s="59">
        <f t="shared" si="142"/>
        <v>265.61788177751134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0.57707228556379497</v>
      </c>
      <c r="AA142" s="21">
        <f>EXP(-LN(2)/25)*AA141+(1-EXP(-LN(2)/25))/(LN(2)/25)*Calculateur!V142*Calculateur!X142*VLOOKUP('Données projet'!$B$9,Paramètres!$A$1:$I$89,3,0)*0.475*44/12</f>
        <v>0.83418446150147174</v>
      </c>
      <c r="AB142" s="21">
        <f>EXP(-LN(2)/2)*AB141+(1-EXP(-LN(2)/2))/(LN(2)/2)*V142*Y142*VLOOKUP('Données projet'!$B$9,Paramètres!$A$1:$I$89,3,0)*0.475*44/12</f>
        <v>1.1579046634733429E-16</v>
      </c>
      <c r="AC142" s="22">
        <f t="shared" si="111"/>
        <v>1.411256747065267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4.5474735088646412E-13</v>
      </c>
      <c r="AJ142" s="13">
        <f>AI142*VLOOKUP('Données projet'!$B$10,Paramètres!$A$1:$I$89,3,0)*VLOOKUP('Données projet'!$B$10,Paramètres!$A$1:$I$89,5,0)</f>
        <v>4.6111381379887462E-13</v>
      </c>
      <c r="AK142" s="13">
        <f t="shared" si="143"/>
        <v>5.7981965206434308E-12</v>
      </c>
      <c r="AL142" s="20">
        <f t="shared" si="112"/>
        <v>1.0901632165820347E-11</v>
      </c>
      <c r="AM142" s="59">
        <f t="shared" si="113"/>
        <v>293.33333333334423</v>
      </c>
      <c r="AN142" s="59">
        <f ca="1">AVERAGE(OFFSET($AM$3,0,0,'Données projet'!$E$10+1,1))-AVERAGE(OFFSET($H$3,0,0,'Données projet'!$E$10+1,1))</f>
        <v>263.15518481854753</v>
      </c>
      <c r="AO142" s="59">
        <f t="shared" si="144"/>
        <v>210.80755370263819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275.99999999999972</v>
      </c>
      <c r="BE142" s="13">
        <f>BD142*VLOOKUP('Données projet'!$B$11,Paramètres!$A$1:$I$89,3,0)*VLOOKUP('Données projet'!$B$11,Paramètres!$A$1:$I$89,5,0)</f>
        <v>223.8911999999998</v>
      </c>
      <c r="BF142" s="13">
        <f t="shared" si="145"/>
        <v>54.95975389514858</v>
      </c>
      <c r="BG142" s="20">
        <f t="shared" si="115"/>
        <v>485.66541136738346</v>
      </c>
      <c r="BH142" s="59">
        <f t="shared" si="116"/>
        <v>778.99874470071677</v>
      </c>
      <c r="BI142" s="59">
        <f ca="1">AVERAGE(OFFSET($BH$3,0,0,'Données projet'!$E$11+1,1))-AVERAGE(OFFSET($H$3,0,0,'Données projet'!$E$11+1,1))</f>
        <v>203.21935660591021</v>
      </c>
      <c r="BJ142" s="59">
        <f t="shared" si="146"/>
        <v>180.54762778843178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0.1157773062743401</v>
      </c>
      <c r="BQ142" s="21">
        <f>EXP(-LN(2)/25)*BQ141+(1-EXP(-LN(2)/25))/(LN(2)/25)*Calculateur!BL142*Calculateur!BN142*VLOOKUP('Données projet'!$B$11,Paramètres!$A$1:$I$89,3,0)*0.475*44/12</f>
        <v>0.28262738842494162</v>
      </c>
      <c r="BR142" s="21">
        <f>EXP(-LN(2)/2)*BR141+(1-EXP(-LN(2)/2))/(LN(2)/2)*BL142*BO142*VLOOKUP('Données projet'!$B$11,Paramètres!$A$1:$I$89,3,0)*0.475*44/12</f>
        <v>3.5573131552196833E-16</v>
      </c>
      <c r="BS142" s="22">
        <f t="shared" si="117"/>
        <v>0.39840469469928208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5.1063034188034209</v>
      </c>
      <c r="BY142" s="12">
        <f>IF('Données projet'!$A$114&gt;35,BY141+BX142-CG141,IF(A142&lt;'Données projet'!$A$114,$BV$205^A142,IF(A142='Données projet'!$A$114,'Données projet'!$B$114,BY141+BX142-CG141)))</f>
        <v>252.12286324786288</v>
      </c>
      <c r="BZ142" s="13">
        <f>BY142*VLOOKUP('Données projet'!$B$12,Paramètres!$A$1:$I$89,3,0)*VLOOKUP('Données projet'!$B$12,Paramètres!$A$1:$I$89,5,0)</f>
        <v>271.38504999999958</v>
      </c>
      <c r="CA142" s="13">
        <f t="shared" si="147"/>
        <v>65.143124263141459</v>
      </c>
      <c r="CB142" s="20">
        <f t="shared" si="118"/>
        <v>586.11990350830399</v>
      </c>
      <c r="CC142" s="59">
        <f t="shared" si="119"/>
        <v>879.45323684163736</v>
      </c>
      <c r="CD142" s="59">
        <f ca="1">AVERAGE(OFFSET($CC$3,0,0,'Données projet'!$E$12+1,1))-AVERAGE(OFFSET($H$3,0,0,'Données projet'!$E$12+1,1))</f>
        <v>211.18501783767226</v>
      </c>
      <c r="CE142" s="59">
        <f t="shared" si="148"/>
        <v>147.98306963466246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0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5.1063034188034209</v>
      </c>
      <c r="CT142" s="12">
        <f>IF('Données projet'!$A$140&gt;35,CT141+CS142-DB141,IF(A142&lt;'Données projet'!$A$140,$CQ$205^A142,IF(A142='Données projet'!$A$140,'Données projet'!$B$140,CT141+CS142-DB141)))</f>
        <v>252.12286324786288</v>
      </c>
      <c r="CU142" s="17">
        <f>CT142*VLOOKUP('Données projet'!$B$13,Paramètres!$A$1:$I$89,3,0)*VLOOKUP('Données projet'!$B$13,Paramètres!$A$1:$I$89,5,0)</f>
        <v>271.38504999999958</v>
      </c>
      <c r="CV142" s="13">
        <f t="shared" si="149"/>
        <v>65.143124263141459</v>
      </c>
      <c r="CW142" s="20">
        <f t="shared" si="121"/>
        <v>586.11990350830399</v>
      </c>
      <c r="CX142" s="59">
        <f t="shared" si="122"/>
        <v>879.45323684163736</v>
      </c>
      <c r="CY142" s="59">
        <f ca="1">AVERAGE(OFFSET($CX$3,0,0,'Données projet'!$E$13+1,1))-AVERAGE(OFFSET($H$3,0,0,'Données projet'!$E$13+1,1))</f>
        <v>211.18501783767226</v>
      </c>
      <c r="CZ142" s="59">
        <f t="shared" si="150"/>
        <v>147.98306963466246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0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-1.3596945791505279E-13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182.25704762953387</v>
      </c>
      <c r="T143" s="59">
        <f t="shared" si="142"/>
        <v>265.61788177751134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0.56575625002322805</v>
      </c>
      <c r="AA143" s="21">
        <f>EXP(-LN(2)/25)*AA142+(1-EXP(-LN(2)/25))/(LN(2)/25)*Calculateur!V143*Calculateur!X143*VLOOKUP('Données projet'!$B$9,Paramètres!$A$1:$I$89,3,0)*0.475*44/12</f>
        <v>0.81137364353385977</v>
      </c>
      <c r="AB143" s="21">
        <f>EXP(-LN(2)/2)*AB142+(1-EXP(-LN(2)/2))/(LN(2)/2)*V143*Y143*VLOOKUP('Données projet'!$B$9,Paramètres!$A$1:$I$89,3,0)*0.475*44/12</f>
        <v>8.1876223950952801E-17</v>
      </c>
      <c r="AC143" s="22">
        <f t="shared" si="111"/>
        <v>1.3771298935570879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4.5474735088646412E-13</v>
      </c>
      <c r="AJ143" s="13">
        <f>AI143*VLOOKUP('Données projet'!$B$10,Paramètres!$A$1:$I$89,3,0)*VLOOKUP('Données projet'!$B$10,Paramètres!$A$1:$I$89,5,0)</f>
        <v>4.6111381379887462E-13</v>
      </c>
      <c r="AK143" s="13">
        <f t="shared" si="143"/>
        <v>5.7981965206434308E-12</v>
      </c>
      <c r="AL143" s="20">
        <f t="shared" si="112"/>
        <v>1.0901632165820347E-11</v>
      </c>
      <c r="AM143" s="59">
        <f t="shared" si="113"/>
        <v>293.33333333334423</v>
      </c>
      <c r="AN143" s="59">
        <f ca="1">AVERAGE(OFFSET($AM$3,0,0,'Données projet'!$E$10+1,1))-AVERAGE(OFFSET($H$3,0,0,'Données projet'!$E$10+1,1))</f>
        <v>263.15518481854753</v>
      </c>
      <c r="AO143" s="59">
        <f t="shared" si="144"/>
        <v>210.80755370263819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275.99999999999972</v>
      </c>
      <c r="BE143" s="13">
        <f>BD143*VLOOKUP('Données projet'!$B$11,Paramètres!$A$1:$I$89,3,0)*VLOOKUP('Données projet'!$B$11,Paramètres!$A$1:$I$89,5,0)</f>
        <v>223.8911999999998</v>
      </c>
      <c r="BF143" s="13">
        <f t="shared" si="145"/>
        <v>54.95975389514858</v>
      </c>
      <c r="BG143" s="20">
        <f t="shared" si="115"/>
        <v>485.66541136738346</v>
      </c>
      <c r="BH143" s="59">
        <f t="shared" si="116"/>
        <v>778.99874470071677</v>
      </c>
      <c r="BI143" s="59">
        <f ca="1">AVERAGE(OFFSET($BH$3,0,0,'Données projet'!$E$11+1,1))-AVERAGE(OFFSET($H$3,0,0,'Données projet'!$E$11+1,1))</f>
        <v>203.21935660591021</v>
      </c>
      <c r="BJ143" s="59">
        <f t="shared" si="146"/>
        <v>180.54762778843178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0.11350698391548425</v>
      </c>
      <c r="BQ143" s="21">
        <f>EXP(-LN(2)/25)*BQ142+(1-EXP(-LN(2)/25))/(LN(2)/25)*Calculateur!BL143*Calculateur!BN143*VLOOKUP('Données projet'!$B$11,Paramètres!$A$1:$I$89,3,0)*0.475*44/12</f>
        <v>0.2748989276257332</v>
      </c>
      <c r="BR143" s="21">
        <f>EXP(-LN(2)/2)*BR142+(1-EXP(-LN(2)/2))/(LN(2)/2)*BL143*BO143*VLOOKUP('Données projet'!$B$11,Paramètres!$A$1:$I$89,3,0)*0.475*44/12</f>
        <v>2.5154002548599515E-16</v>
      </c>
      <c r="BS143" s="22">
        <f t="shared" si="117"/>
        <v>0.38840591154121773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5.1063034188034209</v>
      </c>
      <c r="BY143" s="12">
        <f>IF('Données projet'!$A$114&gt;35,BY142+BX143-CG142,IF(A143&lt;'Données projet'!$A$114,$BV$205^A143,IF(A143='Données projet'!$A$114,'Données projet'!$B$114,BY142+BX143-CG142)))</f>
        <v>257.22916666666629</v>
      </c>
      <c r="BZ143" s="13">
        <f>BY143*VLOOKUP('Données projet'!$B$12,Paramètres!$A$1:$I$89,3,0)*VLOOKUP('Données projet'!$B$12,Paramètres!$A$1:$I$89,5,0)</f>
        <v>276.88147499999957</v>
      </c>
      <c r="CA143" s="13">
        <f t="shared" si="147"/>
        <v>66.30754592965539</v>
      </c>
      <c r="CB143" s="20">
        <f t="shared" si="118"/>
        <v>597.72087811914889</v>
      </c>
      <c r="CC143" s="59">
        <f t="shared" si="119"/>
        <v>891.05421145248215</v>
      </c>
      <c r="CD143" s="59">
        <f ca="1">AVERAGE(OFFSET($CC$3,0,0,'Données projet'!$E$12+1,1))-AVERAGE(OFFSET($H$3,0,0,'Données projet'!$E$12+1,1))</f>
        <v>211.18501783767226</v>
      </c>
      <c r="CE143" s="59">
        <f t="shared" si="148"/>
        <v>147.98306963466246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0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5.1063034188034209</v>
      </c>
      <c r="CT143" s="12">
        <f>IF('Données projet'!$A$140&gt;35,CT142+CS143-DB142,IF(A143&lt;'Données projet'!$A$140,$CQ$205^A143,IF(A143='Données projet'!$A$140,'Données projet'!$B$140,CT142+CS143-DB142)))</f>
        <v>257.22916666666629</v>
      </c>
      <c r="CU143" s="17">
        <f>CT143*VLOOKUP('Données projet'!$B$13,Paramètres!$A$1:$I$89,3,0)*VLOOKUP('Données projet'!$B$13,Paramètres!$A$1:$I$89,5,0)</f>
        <v>276.88147499999957</v>
      </c>
      <c r="CV143" s="13">
        <f t="shared" si="149"/>
        <v>66.30754592965539</v>
      </c>
      <c r="CW143" s="20">
        <f t="shared" si="121"/>
        <v>597.72087811914889</v>
      </c>
      <c r="CX143" s="59">
        <f t="shared" si="122"/>
        <v>891.05421145248215</v>
      </c>
      <c r="CY143" s="59">
        <f ca="1">AVERAGE(OFFSET($CX$3,0,0,'Données projet'!$E$13+1,1))-AVERAGE(OFFSET($H$3,0,0,'Données projet'!$E$13+1,1))</f>
        <v>211.18501783767226</v>
      </c>
      <c r="CZ143" s="59">
        <f t="shared" si="150"/>
        <v>147.98306963466246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0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-1.3596945791505279E-13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182.25704762953387</v>
      </c>
      <c r="T144" s="59">
        <f t="shared" si="142"/>
        <v>265.61788177751134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0.55466211503751151</v>
      </c>
      <c r="AA144" s="21">
        <f>EXP(-LN(2)/25)*AA143+(1-EXP(-LN(2)/25))/(LN(2)/25)*Calculateur!V144*Calculateur!X144*VLOOKUP('Données projet'!$B$9,Paramètres!$A$1:$I$89,3,0)*0.475*44/12</f>
        <v>0.78918658858314084</v>
      </c>
      <c r="AB144" s="21">
        <f>EXP(-LN(2)/2)*AB143+(1-EXP(-LN(2)/2))/(LN(2)/2)*V144*Y144*VLOOKUP('Données projet'!$B$9,Paramètres!$A$1:$I$89,3,0)*0.475*44/12</f>
        <v>5.7895233173667144E-17</v>
      </c>
      <c r="AC144" s="22">
        <f t="shared" si="111"/>
        <v>1.3438487036206523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4.5474735088646412E-13</v>
      </c>
      <c r="AJ144" s="13">
        <f>AI144*VLOOKUP('Données projet'!$B$10,Paramètres!$A$1:$I$89,3,0)*VLOOKUP('Données projet'!$B$10,Paramètres!$A$1:$I$89,5,0)</f>
        <v>4.6111381379887462E-13</v>
      </c>
      <c r="AK144" s="13">
        <f t="shared" si="143"/>
        <v>5.7981965206434308E-12</v>
      </c>
      <c r="AL144" s="20">
        <f t="shared" si="112"/>
        <v>1.0901632165820347E-11</v>
      </c>
      <c r="AM144" s="59">
        <f t="shared" si="113"/>
        <v>293.33333333334423</v>
      </c>
      <c r="AN144" s="59">
        <f ca="1">AVERAGE(OFFSET($AM$3,0,0,'Données projet'!$E$10+1,1))-AVERAGE(OFFSET($H$3,0,0,'Données projet'!$E$10+1,1))</f>
        <v>263.15518481854753</v>
      </c>
      <c r="AO144" s="59">
        <f t="shared" si="144"/>
        <v>210.80755370263819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275.99999999999972</v>
      </c>
      <c r="BE144" s="13">
        <f>BD144*VLOOKUP('Données projet'!$B$11,Paramètres!$A$1:$I$89,3,0)*VLOOKUP('Données projet'!$B$11,Paramètres!$A$1:$I$89,5,0)</f>
        <v>223.8911999999998</v>
      </c>
      <c r="BF144" s="13">
        <f t="shared" si="145"/>
        <v>54.95975389514858</v>
      </c>
      <c r="BG144" s="20">
        <f t="shared" si="115"/>
        <v>485.66541136738346</v>
      </c>
      <c r="BH144" s="59">
        <f t="shared" si="116"/>
        <v>778.99874470071677</v>
      </c>
      <c r="BI144" s="59">
        <f ca="1">AVERAGE(OFFSET($BH$3,0,0,'Données projet'!$E$11+1,1))-AVERAGE(OFFSET($H$3,0,0,'Données projet'!$E$11+1,1))</f>
        <v>203.21935660591021</v>
      </c>
      <c r="BJ144" s="59">
        <f t="shared" si="146"/>
        <v>180.54762778843178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0.11128118119332565</v>
      </c>
      <c r="BQ144" s="21">
        <f>EXP(-LN(2)/25)*BQ143+(1-EXP(-LN(2)/25))/(LN(2)/25)*Calculateur!BL144*Calculateur!BN144*VLOOKUP('Données projet'!$B$11,Paramètres!$A$1:$I$89,3,0)*0.475*44/12</f>
        <v>0.2673818019935012</v>
      </c>
      <c r="BR144" s="21">
        <f>EXP(-LN(2)/2)*BR143+(1-EXP(-LN(2)/2))/(LN(2)/2)*BL144*BO144*VLOOKUP('Données projet'!$B$11,Paramètres!$A$1:$I$89,3,0)*0.475*44/12</f>
        <v>1.7786565776098417E-16</v>
      </c>
      <c r="BS144" s="22">
        <f t="shared" si="117"/>
        <v>0.37866298318682701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5.1063034188034209</v>
      </c>
      <c r="BY144" s="12">
        <f>IF('Données projet'!$A$114&gt;35,BY143+BX144-CG143,IF(A144&lt;'Données projet'!$A$114,$BV$205^A144,IF(A144='Données projet'!$A$114,'Données projet'!$B$114,BY143+BX144-CG143)))</f>
        <v>262.33547008546969</v>
      </c>
      <c r="BZ144" s="13">
        <f>BY144*VLOOKUP('Données projet'!$B$12,Paramètres!$A$1:$I$89,3,0)*VLOOKUP('Données projet'!$B$12,Paramètres!$A$1:$I$89,5,0)</f>
        <v>282.37789999999956</v>
      </c>
      <c r="CA144" s="13">
        <f t="shared" si="147"/>
        <v>67.469279912473937</v>
      </c>
      <c r="CB144" s="20">
        <f t="shared" si="118"/>
        <v>609.31717168089131</v>
      </c>
      <c r="CC144" s="59">
        <f t="shared" si="119"/>
        <v>902.65050501422456</v>
      </c>
      <c r="CD144" s="59">
        <f ca="1">AVERAGE(OFFSET($CC$3,0,0,'Données projet'!$E$12+1,1))-AVERAGE(OFFSET($H$3,0,0,'Données projet'!$E$12+1,1))</f>
        <v>211.18501783767226</v>
      </c>
      <c r="CE144" s="59">
        <f t="shared" si="148"/>
        <v>147.98306963466246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0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5.1063034188034209</v>
      </c>
      <c r="CT144" s="12">
        <f>IF('Données projet'!$A$140&gt;35,CT143+CS144-DB143,IF(A144&lt;'Données projet'!$A$140,$CQ$205^A144,IF(A144='Données projet'!$A$140,'Données projet'!$B$140,CT143+CS144-DB143)))</f>
        <v>262.33547008546969</v>
      </c>
      <c r="CU144" s="17">
        <f>CT144*VLOOKUP('Données projet'!$B$13,Paramètres!$A$1:$I$89,3,0)*VLOOKUP('Données projet'!$B$13,Paramètres!$A$1:$I$89,5,0)</f>
        <v>282.37789999999956</v>
      </c>
      <c r="CV144" s="13">
        <f t="shared" si="149"/>
        <v>67.469279912473937</v>
      </c>
      <c r="CW144" s="20">
        <f t="shared" si="121"/>
        <v>609.31717168089131</v>
      </c>
      <c r="CX144" s="59">
        <f t="shared" si="122"/>
        <v>902.65050501422456</v>
      </c>
      <c r="CY144" s="59">
        <f ca="1">AVERAGE(OFFSET($CX$3,0,0,'Données projet'!$E$13+1,1))-AVERAGE(OFFSET($H$3,0,0,'Données projet'!$E$13+1,1))</f>
        <v>211.18501783767226</v>
      </c>
      <c r="CZ144" s="59">
        <f t="shared" si="150"/>
        <v>147.98306963466246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0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-1.3596945791505279E-13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182.25704762953387</v>
      </c>
      <c r="T145" s="59">
        <f t="shared" si="142"/>
        <v>265.61788177751134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0.54378552927211066</v>
      </c>
      <c r="AA145" s="21">
        <f>EXP(-LN(2)/25)*AA144+(1-EXP(-LN(2)/25))/(LN(2)/25)*Calculateur!V145*Calculateur!X145*VLOOKUP('Données projet'!$B$9,Paramètres!$A$1:$I$89,3,0)*0.475*44/12</f>
        <v>0.76760623981681586</v>
      </c>
      <c r="AB145" s="21">
        <f>EXP(-LN(2)/2)*AB144+(1-EXP(-LN(2)/2))/(LN(2)/2)*V145*Y145*VLOOKUP('Données projet'!$B$9,Paramètres!$A$1:$I$89,3,0)*0.475*44/12</f>
        <v>4.09381119754764E-17</v>
      </c>
      <c r="AC145" s="22">
        <f t="shared" si="111"/>
        <v>1.3113917690889265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4.5474735088646412E-13</v>
      </c>
      <c r="AJ145" s="13">
        <f>AI145*VLOOKUP('Données projet'!$B$10,Paramètres!$A$1:$I$89,3,0)*VLOOKUP('Données projet'!$B$10,Paramètres!$A$1:$I$89,5,0)</f>
        <v>4.6111381379887462E-13</v>
      </c>
      <c r="AK145" s="13">
        <f t="shared" si="143"/>
        <v>5.7981965206434308E-12</v>
      </c>
      <c r="AL145" s="20">
        <f t="shared" si="112"/>
        <v>1.0901632165820347E-11</v>
      </c>
      <c r="AM145" s="59">
        <f t="shared" si="113"/>
        <v>293.33333333334423</v>
      </c>
      <c r="AN145" s="59">
        <f ca="1">AVERAGE(OFFSET($AM$3,0,0,'Données projet'!$E$10+1,1))-AVERAGE(OFFSET($H$3,0,0,'Données projet'!$E$10+1,1))</f>
        <v>263.15518481854753</v>
      </c>
      <c r="AO145" s="59">
        <f t="shared" si="144"/>
        <v>210.80755370263819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275.99999999999972</v>
      </c>
      <c r="BE145" s="13">
        <f>BD145*VLOOKUP('Données projet'!$B$11,Paramètres!$A$1:$I$89,3,0)*VLOOKUP('Données projet'!$B$11,Paramètres!$A$1:$I$89,5,0)</f>
        <v>223.8911999999998</v>
      </c>
      <c r="BF145" s="13">
        <f t="shared" si="145"/>
        <v>54.95975389514858</v>
      </c>
      <c r="BG145" s="20">
        <f t="shared" si="115"/>
        <v>485.66541136738346</v>
      </c>
      <c r="BH145" s="59">
        <f t="shared" si="116"/>
        <v>778.99874470071677</v>
      </c>
      <c r="BI145" s="59">
        <f ca="1">AVERAGE(OFFSET($BH$3,0,0,'Données projet'!$E$11+1,1))-AVERAGE(OFFSET($H$3,0,0,'Données projet'!$E$11+1,1))</f>
        <v>203.21935660591021</v>
      </c>
      <c r="BJ145" s="59">
        <f t="shared" si="146"/>
        <v>180.54762778843178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0.10909902510494299</v>
      </c>
      <c r="BQ145" s="21">
        <f>EXP(-LN(2)/25)*BQ144+(1-EXP(-LN(2)/25))/(LN(2)/25)*Calculateur!BL145*Calculateur!BN145*VLOOKUP('Données projet'!$B$11,Paramètres!$A$1:$I$89,3,0)*0.475*44/12</f>
        <v>0.26007023255699108</v>
      </c>
      <c r="BR145" s="21">
        <f>EXP(-LN(2)/2)*BR144+(1-EXP(-LN(2)/2))/(LN(2)/2)*BL145*BO145*VLOOKUP('Données projet'!$B$11,Paramètres!$A$1:$I$89,3,0)*0.475*44/12</f>
        <v>1.2577001274299758E-16</v>
      </c>
      <c r="BS145" s="22">
        <f t="shared" si="117"/>
        <v>0.3691692576619342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5.1063034188034209</v>
      </c>
      <c r="BY145" s="12">
        <f>IF('Données projet'!$A$114&gt;35,BY144+BX145-CG144,IF(A145&lt;'Données projet'!$A$114,$BV$205^A145,IF(A145='Données projet'!$A$114,'Données projet'!$B$114,BY144+BX145-CG144)))</f>
        <v>267.4417735042731</v>
      </c>
      <c r="BZ145" s="13">
        <f>BY145*VLOOKUP('Données projet'!$B$12,Paramètres!$A$1:$I$89,3,0)*VLOOKUP('Données projet'!$B$12,Paramètres!$A$1:$I$89,5,0)</f>
        <v>287.87432499999954</v>
      </c>
      <c r="CA145" s="13">
        <f t="shared" si="147"/>
        <v>68.628384557588845</v>
      </c>
      <c r="CB145" s="20">
        <f t="shared" si="118"/>
        <v>620.90888581279978</v>
      </c>
      <c r="CC145" s="59">
        <f t="shared" si="119"/>
        <v>914.24221914613304</v>
      </c>
      <c r="CD145" s="59">
        <f ca="1">AVERAGE(OFFSET($CC$3,0,0,'Données projet'!$E$12+1,1))-AVERAGE(OFFSET($H$3,0,0,'Données projet'!$E$12+1,1))</f>
        <v>211.18501783767226</v>
      </c>
      <c r="CE145" s="59">
        <f t="shared" si="148"/>
        <v>147.98306963466246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0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5.1063034188034209</v>
      </c>
      <c r="CT145" s="12">
        <f>IF('Données projet'!$A$140&gt;35,CT144+CS145-DB144,IF(A145&lt;'Données projet'!$A$140,$CQ$205^A145,IF(A145='Données projet'!$A$140,'Données projet'!$B$140,CT144+CS145-DB144)))</f>
        <v>267.4417735042731</v>
      </c>
      <c r="CU145" s="17">
        <f>CT145*VLOOKUP('Données projet'!$B$13,Paramètres!$A$1:$I$89,3,0)*VLOOKUP('Données projet'!$B$13,Paramètres!$A$1:$I$89,5,0)</f>
        <v>287.87432499999954</v>
      </c>
      <c r="CV145" s="13">
        <f t="shared" si="149"/>
        <v>68.628384557588845</v>
      </c>
      <c r="CW145" s="20">
        <f t="shared" si="121"/>
        <v>620.90888581279978</v>
      </c>
      <c r="CX145" s="59">
        <f t="shared" si="122"/>
        <v>914.24221914613304</v>
      </c>
      <c r="CY145" s="59">
        <f ca="1">AVERAGE(OFFSET($CX$3,0,0,'Données projet'!$E$13+1,1))-AVERAGE(OFFSET($H$3,0,0,'Données projet'!$E$13+1,1))</f>
        <v>211.18501783767226</v>
      </c>
      <c r="CZ145" s="59">
        <f t="shared" si="150"/>
        <v>147.98306963466246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0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-1.3596945791505279E-13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182.25704762953387</v>
      </c>
      <c r="T146" s="59">
        <f t="shared" si="142"/>
        <v>265.61788177751134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0.53312222671950704</v>
      </c>
      <c r="AA146" s="21">
        <f>EXP(-LN(2)/25)*AA145+(1-EXP(-LN(2)/25))/(LN(2)/25)*Calculateur!V146*Calculateur!X146*VLOOKUP('Données projet'!$B$9,Paramètres!$A$1:$I$89,3,0)*0.475*44/12</f>
        <v>0.74661600682236728</v>
      </c>
      <c r="AB146" s="21">
        <f>EXP(-LN(2)/2)*AB145+(1-EXP(-LN(2)/2))/(LN(2)/2)*V146*Y146*VLOOKUP('Données projet'!$B$9,Paramètres!$A$1:$I$89,3,0)*0.475*44/12</f>
        <v>2.8947616586833572E-17</v>
      </c>
      <c r="AC146" s="22">
        <f t="shared" si="111"/>
        <v>1.2797382335418743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4.5474735088646412E-13</v>
      </c>
      <c r="AJ146" s="13">
        <f>AI146*VLOOKUP('Données projet'!$B$10,Paramètres!$A$1:$I$89,3,0)*VLOOKUP('Données projet'!$B$10,Paramètres!$A$1:$I$89,5,0)</f>
        <v>4.6111381379887462E-13</v>
      </c>
      <c r="AK146" s="13">
        <f t="shared" si="143"/>
        <v>5.7981965206434308E-12</v>
      </c>
      <c r="AL146" s="20">
        <f t="shared" si="112"/>
        <v>1.0901632165820347E-11</v>
      </c>
      <c r="AM146" s="59">
        <f t="shared" si="113"/>
        <v>293.33333333334423</v>
      </c>
      <c r="AN146" s="59">
        <f ca="1">AVERAGE(OFFSET($AM$3,0,0,'Données projet'!$E$10+1,1))-AVERAGE(OFFSET($H$3,0,0,'Données projet'!$E$10+1,1))</f>
        <v>263.15518481854753</v>
      </c>
      <c r="AO146" s="59">
        <f t="shared" si="144"/>
        <v>210.80755370263819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275.99999999999972</v>
      </c>
      <c r="BE146" s="13">
        <f>BD146*VLOOKUP('Données projet'!$B$11,Paramètres!$A$1:$I$89,3,0)*VLOOKUP('Données projet'!$B$11,Paramètres!$A$1:$I$89,5,0)</f>
        <v>223.8911999999998</v>
      </c>
      <c r="BF146" s="13">
        <f t="shared" si="145"/>
        <v>54.95975389514858</v>
      </c>
      <c r="BG146" s="20">
        <f t="shared" si="115"/>
        <v>485.66541136738346</v>
      </c>
      <c r="BH146" s="59">
        <f t="shared" si="116"/>
        <v>778.99874470071677</v>
      </c>
      <c r="BI146" s="59">
        <f ca="1">AVERAGE(OFFSET($BH$3,0,0,'Données projet'!$E$11+1,1))-AVERAGE(OFFSET($H$3,0,0,'Données projet'!$E$11+1,1))</f>
        <v>203.21935660591021</v>
      </c>
      <c r="BJ146" s="59">
        <f t="shared" si="146"/>
        <v>180.54762778843178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0.10695965976646971</v>
      </c>
      <c r="BQ146" s="21">
        <f>EXP(-LN(2)/25)*BQ145+(1-EXP(-LN(2)/25))/(LN(2)/25)*Calculateur!BL146*Calculateur!BN146*VLOOKUP('Données projet'!$B$11,Paramètres!$A$1:$I$89,3,0)*0.475*44/12</f>
        <v>0.25295859837122103</v>
      </c>
      <c r="BR146" s="21">
        <f>EXP(-LN(2)/2)*BR145+(1-EXP(-LN(2)/2))/(LN(2)/2)*BL146*BO146*VLOOKUP('Données projet'!$B$11,Paramètres!$A$1:$I$89,3,0)*0.475*44/12</f>
        <v>8.8932828880492083E-17</v>
      </c>
      <c r="BS146" s="22">
        <f t="shared" si="117"/>
        <v>0.35991825813769085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5.1063034188034209</v>
      </c>
      <c r="BY146" s="12">
        <f>IF('Données projet'!$A$114&gt;35,BY145+BX146-CG145,IF(A146&lt;'Données projet'!$A$114,$BV$205^A146,IF(A146='Données projet'!$A$114,'Données projet'!$B$114,BY145+BX146-CG145)))</f>
        <v>272.54807692307651</v>
      </c>
      <c r="BZ146" s="13">
        <f>BY146*VLOOKUP('Données projet'!$B$12,Paramètres!$A$1:$I$89,3,0)*VLOOKUP('Données projet'!$B$12,Paramètres!$A$1:$I$89,5,0)</f>
        <v>293.37074999999953</v>
      </c>
      <c r="CA146" s="13">
        <f t="shared" si="147"/>
        <v>69.784915855494148</v>
      </c>
      <c r="CB146" s="20">
        <f t="shared" si="118"/>
        <v>632.49611803165146</v>
      </c>
      <c r="CC146" s="59">
        <f t="shared" si="119"/>
        <v>925.82945136498483</v>
      </c>
      <c r="CD146" s="59">
        <f ca="1">AVERAGE(OFFSET($CC$3,0,0,'Données projet'!$E$12+1,1))-AVERAGE(OFFSET($H$3,0,0,'Données projet'!$E$12+1,1))</f>
        <v>211.18501783767226</v>
      </c>
      <c r="CE146" s="59">
        <f t="shared" si="148"/>
        <v>147.98306963466246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0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5.1063034188034209</v>
      </c>
      <c r="CT146" s="12">
        <f>IF('Données projet'!$A$140&gt;35,CT145+CS146-DB145,IF(A146&lt;'Données projet'!$A$140,$CQ$205^A146,IF(A146='Données projet'!$A$140,'Données projet'!$B$140,CT145+CS146-DB145)))</f>
        <v>272.54807692307651</v>
      </c>
      <c r="CU146" s="17">
        <f>CT146*VLOOKUP('Données projet'!$B$13,Paramètres!$A$1:$I$89,3,0)*VLOOKUP('Données projet'!$B$13,Paramètres!$A$1:$I$89,5,0)</f>
        <v>293.37074999999953</v>
      </c>
      <c r="CV146" s="13">
        <f t="shared" si="149"/>
        <v>69.784915855494148</v>
      </c>
      <c r="CW146" s="20">
        <f t="shared" si="121"/>
        <v>632.49611803165146</v>
      </c>
      <c r="CX146" s="59">
        <f t="shared" si="122"/>
        <v>925.82945136498483</v>
      </c>
      <c r="CY146" s="59">
        <f ca="1">AVERAGE(OFFSET($CX$3,0,0,'Données projet'!$E$13+1,1))-AVERAGE(OFFSET($H$3,0,0,'Données projet'!$E$13+1,1))</f>
        <v>211.18501783767226</v>
      </c>
      <c r="CZ146" s="59">
        <f t="shared" si="150"/>
        <v>147.98306963466246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0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-1.3596945791505279E-13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182.25704762953387</v>
      </c>
      <c r="T147" s="59">
        <f t="shared" si="142"/>
        <v>265.61788177751134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0.52266802502598775</v>
      </c>
      <c r="AA147" s="21">
        <f>EXP(-LN(2)/25)*AA146+(1-EXP(-LN(2)/25))/(LN(2)/25)*Calculateur!V147*Calculateur!X147*VLOOKUP('Données projet'!$B$9,Paramètres!$A$1:$I$89,3,0)*0.475*44/12</f>
        <v>0.72619975285298022</v>
      </c>
      <c r="AB147" s="21">
        <f>EXP(-LN(2)/2)*AB146+(1-EXP(-LN(2)/2))/(LN(2)/2)*V147*Y147*VLOOKUP('Données projet'!$B$9,Paramètres!$A$1:$I$89,3,0)*0.475*44/12</f>
        <v>2.04690559877382E-17</v>
      </c>
      <c r="AC147" s="22">
        <f t="shared" si="111"/>
        <v>1.2488677778789681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4.5474735088646412E-13</v>
      </c>
      <c r="AJ147" s="13">
        <f>AI147*VLOOKUP('Données projet'!$B$10,Paramètres!$A$1:$I$89,3,0)*VLOOKUP('Données projet'!$B$10,Paramètres!$A$1:$I$89,5,0)</f>
        <v>4.6111381379887462E-13</v>
      </c>
      <c r="AK147" s="13">
        <f t="shared" si="143"/>
        <v>5.7981965206434308E-12</v>
      </c>
      <c r="AL147" s="20">
        <f t="shared" si="112"/>
        <v>1.0901632165820347E-11</v>
      </c>
      <c r="AM147" s="59">
        <f t="shared" si="113"/>
        <v>293.33333333334423</v>
      </c>
      <c r="AN147" s="59">
        <f ca="1">AVERAGE(OFFSET($AM$3,0,0,'Données projet'!$E$10+1,1))-AVERAGE(OFFSET($H$3,0,0,'Données projet'!$E$10+1,1))</f>
        <v>263.15518481854753</v>
      </c>
      <c r="AO147" s="59">
        <f t="shared" si="144"/>
        <v>210.80755370263819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275.99999999999972</v>
      </c>
      <c r="BE147" s="13">
        <f>BD147*VLOOKUP('Données projet'!$B$11,Paramètres!$A$1:$I$89,3,0)*VLOOKUP('Données projet'!$B$11,Paramètres!$A$1:$I$89,5,0)</f>
        <v>223.8911999999998</v>
      </c>
      <c r="BF147" s="13">
        <f t="shared" si="145"/>
        <v>54.95975389514858</v>
      </c>
      <c r="BG147" s="20">
        <f t="shared" si="115"/>
        <v>485.66541136738346</v>
      </c>
      <c r="BH147" s="59">
        <f t="shared" si="116"/>
        <v>778.99874470071677</v>
      </c>
      <c r="BI147" s="59">
        <f ca="1">AVERAGE(OFFSET($BH$3,0,0,'Données projet'!$E$11+1,1))-AVERAGE(OFFSET($H$3,0,0,'Données projet'!$E$11+1,1))</f>
        <v>203.21935660591021</v>
      </c>
      <c r="BJ147" s="59">
        <f t="shared" si="146"/>
        <v>180.54762778843178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0.10486224607739988</v>
      </c>
      <c r="BQ147" s="21">
        <f>EXP(-LN(2)/25)*BQ146+(1-EXP(-LN(2)/25))/(LN(2)/25)*Calculateur!BL147*Calculateur!BN147*VLOOKUP('Données projet'!$B$11,Paramètres!$A$1:$I$89,3,0)*0.475*44/12</f>
        <v>0.24604143219624544</v>
      </c>
      <c r="BR147" s="21">
        <f>EXP(-LN(2)/2)*BR146+(1-EXP(-LN(2)/2))/(LN(2)/2)*BL147*BO147*VLOOKUP('Données projet'!$B$11,Paramètres!$A$1:$I$89,3,0)*0.475*44/12</f>
        <v>6.2885006371498788E-17</v>
      </c>
      <c r="BS147" s="22">
        <f t="shared" si="117"/>
        <v>0.35090367827364538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5.1063034188034209</v>
      </c>
      <c r="BY147" s="12">
        <f>IF('Données projet'!$A$114&gt;35,BY146+BX147-CG146,IF(A147&lt;'Données projet'!$A$114,$BV$205^A147,IF(A147='Données projet'!$A$114,'Données projet'!$B$114,BY146+BX147-CG146)))</f>
        <v>277.65438034187991</v>
      </c>
      <c r="BZ147" s="13">
        <f>BY147*VLOOKUP('Données projet'!$B$12,Paramètres!$A$1:$I$89,3,0)*VLOOKUP('Données projet'!$B$12,Paramètres!$A$1:$I$89,5,0)</f>
        <v>298.86717499999952</v>
      </c>
      <c r="CA147" s="13">
        <f t="shared" si="147"/>
        <v>70.938927578598737</v>
      </c>
      <c r="CB147" s="20">
        <f t="shared" si="118"/>
        <v>644.07896199105858</v>
      </c>
      <c r="CC147" s="59">
        <f t="shared" si="119"/>
        <v>937.41229532439183</v>
      </c>
      <c r="CD147" s="59">
        <f ca="1">AVERAGE(OFFSET($CC$3,0,0,'Données projet'!$E$12+1,1))-AVERAGE(OFFSET($H$3,0,0,'Données projet'!$E$12+1,1))</f>
        <v>211.18501783767226</v>
      </c>
      <c r="CE147" s="59">
        <f t="shared" si="148"/>
        <v>147.98306963466246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0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5.1063034188034209</v>
      </c>
      <c r="CT147" s="12">
        <f>IF('Données projet'!$A$140&gt;35,CT146+CS147-DB146,IF(A147&lt;'Données projet'!$A$140,$CQ$205^A147,IF(A147='Données projet'!$A$140,'Données projet'!$B$140,CT146+CS147-DB146)))</f>
        <v>277.65438034187991</v>
      </c>
      <c r="CU147" s="17">
        <f>CT147*VLOOKUP('Données projet'!$B$13,Paramètres!$A$1:$I$89,3,0)*VLOOKUP('Données projet'!$B$13,Paramètres!$A$1:$I$89,5,0)</f>
        <v>298.86717499999952</v>
      </c>
      <c r="CV147" s="13">
        <f t="shared" si="149"/>
        <v>70.938927578598737</v>
      </c>
      <c r="CW147" s="20">
        <f t="shared" si="121"/>
        <v>644.07896199105858</v>
      </c>
      <c r="CX147" s="59">
        <f t="shared" si="122"/>
        <v>937.41229532439183</v>
      </c>
      <c r="CY147" s="59">
        <f ca="1">AVERAGE(OFFSET($CX$3,0,0,'Données projet'!$E$13+1,1))-AVERAGE(OFFSET($H$3,0,0,'Données projet'!$E$13+1,1))</f>
        <v>211.18501783767226</v>
      </c>
      <c r="CZ147" s="59">
        <f t="shared" si="150"/>
        <v>147.98306963466246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0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-1.3596945791505279E-13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182.25704762953387</v>
      </c>
      <c r="T148" s="59">
        <f t="shared" si="142"/>
        <v>265.61788177751134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0.51241882385124493</v>
      </c>
      <c r="AA148" s="21">
        <f>EXP(-LN(2)/25)*AA147+(1-EXP(-LN(2)/25))/(LN(2)/25)*Calculateur!V148*Calculateur!X148*VLOOKUP('Données projet'!$B$9,Paramètres!$A$1:$I$89,3,0)*0.475*44/12</f>
        <v>0.70634178242203027</v>
      </c>
      <c r="AB148" s="21">
        <f>EXP(-LN(2)/2)*AB147+(1-EXP(-LN(2)/2))/(LN(2)/2)*V148*Y148*VLOOKUP('Données projet'!$B$9,Paramètres!$A$1:$I$89,3,0)*0.475*44/12</f>
        <v>1.4473808293416786E-17</v>
      </c>
      <c r="AC148" s="22">
        <f t="shared" si="111"/>
        <v>1.2187606062732752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4.5474735088646412E-13</v>
      </c>
      <c r="AJ148" s="13">
        <f>AI148*VLOOKUP('Données projet'!$B$10,Paramètres!$A$1:$I$89,3,0)*VLOOKUP('Données projet'!$B$10,Paramètres!$A$1:$I$89,5,0)</f>
        <v>4.6111381379887462E-13</v>
      </c>
      <c r="AK148" s="13">
        <f t="shared" si="143"/>
        <v>5.7981965206434308E-12</v>
      </c>
      <c r="AL148" s="20">
        <f t="shared" si="112"/>
        <v>1.0901632165820347E-11</v>
      </c>
      <c r="AM148" s="59">
        <f t="shared" si="113"/>
        <v>293.33333333334423</v>
      </c>
      <c r="AN148" s="59">
        <f ca="1">AVERAGE(OFFSET($AM$3,0,0,'Données projet'!$E$10+1,1))-AVERAGE(OFFSET($H$3,0,0,'Données projet'!$E$10+1,1))</f>
        <v>263.15518481854753</v>
      </c>
      <c r="AO148" s="59">
        <f t="shared" si="144"/>
        <v>210.80755370263819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275.99999999999972</v>
      </c>
      <c r="BE148" s="13">
        <f>BD148*VLOOKUP('Données projet'!$B$11,Paramètres!$A$1:$I$89,3,0)*VLOOKUP('Données projet'!$B$11,Paramètres!$A$1:$I$89,5,0)</f>
        <v>223.8911999999998</v>
      </c>
      <c r="BF148" s="13">
        <f t="shared" si="145"/>
        <v>54.95975389514858</v>
      </c>
      <c r="BG148" s="20">
        <f t="shared" si="115"/>
        <v>485.66541136738346</v>
      </c>
      <c r="BH148" s="59">
        <f t="shared" si="116"/>
        <v>778.99874470071677</v>
      </c>
      <c r="BI148" s="59">
        <f ca="1">AVERAGE(OFFSET($BH$3,0,0,'Données projet'!$E$11+1,1))-AVERAGE(OFFSET($H$3,0,0,'Données projet'!$E$11+1,1))</f>
        <v>203.21935660591021</v>
      </c>
      <c r="BJ148" s="59">
        <f t="shared" si="146"/>
        <v>180.54762778843178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0.10280596139147669</v>
      </c>
      <c r="BQ148" s="21">
        <f>EXP(-LN(2)/25)*BQ147+(1-EXP(-LN(2)/25))/(LN(2)/25)*Calculateur!BL148*Calculateur!BN148*VLOOKUP('Données projet'!$B$11,Paramètres!$A$1:$I$89,3,0)*0.475*44/12</f>
        <v>0.23931341629408254</v>
      </c>
      <c r="BR148" s="21">
        <f>EXP(-LN(2)/2)*BR147+(1-EXP(-LN(2)/2))/(LN(2)/2)*BL148*BO148*VLOOKUP('Données projet'!$B$11,Paramètres!$A$1:$I$89,3,0)*0.475*44/12</f>
        <v>4.4466414440246041E-17</v>
      </c>
      <c r="BS148" s="22">
        <f t="shared" si="117"/>
        <v>0.34211937768555928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5.1063034188034209</v>
      </c>
      <c r="BY148" s="12">
        <f>IF('Données projet'!$A$114&gt;35,BY147+BX148-CG147,IF(A148&lt;'Données projet'!$A$114,$BV$205^A148,IF(A148='Données projet'!$A$114,'Données projet'!$B$114,BY147+BX148-CG147)))</f>
        <v>282.76068376068332</v>
      </c>
      <c r="BZ148" s="13">
        <f>BY148*VLOOKUP('Données projet'!$B$12,Paramètres!$A$1:$I$89,3,0)*VLOOKUP('Données projet'!$B$12,Paramètres!$A$1:$I$89,5,0)</f>
        <v>304.36359999999951</v>
      </c>
      <c r="CA148" s="13">
        <f t="shared" si="147"/>
        <v>72.090471408244667</v>
      </c>
      <c r="CB148" s="20">
        <f t="shared" si="118"/>
        <v>655.65750770269199</v>
      </c>
      <c r="CC148" s="59">
        <f t="shared" si="119"/>
        <v>948.99084103602536</v>
      </c>
      <c r="CD148" s="59">
        <f ca="1">AVERAGE(OFFSET($CC$3,0,0,'Données projet'!$E$12+1,1))-AVERAGE(OFFSET($H$3,0,0,'Données projet'!$E$12+1,1))</f>
        <v>211.18501783767226</v>
      </c>
      <c r="CE148" s="59">
        <f t="shared" si="148"/>
        <v>147.98306963466246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0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5.1063034188034209</v>
      </c>
      <c r="CT148" s="12">
        <f>IF('Données projet'!$A$140&gt;35,CT147+CS148-DB147,IF(A148&lt;'Données projet'!$A$140,$CQ$205^A148,IF(A148='Données projet'!$A$140,'Données projet'!$B$140,CT147+CS148-DB147)))</f>
        <v>282.76068376068332</v>
      </c>
      <c r="CU148" s="17">
        <f>CT148*VLOOKUP('Données projet'!$B$13,Paramètres!$A$1:$I$89,3,0)*VLOOKUP('Données projet'!$B$13,Paramètres!$A$1:$I$89,5,0)</f>
        <v>304.36359999999951</v>
      </c>
      <c r="CV148" s="13">
        <f t="shared" si="149"/>
        <v>72.090471408244667</v>
      </c>
      <c r="CW148" s="20">
        <f t="shared" si="121"/>
        <v>655.65750770269199</v>
      </c>
      <c r="CX148" s="59">
        <f t="shared" si="122"/>
        <v>948.99084103602536</v>
      </c>
      <c r="CY148" s="59">
        <f ca="1">AVERAGE(OFFSET($CX$3,0,0,'Données projet'!$E$13+1,1))-AVERAGE(OFFSET($H$3,0,0,'Données projet'!$E$13+1,1))</f>
        <v>211.18501783767226</v>
      </c>
      <c r="CZ148" s="59">
        <f t="shared" si="150"/>
        <v>147.98306963466246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0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-1.3596945791505279E-13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182.25704762953387</v>
      </c>
      <c r="T149" s="59">
        <f t="shared" si="142"/>
        <v>265.61788177751134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0.50237060326014338</v>
      </c>
      <c r="AA149" s="21">
        <f>EXP(-LN(2)/25)*AA148+(1-EXP(-LN(2)/25))/(LN(2)/25)*Calculateur!V149*Calculateur!X149*VLOOKUP('Données projet'!$B$9,Paramètres!$A$1:$I$89,3,0)*0.475*44/12</f>
        <v>0.68702682923679992</v>
      </c>
      <c r="AB149" s="21">
        <f>EXP(-LN(2)/2)*AB148+(1-EXP(-LN(2)/2))/(LN(2)/2)*V149*Y149*VLOOKUP('Données projet'!$B$9,Paramètres!$A$1:$I$89,3,0)*0.475*44/12</f>
        <v>1.02345279938691E-17</v>
      </c>
      <c r="AC149" s="22">
        <f t="shared" si="111"/>
        <v>1.1893974324969432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4.5474735088646412E-13</v>
      </c>
      <c r="AJ149" s="13">
        <f>AI149*VLOOKUP('Données projet'!$B$10,Paramètres!$A$1:$I$89,3,0)*VLOOKUP('Données projet'!$B$10,Paramètres!$A$1:$I$89,5,0)</f>
        <v>4.6111381379887462E-13</v>
      </c>
      <c r="AK149" s="13">
        <f t="shared" si="143"/>
        <v>5.7981965206434308E-12</v>
      </c>
      <c r="AL149" s="20">
        <f t="shared" si="112"/>
        <v>1.0901632165820347E-11</v>
      </c>
      <c r="AM149" s="59">
        <f t="shared" si="113"/>
        <v>293.33333333334423</v>
      </c>
      <c r="AN149" s="59">
        <f ca="1">AVERAGE(OFFSET($AM$3,0,0,'Données projet'!$E$10+1,1))-AVERAGE(OFFSET($H$3,0,0,'Données projet'!$E$10+1,1))</f>
        <v>263.15518481854753</v>
      </c>
      <c r="AO149" s="59">
        <f t="shared" si="144"/>
        <v>210.80755370263819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275.99999999999972</v>
      </c>
      <c r="BE149" s="13">
        <f>BD149*VLOOKUP('Données projet'!$B$11,Paramètres!$A$1:$I$89,3,0)*VLOOKUP('Données projet'!$B$11,Paramètres!$A$1:$I$89,5,0)</f>
        <v>223.8911999999998</v>
      </c>
      <c r="BF149" s="13">
        <f t="shared" si="145"/>
        <v>54.95975389514858</v>
      </c>
      <c r="BG149" s="20">
        <f t="shared" si="115"/>
        <v>485.66541136738346</v>
      </c>
      <c r="BH149" s="59">
        <f t="shared" si="116"/>
        <v>778.99874470071677</v>
      </c>
      <c r="BI149" s="59">
        <f ca="1">AVERAGE(OFFSET($BH$3,0,0,'Données projet'!$E$11+1,1))-AVERAGE(OFFSET($H$3,0,0,'Données projet'!$E$11+1,1))</f>
        <v>203.21935660591021</v>
      </c>
      <c r="BJ149" s="59">
        <f t="shared" si="146"/>
        <v>180.54762778843178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0.10078999919403463</v>
      </c>
      <c r="BQ149" s="21">
        <f>EXP(-LN(2)/25)*BQ148+(1-EXP(-LN(2)/25))/(LN(2)/25)*Calculateur!BL149*Calculateur!BN149*VLOOKUP('Données projet'!$B$11,Paramètres!$A$1:$I$89,3,0)*0.475*44/12</f>
        <v>0.23276937834057523</v>
      </c>
      <c r="BR149" s="21">
        <f>EXP(-LN(2)/2)*BR148+(1-EXP(-LN(2)/2))/(LN(2)/2)*BL149*BO149*VLOOKUP('Données projet'!$B$11,Paramètres!$A$1:$I$89,3,0)*0.475*44/12</f>
        <v>3.1442503185749394E-17</v>
      </c>
      <c r="BS149" s="22">
        <f t="shared" si="117"/>
        <v>0.3335593775346099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5.1063034188034209</v>
      </c>
      <c r="BY149" s="12">
        <f>IF('Données projet'!$A$114&gt;35,BY148+BX149-CG148,IF(A149&lt;'Données projet'!$A$114,$BV$205^A149,IF(A149='Données projet'!$A$114,'Données projet'!$B$114,BY148+BX149-CG148)))</f>
        <v>287.86698717948673</v>
      </c>
      <c r="BZ149" s="13">
        <f>BY149*VLOOKUP('Données projet'!$B$12,Paramètres!$A$1:$I$89,3,0)*VLOOKUP('Données projet'!$B$12,Paramètres!$A$1:$I$89,5,0)</f>
        <v>309.8600249999995</v>
      </c>
      <c r="CA149" s="13">
        <f t="shared" si="147"/>
        <v>73.239597052291018</v>
      </c>
      <c r="CB149" s="20">
        <f t="shared" si="118"/>
        <v>667.23184174107257</v>
      </c>
      <c r="CC149" s="59">
        <f t="shared" si="119"/>
        <v>960.56517507440594</v>
      </c>
      <c r="CD149" s="59">
        <f ca="1">AVERAGE(OFFSET($CC$3,0,0,'Données projet'!$E$12+1,1))-AVERAGE(OFFSET($H$3,0,0,'Données projet'!$E$12+1,1))</f>
        <v>211.18501783767226</v>
      </c>
      <c r="CE149" s="59">
        <f t="shared" si="148"/>
        <v>147.98306963466246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0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5.1063034188034209</v>
      </c>
      <c r="CT149" s="12">
        <f>IF('Données projet'!$A$140&gt;35,CT148+CS149-DB148,IF(A149&lt;'Données projet'!$A$140,$CQ$205^A149,IF(A149='Données projet'!$A$140,'Données projet'!$B$140,CT148+CS149-DB148)))</f>
        <v>287.86698717948673</v>
      </c>
      <c r="CU149" s="17">
        <f>CT149*VLOOKUP('Données projet'!$B$13,Paramètres!$A$1:$I$89,3,0)*VLOOKUP('Données projet'!$B$13,Paramètres!$A$1:$I$89,5,0)</f>
        <v>309.8600249999995</v>
      </c>
      <c r="CV149" s="13">
        <f t="shared" si="149"/>
        <v>73.239597052291018</v>
      </c>
      <c r="CW149" s="20">
        <f t="shared" si="121"/>
        <v>667.23184174107257</v>
      </c>
      <c r="CX149" s="59">
        <f t="shared" si="122"/>
        <v>960.56517507440594</v>
      </c>
      <c r="CY149" s="59">
        <f ca="1">AVERAGE(OFFSET($CX$3,0,0,'Données projet'!$E$13+1,1))-AVERAGE(OFFSET($H$3,0,0,'Données projet'!$E$13+1,1))</f>
        <v>211.18501783767226</v>
      </c>
      <c r="CZ149" s="59">
        <f t="shared" si="150"/>
        <v>147.98306963466246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0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-1.3596945791505279E-13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182.25704762953387</v>
      </c>
      <c r="T150" s="59">
        <f t="shared" si="142"/>
        <v>265.61788177751134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0.4925194221460239</v>
      </c>
      <c r="AA150" s="21">
        <f>EXP(-LN(2)/25)*AA149+(1-EXP(-LN(2)/25))/(LN(2)/25)*Calculateur!V150*Calculateur!X150*VLOOKUP('Données projet'!$B$9,Paramètres!$A$1:$I$89,3,0)*0.475*44/12</f>
        <v>0.66824004446214891</v>
      </c>
      <c r="AB150" s="21">
        <f>EXP(-LN(2)/2)*AB149+(1-EXP(-LN(2)/2))/(LN(2)/2)*V150*Y150*VLOOKUP('Données projet'!$B$9,Paramètres!$A$1:$I$89,3,0)*0.475*44/12</f>
        <v>7.2369041467083929E-18</v>
      </c>
      <c r="AC150" s="22">
        <f t="shared" si="111"/>
        <v>1.1607594666081729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4.5474735088646412E-13</v>
      </c>
      <c r="AJ150" s="13">
        <f>AI150*VLOOKUP('Données projet'!$B$10,Paramètres!$A$1:$I$89,3,0)*VLOOKUP('Données projet'!$B$10,Paramètres!$A$1:$I$89,5,0)</f>
        <v>4.6111381379887462E-13</v>
      </c>
      <c r="AK150" s="13">
        <f t="shared" si="143"/>
        <v>5.7981965206434308E-12</v>
      </c>
      <c r="AL150" s="20">
        <f t="shared" si="112"/>
        <v>1.0901632165820347E-11</v>
      </c>
      <c r="AM150" s="59">
        <f t="shared" si="113"/>
        <v>293.33333333334423</v>
      </c>
      <c r="AN150" s="59">
        <f ca="1">AVERAGE(OFFSET($AM$3,0,0,'Données projet'!$E$10+1,1))-AVERAGE(OFFSET($H$3,0,0,'Données projet'!$E$10+1,1))</f>
        <v>263.15518481854753</v>
      </c>
      <c r="AO150" s="59">
        <f t="shared" si="144"/>
        <v>210.80755370263819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275.99999999999972</v>
      </c>
      <c r="BE150" s="13">
        <f>BD150*VLOOKUP('Données projet'!$B$11,Paramètres!$A$1:$I$89,3,0)*VLOOKUP('Données projet'!$B$11,Paramètres!$A$1:$I$89,5,0)</f>
        <v>223.8911999999998</v>
      </c>
      <c r="BF150" s="13">
        <f t="shared" si="145"/>
        <v>54.95975389514858</v>
      </c>
      <c r="BG150" s="20">
        <f t="shared" si="115"/>
        <v>485.66541136738346</v>
      </c>
      <c r="BH150" s="59">
        <f t="shared" si="116"/>
        <v>778.99874470071677</v>
      </c>
      <c r="BI150" s="59">
        <f ca="1">AVERAGE(OFFSET($BH$3,0,0,'Données projet'!$E$11+1,1))-AVERAGE(OFFSET($H$3,0,0,'Données projet'!$E$11+1,1))</f>
        <v>203.21935660591021</v>
      </c>
      <c r="BJ150" s="59">
        <f t="shared" si="146"/>
        <v>180.54762778843178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9.8813568785668882E-2</v>
      </c>
      <c r="BQ150" s="21">
        <f>EXP(-LN(2)/25)*BQ149+(1-EXP(-LN(2)/25))/(LN(2)/25)*Calculateur!BL150*Calculateur!BN150*VLOOKUP('Données projet'!$B$11,Paramètres!$A$1:$I$89,3,0)*0.475*44/12</f>
        <v>0.22640428744904259</v>
      </c>
      <c r="BR150" s="21">
        <f>EXP(-LN(2)/2)*BR149+(1-EXP(-LN(2)/2))/(LN(2)/2)*BL150*BO150*VLOOKUP('Données projet'!$B$11,Paramètres!$A$1:$I$89,3,0)*0.475*44/12</f>
        <v>2.2233207220123021E-17</v>
      </c>
      <c r="BS150" s="22">
        <f t="shared" si="117"/>
        <v>0.32521785623471144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5.1063034188034209</v>
      </c>
      <c r="BY150" s="12">
        <f>IF('Données projet'!$A$114&gt;35,BY149+BX150-CG149,IF(A150&lt;'Données projet'!$A$114,$BV$205^A150,IF(A150='Données projet'!$A$114,'Données projet'!$B$114,BY149+BX150-CG149)))</f>
        <v>292.97329059829013</v>
      </c>
      <c r="BZ150" s="13">
        <f>BY150*VLOOKUP('Données projet'!$B$12,Paramètres!$A$1:$I$89,3,0)*VLOOKUP('Données projet'!$B$12,Paramètres!$A$1:$I$89,5,0)</f>
        <v>315.35644999999948</v>
      </c>
      <c r="CA150" s="13">
        <f t="shared" si="147"/>
        <v>74.386352354117903</v>
      </c>
      <c r="CB150" s="20">
        <f t="shared" si="118"/>
        <v>678.80204743342108</v>
      </c>
      <c r="CC150" s="59">
        <f t="shared" si="119"/>
        <v>972.13538076675445</v>
      </c>
      <c r="CD150" s="59">
        <f ca="1">AVERAGE(OFFSET($CC$3,0,0,'Données projet'!$E$12+1,1))-AVERAGE(OFFSET($H$3,0,0,'Données projet'!$E$12+1,1))</f>
        <v>211.18501783767226</v>
      </c>
      <c r="CE150" s="59">
        <f t="shared" si="148"/>
        <v>147.98306963466246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0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5.1063034188034209</v>
      </c>
      <c r="CT150" s="12">
        <f>IF('Données projet'!$A$140&gt;35,CT149+CS150-DB149,IF(A150&lt;'Données projet'!$A$140,$CQ$205^A150,IF(A150='Données projet'!$A$140,'Données projet'!$B$140,CT149+CS150-DB149)))</f>
        <v>292.97329059829013</v>
      </c>
      <c r="CU150" s="17">
        <f>CT150*VLOOKUP('Données projet'!$B$13,Paramètres!$A$1:$I$89,3,0)*VLOOKUP('Données projet'!$B$13,Paramètres!$A$1:$I$89,5,0)</f>
        <v>315.35644999999948</v>
      </c>
      <c r="CV150" s="13">
        <f t="shared" si="149"/>
        <v>74.386352354117903</v>
      </c>
      <c r="CW150" s="20">
        <f t="shared" si="121"/>
        <v>678.80204743342108</v>
      </c>
      <c r="CX150" s="59">
        <f t="shared" si="122"/>
        <v>972.13538076675445</v>
      </c>
      <c r="CY150" s="59">
        <f ca="1">AVERAGE(OFFSET($CX$3,0,0,'Données projet'!$E$13+1,1))-AVERAGE(OFFSET($H$3,0,0,'Données projet'!$E$13+1,1))</f>
        <v>211.18501783767226</v>
      </c>
      <c r="CZ150" s="59">
        <f t="shared" si="150"/>
        <v>147.98306963466246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0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-1.3596945791505279E-13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182.25704762953387</v>
      </c>
      <c r="T151" s="59">
        <f t="shared" si="142"/>
        <v>265.61788177751134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0.48286141668492516</v>
      </c>
      <c r="AA151" s="21">
        <f>EXP(-LN(2)/25)*AA150+(1-EXP(-LN(2)/25))/(LN(2)/25)*Calculateur!V151*Calculateur!X151*VLOOKUP('Données projet'!$B$9,Paramètres!$A$1:$I$89,3,0)*0.475*44/12</f>
        <v>0.64996698530511476</v>
      </c>
      <c r="AB151" s="21">
        <f>EXP(-LN(2)/2)*AB150+(1-EXP(-LN(2)/2))/(LN(2)/2)*V151*Y151*VLOOKUP('Données projet'!$B$9,Paramètres!$A$1:$I$89,3,0)*0.475*44/12</f>
        <v>5.11726399693455E-18</v>
      </c>
      <c r="AC151" s="22">
        <f t="shared" si="111"/>
        <v>1.1328284019900399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4.5474735088646412E-13</v>
      </c>
      <c r="AJ151" s="13">
        <f>AI151*VLOOKUP('Données projet'!$B$10,Paramètres!$A$1:$I$89,3,0)*VLOOKUP('Données projet'!$B$10,Paramètres!$A$1:$I$89,5,0)</f>
        <v>4.6111381379887462E-13</v>
      </c>
      <c r="AK151" s="13">
        <f t="shared" si="143"/>
        <v>5.7981965206434308E-12</v>
      </c>
      <c r="AL151" s="20">
        <f t="shared" si="112"/>
        <v>1.0901632165820347E-11</v>
      </c>
      <c r="AM151" s="59">
        <f t="shared" si="113"/>
        <v>293.33333333334423</v>
      </c>
      <c r="AN151" s="59">
        <f ca="1">AVERAGE(OFFSET($AM$3,0,0,'Données projet'!$E$10+1,1))-AVERAGE(OFFSET($H$3,0,0,'Données projet'!$E$10+1,1))</f>
        <v>263.15518481854753</v>
      </c>
      <c r="AO151" s="59">
        <f t="shared" si="144"/>
        <v>210.80755370263819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275.99999999999972</v>
      </c>
      <c r="BE151" s="13">
        <f>BD151*VLOOKUP('Données projet'!$B$11,Paramètres!$A$1:$I$89,3,0)*VLOOKUP('Données projet'!$B$11,Paramètres!$A$1:$I$89,5,0)</f>
        <v>223.8911999999998</v>
      </c>
      <c r="BF151" s="13">
        <f t="shared" si="145"/>
        <v>54.95975389514858</v>
      </c>
      <c r="BG151" s="20">
        <f t="shared" si="115"/>
        <v>485.66541136738346</v>
      </c>
      <c r="BH151" s="59">
        <f t="shared" si="116"/>
        <v>778.99874470071677</v>
      </c>
      <c r="BI151" s="59">
        <f ca="1">AVERAGE(OFFSET($BH$3,0,0,'Données projet'!$E$11+1,1))-AVERAGE(OFFSET($H$3,0,0,'Données projet'!$E$11+1,1))</f>
        <v>203.21935660591021</v>
      </c>
      <c r="BJ151" s="59">
        <f t="shared" si="146"/>
        <v>180.54762778843178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9.6875894972107676E-2</v>
      </c>
      <c r="BQ151" s="21">
        <f>EXP(-LN(2)/25)*BQ150+(1-EXP(-LN(2)/25))/(LN(2)/25)*Calculateur!BL151*Calculateur!BN151*VLOOKUP('Données projet'!$B$11,Paramètres!$A$1:$I$89,3,0)*0.475*44/12</f>
        <v>0.2202132503026645</v>
      </c>
      <c r="BR151" s="21">
        <f>EXP(-LN(2)/2)*BR150+(1-EXP(-LN(2)/2))/(LN(2)/2)*BL151*BO151*VLOOKUP('Données projet'!$B$11,Paramètres!$A$1:$I$89,3,0)*0.475*44/12</f>
        <v>1.5721251592874697E-17</v>
      </c>
      <c r="BS151" s="22">
        <f t="shared" si="117"/>
        <v>0.31708914527477217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5.1063034188034209</v>
      </c>
      <c r="BY151" s="12">
        <f>IF('Données projet'!$A$114&gt;35,BY150+BX151-CG150,IF(A151&lt;'Données projet'!$A$114,$BV$205^A151,IF(A151='Données projet'!$A$114,'Données projet'!$B$114,BY150+BX151-CG150)))</f>
        <v>298.07959401709354</v>
      </c>
      <c r="BZ151" s="13">
        <f>BY151*VLOOKUP('Données projet'!$B$12,Paramètres!$A$1:$I$89,3,0)*VLOOKUP('Données projet'!$B$12,Paramètres!$A$1:$I$89,5,0)</f>
        <v>320.85287499999947</v>
      </c>
      <c r="CA151" s="13">
        <f t="shared" si="147"/>
        <v>75.530783393816336</v>
      </c>
      <c r="CB151" s="20">
        <f t="shared" si="118"/>
        <v>690.36820503589581</v>
      </c>
      <c r="CC151" s="59">
        <f t="shared" si="119"/>
        <v>983.70153836922918</v>
      </c>
      <c r="CD151" s="59">
        <f ca="1">AVERAGE(OFFSET($CC$3,0,0,'Données projet'!$E$12+1,1))-AVERAGE(OFFSET($H$3,0,0,'Données projet'!$E$12+1,1))</f>
        <v>211.18501783767226</v>
      </c>
      <c r="CE151" s="59">
        <f t="shared" si="148"/>
        <v>147.98306963466246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0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5.1063034188034209</v>
      </c>
      <c r="CT151" s="12">
        <f>IF('Données projet'!$A$140&gt;35,CT150+CS151-DB150,IF(A151&lt;'Données projet'!$A$140,$CQ$205^A151,IF(A151='Données projet'!$A$140,'Données projet'!$B$140,CT150+CS151-DB150)))</f>
        <v>298.07959401709354</v>
      </c>
      <c r="CU151" s="17">
        <f>CT151*VLOOKUP('Données projet'!$B$13,Paramètres!$A$1:$I$89,3,0)*VLOOKUP('Données projet'!$B$13,Paramètres!$A$1:$I$89,5,0)</f>
        <v>320.85287499999947</v>
      </c>
      <c r="CV151" s="13">
        <f t="shared" si="149"/>
        <v>75.530783393816336</v>
      </c>
      <c r="CW151" s="20">
        <f t="shared" si="121"/>
        <v>690.36820503589581</v>
      </c>
      <c r="CX151" s="59">
        <f t="shared" si="122"/>
        <v>983.70153836922918</v>
      </c>
      <c r="CY151" s="59">
        <f ca="1">AVERAGE(OFFSET($CX$3,0,0,'Données projet'!$E$13+1,1))-AVERAGE(OFFSET($H$3,0,0,'Données projet'!$E$13+1,1))</f>
        <v>211.18501783767226</v>
      </c>
      <c r="CZ151" s="59">
        <f t="shared" si="150"/>
        <v>147.98306963466246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0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-1.3596945791505279E-13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182.25704762953387</v>
      </c>
      <c r="T152" s="59">
        <f t="shared" si="142"/>
        <v>265.61788177751134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0.47339279882011687</v>
      </c>
      <c r="AA152" s="21">
        <f>EXP(-LN(2)/25)*AA151+(1-EXP(-LN(2)/25))/(LN(2)/25)*Calculateur!V152*Calculateur!X152*VLOOKUP('Données projet'!$B$9,Paramètres!$A$1:$I$89,3,0)*0.475*44/12</f>
        <v>0.63219360391166812</v>
      </c>
      <c r="AB152" s="21">
        <f>EXP(-LN(2)/2)*AB151+(1-EXP(-LN(2)/2))/(LN(2)/2)*V152*Y152*VLOOKUP('Données projet'!$B$9,Paramètres!$A$1:$I$89,3,0)*0.475*44/12</f>
        <v>3.6184520733541965E-18</v>
      </c>
      <c r="AC152" s="22">
        <f t="shared" si="111"/>
        <v>1.105586402731785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4.5474735088646412E-13</v>
      </c>
      <c r="AJ152" s="13">
        <f>AI152*VLOOKUP('Données projet'!$B$10,Paramètres!$A$1:$I$89,3,0)*VLOOKUP('Données projet'!$B$10,Paramètres!$A$1:$I$89,5,0)</f>
        <v>4.6111381379887462E-13</v>
      </c>
      <c r="AK152" s="13">
        <f t="shared" si="143"/>
        <v>5.7981965206434308E-12</v>
      </c>
      <c r="AL152" s="20">
        <f t="shared" si="112"/>
        <v>1.0901632165820347E-11</v>
      </c>
      <c r="AM152" s="59">
        <f t="shared" si="113"/>
        <v>293.33333333334423</v>
      </c>
      <c r="AN152" s="59">
        <f ca="1">AVERAGE(OFFSET($AM$3,0,0,'Données projet'!$E$10+1,1))-AVERAGE(OFFSET($H$3,0,0,'Données projet'!$E$10+1,1))</f>
        <v>263.15518481854753</v>
      </c>
      <c r="AO152" s="59">
        <f t="shared" si="144"/>
        <v>210.80755370263819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275.99999999999972</v>
      </c>
      <c r="BE152" s="13">
        <f>BD152*VLOOKUP('Données projet'!$B$11,Paramètres!$A$1:$I$89,3,0)*VLOOKUP('Données projet'!$B$11,Paramètres!$A$1:$I$89,5,0)</f>
        <v>223.8911999999998</v>
      </c>
      <c r="BF152" s="13">
        <f t="shared" si="145"/>
        <v>54.95975389514858</v>
      </c>
      <c r="BG152" s="20">
        <f t="shared" si="115"/>
        <v>485.66541136738346</v>
      </c>
      <c r="BH152" s="59">
        <f t="shared" si="116"/>
        <v>778.99874470071677</v>
      </c>
      <c r="BI152" s="59">
        <f ca="1">AVERAGE(OFFSET($BH$3,0,0,'Données projet'!$E$11+1,1))-AVERAGE(OFFSET($H$3,0,0,'Données projet'!$E$11+1,1))</f>
        <v>203.21935660591021</v>
      </c>
      <c r="BJ152" s="59">
        <f t="shared" si="146"/>
        <v>180.54762778843178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9.4976217760166071E-2</v>
      </c>
      <c r="BQ152" s="21">
        <f>EXP(-LN(2)/25)*BQ151+(1-EXP(-LN(2)/25))/(LN(2)/25)*Calculateur!BL152*Calculateur!BN152*VLOOKUP('Données projet'!$B$11,Paramètres!$A$1:$I$89,3,0)*0.475*44/12</f>
        <v>0.2141915073926266</v>
      </c>
      <c r="BR152" s="21">
        <f>EXP(-LN(2)/2)*BR151+(1-EXP(-LN(2)/2))/(LN(2)/2)*BL152*BO152*VLOOKUP('Données projet'!$B$11,Paramètres!$A$1:$I$89,3,0)*0.475*44/12</f>
        <v>1.111660361006151E-17</v>
      </c>
      <c r="BS152" s="22">
        <f t="shared" si="117"/>
        <v>0.30916772515279267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>
        <f>VLOOKUP(A152,'Données projet'!$A$113:$I$133,2,0)</f>
        <v>303.18589743589746</v>
      </c>
      <c r="BW152" s="12">
        <f>VLOOKUP(A152,'Données projet'!$A$113:$I$133,9,0)</f>
        <v>5.1063034188034209</v>
      </c>
      <c r="BX152" s="12">
        <f t="array" ref="BX152">INDEX(BW:BW,MIN(IF(ISNUMBER(BW152:BW348),ROW(BW152:BW348),"")))</f>
        <v>5.1063034188034209</v>
      </c>
      <c r="BY152" s="12">
        <f>IF('Données projet'!$A$114&gt;35,BY151+BX152-CG151,IF(A152&lt;'Données projet'!$A$114,$BV$205^A152,IF(A152='Données projet'!$A$114,'Données projet'!$B$114,BY151+BX152-CG151)))</f>
        <v>303.18589743589695</v>
      </c>
      <c r="BZ152" s="13">
        <f>BY152*VLOOKUP('Données projet'!$B$12,Paramètres!$A$1:$I$89,3,0)*VLOOKUP('Données projet'!$B$12,Paramètres!$A$1:$I$89,5,0)</f>
        <v>326.34929999999946</v>
      </c>
      <c r="CA152" s="13">
        <f t="shared" si="147"/>
        <v>76.672934582247976</v>
      </c>
      <c r="CB152" s="20">
        <f t="shared" si="118"/>
        <v>701.93039189741421</v>
      </c>
      <c r="CC152" s="59">
        <f t="shared" si="119"/>
        <v>995.26372523074747</v>
      </c>
      <c r="CD152" s="59">
        <f ca="1">AVERAGE(OFFSET($CC$3,0,0,'Données projet'!$E$12+1,1))-AVERAGE(OFFSET($H$3,0,0,'Données projet'!$E$12+1,1))</f>
        <v>211.18501783767226</v>
      </c>
      <c r="CE152" s="59">
        <f t="shared" si="148"/>
        <v>147.98306963466246</v>
      </c>
      <c r="CF152" s="15">
        <f>IF(ISNA(VLOOKUP(A152,'Données projet'!$A$113:$I$133,3,0)),0,VLOOKUP(A152,'Données projet'!$A$113:$I$133,3,0))</f>
        <v>12</v>
      </c>
      <c r="CG152" s="15">
        <f>IF(ISNA(VLOOKUP(A152,'Données projet'!$A$113:$I$133,4,0)),0,VLOOKUP(A152,'Données projet'!$A$113:$I$133,4,0))</f>
        <v>120.50641025641026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0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>
        <f>VLOOKUP(A152,'Données projet'!$A$139:$I$159,2,0)</f>
        <v>303.18589743589746</v>
      </c>
      <c r="CR152" s="12">
        <f>VLOOKUP(A152,'Données projet'!$A$139:$I$159,9,0)</f>
        <v>5.1063034188034209</v>
      </c>
      <c r="CS152" s="12">
        <f t="array" ref="CS152">INDEX(CR:CR,MIN(IF(ISNUMBER(CR152:CR348),ROW(CR152:CR348),"")))</f>
        <v>5.1063034188034209</v>
      </c>
      <c r="CT152" s="12">
        <f>IF('Données projet'!$A$140&gt;35,CT151+CS152-DB151,IF(A152&lt;'Données projet'!$A$140,$CQ$205^A152,IF(A152='Données projet'!$A$140,'Données projet'!$B$140,CT151+CS152-DB151)))</f>
        <v>303.18589743589695</v>
      </c>
      <c r="CU152" s="17">
        <f>CT152*VLOOKUP('Données projet'!$B$13,Paramètres!$A$1:$I$89,3,0)*VLOOKUP('Données projet'!$B$13,Paramètres!$A$1:$I$89,5,0)</f>
        <v>326.34929999999946</v>
      </c>
      <c r="CV152" s="13">
        <f t="shared" si="149"/>
        <v>76.672934582247976</v>
      </c>
      <c r="CW152" s="20">
        <f t="shared" si="121"/>
        <v>701.93039189741421</v>
      </c>
      <c r="CX152" s="59">
        <f t="shared" si="122"/>
        <v>995.26372523074747</v>
      </c>
      <c r="CY152" s="59">
        <f ca="1">AVERAGE(OFFSET($CX$3,0,0,'Données projet'!$E$13+1,1))-AVERAGE(OFFSET($H$3,0,0,'Données projet'!$E$13+1,1))</f>
        <v>211.18501783767226</v>
      </c>
      <c r="CZ152" s="59">
        <f t="shared" si="150"/>
        <v>147.98306963466246</v>
      </c>
      <c r="DA152" s="15">
        <f>IF(ISNA(VLOOKUP(A152,'Données projet'!$A$139:$I$159,3,0)),0,VLOOKUP(A152,'Données projet'!$A$139:$I$159,3,0))</f>
        <v>12</v>
      </c>
      <c r="DB152" s="15">
        <f>IF(ISNA(VLOOKUP(A152,'Données projet'!$A$139:$I$159,4,0)),0,VLOOKUP(A152,'Données projet'!$A$139:$I$159,4,0))</f>
        <v>120.50641025641026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0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-1.3596945791505279E-13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182.25704762953387</v>
      </c>
      <c r="T153" s="59">
        <f t="shared" si="142"/>
        <v>265.61788177751134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0.46410985477635086</v>
      </c>
      <c r="AA153" s="21">
        <f>EXP(-LN(2)/25)*AA152+(1-EXP(-LN(2)/25))/(LN(2)/25)*Calculateur!V153*Calculateur!X153*VLOOKUP('Données projet'!$B$9,Paramètres!$A$1:$I$89,3,0)*0.475*44/12</f>
        <v>0.61490623656708687</v>
      </c>
      <c r="AB153" s="21">
        <f>EXP(-LN(2)/2)*AB152+(1-EXP(-LN(2)/2))/(LN(2)/2)*V153*Y153*VLOOKUP('Données projet'!$B$9,Paramètres!$A$1:$I$89,3,0)*0.475*44/12</f>
        <v>2.558631998467275E-18</v>
      </c>
      <c r="AC153" s="22">
        <f t="shared" si="111"/>
        <v>1.0790160913434377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4.5474735088646412E-13</v>
      </c>
      <c r="AJ153" s="13">
        <f>AI153*VLOOKUP('Données projet'!$B$10,Paramètres!$A$1:$I$89,3,0)*VLOOKUP('Données projet'!$B$10,Paramètres!$A$1:$I$89,5,0)</f>
        <v>4.6111381379887462E-13</v>
      </c>
      <c r="AK153" s="13">
        <f t="shared" si="143"/>
        <v>5.7981965206434308E-12</v>
      </c>
      <c r="AL153" s="20">
        <f t="shared" si="112"/>
        <v>1.0901632165820347E-11</v>
      </c>
      <c r="AM153" s="59">
        <f t="shared" si="113"/>
        <v>293.33333333334423</v>
      </c>
      <c r="AN153" s="59">
        <f ca="1">AVERAGE(OFFSET($AM$3,0,0,'Données projet'!$E$10+1,1))-AVERAGE(OFFSET($H$3,0,0,'Données projet'!$E$10+1,1))</f>
        <v>263.15518481854753</v>
      </c>
      <c r="AO153" s="59">
        <f t="shared" si="144"/>
        <v>210.80755370263819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275.99999999999972</v>
      </c>
      <c r="BE153" s="13">
        <f>BD153*VLOOKUP('Données projet'!$B$11,Paramètres!$A$1:$I$89,3,0)*VLOOKUP('Données projet'!$B$11,Paramètres!$A$1:$I$89,5,0)</f>
        <v>223.8911999999998</v>
      </c>
      <c r="BF153" s="13">
        <f t="shared" si="145"/>
        <v>54.95975389514858</v>
      </c>
      <c r="BG153" s="20">
        <f t="shared" si="115"/>
        <v>485.66541136738346</v>
      </c>
      <c r="BH153" s="59">
        <f t="shared" si="116"/>
        <v>778.99874470071677</v>
      </c>
      <c r="BI153" s="59">
        <f ca="1">AVERAGE(OFFSET($BH$3,0,0,'Données projet'!$E$11+1,1))-AVERAGE(OFFSET($H$3,0,0,'Données projet'!$E$11+1,1))</f>
        <v>203.21935660591021</v>
      </c>
      <c r="BJ153" s="59">
        <f t="shared" si="146"/>
        <v>180.54762778843178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9.3113792059661957E-2</v>
      </c>
      <c r="BQ153" s="21">
        <f>EXP(-LN(2)/25)*BQ152+(1-EXP(-LN(2)/25))/(LN(2)/25)*Calculateur!BL153*Calculateur!BN153*VLOOKUP('Données projet'!$B$11,Paramètres!$A$1:$I$89,3,0)*0.475*44/12</f>
        <v>0.20833442935913341</v>
      </c>
      <c r="BR153" s="21">
        <f>EXP(-LN(2)/2)*BR152+(1-EXP(-LN(2)/2))/(LN(2)/2)*BL153*BO153*VLOOKUP('Données projet'!$B$11,Paramètres!$A$1:$I$89,3,0)*0.475*44/12</f>
        <v>7.8606257964373485E-18</v>
      </c>
      <c r="BS153" s="22">
        <f t="shared" si="117"/>
        <v>0.30144822141879535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3.0945512820512846</v>
      </c>
      <c r="BY153" s="12">
        <f>IF('Données projet'!$A$114&gt;35,BY152+BX153-CG152,IF(A153&lt;'Données projet'!$A$114,$BV$205^A153,IF(A153='Données projet'!$A$114,'Données projet'!$B$114,BY152+BX153-CG152)))</f>
        <v>185.77403846153794</v>
      </c>
      <c r="BZ153" s="13">
        <f>BY153*VLOOKUP('Données projet'!$B$12,Paramètres!$A$1:$I$89,3,0)*VLOOKUP('Données projet'!$B$12,Paramètres!$A$1:$I$89,5,0)</f>
        <v>199.96717499999943</v>
      </c>
      <c r="CA153" s="13">
        <f t="shared" si="147"/>
        <v>49.736953714984679</v>
      </c>
      <c r="CB153" s="20">
        <f t="shared" si="118"/>
        <v>434.90135751193066</v>
      </c>
      <c r="CC153" s="59">
        <f t="shared" si="119"/>
        <v>728.23469084526391</v>
      </c>
      <c r="CD153" s="59">
        <f ca="1">AVERAGE(OFFSET($CC$3,0,0,'Données projet'!$E$12+1,1))-AVERAGE(OFFSET($H$3,0,0,'Données projet'!$E$12+1,1))</f>
        <v>211.18501783767226</v>
      </c>
      <c r="CE153" s="59">
        <f t="shared" si="148"/>
        <v>147.98306963466246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0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3.0945512820512846</v>
      </c>
      <c r="CT153" s="12">
        <f>IF('Données projet'!$A$140&gt;35,CT152+CS153-DB152,IF(A153&lt;'Données projet'!$A$140,$CQ$205^A153,IF(A153='Données projet'!$A$140,'Données projet'!$B$140,CT152+CS153-DB152)))</f>
        <v>185.77403846153794</v>
      </c>
      <c r="CU153" s="17">
        <f>CT153*VLOOKUP('Données projet'!$B$13,Paramètres!$A$1:$I$89,3,0)*VLOOKUP('Données projet'!$B$13,Paramètres!$A$1:$I$89,5,0)</f>
        <v>199.96717499999943</v>
      </c>
      <c r="CV153" s="13">
        <f t="shared" si="149"/>
        <v>49.736953714984679</v>
      </c>
      <c r="CW153" s="20">
        <f t="shared" si="121"/>
        <v>434.90135751193066</v>
      </c>
      <c r="CX153" s="59">
        <f t="shared" si="122"/>
        <v>728.23469084526391</v>
      </c>
      <c r="CY153" s="59">
        <f ca="1">AVERAGE(OFFSET($CX$3,0,0,'Données projet'!$E$13+1,1))-AVERAGE(OFFSET($H$3,0,0,'Données projet'!$E$13+1,1))</f>
        <v>211.18501783767226</v>
      </c>
      <c r="CZ153" s="59">
        <f t="shared" si="150"/>
        <v>147.98306963466246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0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-1.3596945791505279E-13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182.25704762953387</v>
      </c>
      <c r="T154" s="59">
        <f t="shared" si="142"/>
        <v>265.61788177751134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0.45500894360324629</v>
      </c>
      <c r="AA154" s="21">
        <f>EXP(-LN(2)/25)*AA153+(1-EXP(-LN(2)/25))/(LN(2)/25)*Calculateur!V154*Calculateur!X154*VLOOKUP('Données projet'!$B$9,Paramètres!$A$1:$I$89,3,0)*0.475*44/12</f>
        <v>0.59809159319164629</v>
      </c>
      <c r="AB154" s="21">
        <f>EXP(-LN(2)/2)*AB153+(1-EXP(-LN(2)/2))/(LN(2)/2)*V154*Y154*VLOOKUP('Données projet'!$B$9,Paramètres!$A$1:$I$89,3,0)*0.475*44/12</f>
        <v>1.8092260366770982E-18</v>
      </c>
      <c r="AC154" s="22">
        <f t="shared" ref="AC154:AC203" si="163">SUM(Z154:AB154)</f>
        <v>1.0531005367948927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4.5474735088646412E-13</v>
      </c>
      <c r="AJ154" s="13">
        <f>AI154*VLOOKUP('Données projet'!$B$10,Paramètres!$A$1:$I$89,3,0)*VLOOKUP('Données projet'!$B$10,Paramètres!$A$1:$I$89,5,0)</f>
        <v>4.6111381379887462E-13</v>
      </c>
      <c r="AK154" s="13">
        <f t="shared" ref="AK154:AK203" si="164">EXP(-1.0587+0.8836*LN(AJ154)+0.284)</f>
        <v>5.7981965206434308E-12</v>
      </c>
      <c r="AL154" s="20">
        <f t="shared" ref="AL154:AL203" si="165">(AJ154+AK154)*0.475*44/12</f>
        <v>1.0901632165820347E-11</v>
      </c>
      <c r="AM154" s="59">
        <f t="shared" si="113"/>
        <v>293.33333333334423</v>
      </c>
      <c r="AN154" s="59">
        <f ca="1">AVERAGE(OFFSET($AM$3,0,0,'Données projet'!$E$10+1,1))-AVERAGE(OFFSET($H$3,0,0,'Données projet'!$E$10+1,1))</f>
        <v>263.15518481854753</v>
      </c>
      <c r="AO154" s="59">
        <f t="shared" si="144"/>
        <v>210.80755370263819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275.99999999999972</v>
      </c>
      <c r="BE154" s="13">
        <f>BD154*VLOOKUP('Données projet'!$B$11,Paramètres!$A$1:$I$89,3,0)*VLOOKUP('Données projet'!$B$11,Paramètres!$A$1:$I$89,5,0)</f>
        <v>223.8911999999998</v>
      </c>
      <c r="BF154" s="13">
        <f t="shared" ref="BF154:BF203" si="167">EXP(-1.0587+0.8836*LN(BE154)+0.284)</f>
        <v>54.95975389514858</v>
      </c>
      <c r="BG154" s="20">
        <f t="shared" ref="BG154:BG203" si="168">(BE154+BF154)*0.475*44/12</f>
        <v>485.66541136738346</v>
      </c>
      <c r="BH154" s="59">
        <f t="shared" si="116"/>
        <v>778.99874470071677</v>
      </c>
      <c r="BI154" s="59">
        <f ca="1">AVERAGE(OFFSET($BH$3,0,0,'Données projet'!$E$11+1,1))-AVERAGE(OFFSET($H$3,0,0,'Données projet'!$E$11+1,1))</f>
        <v>203.21935660591021</v>
      </c>
      <c r="BJ154" s="59">
        <f t="shared" si="146"/>
        <v>180.54762778843178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9.1287887391177214E-2</v>
      </c>
      <c r="BQ154" s="21">
        <f>EXP(-LN(2)/25)*BQ153+(1-EXP(-LN(2)/25))/(LN(2)/25)*Calculateur!BL154*Calculateur!BN154*VLOOKUP('Données projet'!$B$11,Paramètres!$A$1:$I$89,3,0)*0.475*44/12</f>
        <v>0.20263751343247641</v>
      </c>
      <c r="BR154" s="21">
        <f>EXP(-LN(2)/2)*BR153+(1-EXP(-LN(2)/2))/(LN(2)/2)*BL154*BO154*VLOOKUP('Données projet'!$B$11,Paramètres!$A$1:$I$89,3,0)*0.475*44/12</f>
        <v>5.5583018050307552E-18</v>
      </c>
      <c r="BS154" s="22">
        <f t="shared" ref="BS154:BS203" si="169">SUM(BP154:BR154)</f>
        <v>0.29392540082365359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3.0945512820512846</v>
      </c>
      <c r="BY154" s="12">
        <f>IF('Données projet'!$A$114&gt;35,BY153+BX154-CG153,IF(A154&lt;'Données projet'!$A$114,$BV$205^A154,IF(A154='Données projet'!$A$114,'Données projet'!$B$114,BY153+BX154-CG153)))</f>
        <v>188.86858974358921</v>
      </c>
      <c r="BZ154" s="13">
        <f>BY154*VLOOKUP('Données projet'!$B$12,Paramètres!$A$1:$I$89,3,0)*VLOOKUP('Données projet'!$B$12,Paramètres!$A$1:$I$89,5,0)</f>
        <v>203.29814999999942</v>
      </c>
      <c r="CA154" s="13">
        <f t="shared" ref="CA154:CA203" si="170">EXP(-1.0587+0.8836*LN(BZ154)+0.284)</f>
        <v>50.468309835145163</v>
      </c>
      <c r="CB154" s="20">
        <f t="shared" ref="CB154:CB203" si="171">(BZ154+CA154)*0.475*44/12</f>
        <v>441.97658421287679</v>
      </c>
      <c r="CC154" s="59">
        <f t="shared" si="119"/>
        <v>735.30991754621004</v>
      </c>
      <c r="CD154" s="59">
        <f ca="1">AVERAGE(OFFSET($CC$3,0,0,'Données projet'!$E$12+1,1))-AVERAGE(OFFSET($H$3,0,0,'Données projet'!$E$12+1,1))</f>
        <v>211.18501783767226</v>
      </c>
      <c r="CE154" s="59">
        <f t="shared" si="148"/>
        <v>147.98306963466246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0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3.0945512820512846</v>
      </c>
      <c r="CT154" s="12">
        <f>IF('Données projet'!$A$140&gt;35,CT153+CS154-DB153,IF(A154&lt;'Données projet'!$A$140,$CQ$205^A154,IF(A154='Données projet'!$A$140,'Données projet'!$B$140,CT153+CS154-DB153)))</f>
        <v>188.86858974358921</v>
      </c>
      <c r="CU154" s="17">
        <f>CT154*VLOOKUP('Données projet'!$B$13,Paramètres!$A$1:$I$89,3,0)*VLOOKUP('Données projet'!$B$13,Paramètres!$A$1:$I$89,5,0)</f>
        <v>203.29814999999942</v>
      </c>
      <c r="CV154" s="13">
        <f t="shared" ref="CV154:CV203" si="173">EXP(-1.0587+0.8836*LN(CU154)+0.284)</f>
        <v>50.468309835145163</v>
      </c>
      <c r="CW154" s="20">
        <f t="shared" ref="CW154:CW203" si="174">(CU154+CV154)*0.475*44/12</f>
        <v>441.97658421287679</v>
      </c>
      <c r="CX154" s="59">
        <f t="shared" si="122"/>
        <v>735.30991754621004</v>
      </c>
      <c r="CY154" s="59">
        <f ca="1">AVERAGE(OFFSET($CX$3,0,0,'Données projet'!$E$13+1,1))-AVERAGE(OFFSET($H$3,0,0,'Données projet'!$E$13+1,1))</f>
        <v>211.18501783767226</v>
      </c>
      <c r="CZ154" s="59">
        <f t="shared" si="150"/>
        <v>147.98306963466246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0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-1.3596945791505279E-13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182.25704762953387</v>
      </c>
      <c r="T155" s="59">
        <f t="shared" si="142"/>
        <v>265.61788177751134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0.44608649574723863</v>
      </c>
      <c r="AA155" s="21">
        <f>EXP(-LN(2)/25)*AA154+(1-EXP(-LN(2)/25))/(LN(2)/25)*Calculateur!V155*Calculateur!X155*VLOOKUP('Données projet'!$B$9,Paramètres!$A$1:$I$89,3,0)*0.475*44/12</f>
        <v>0.58173674712355083</v>
      </c>
      <c r="AB155" s="21">
        <f>EXP(-LN(2)/2)*AB154+(1-EXP(-LN(2)/2))/(LN(2)/2)*V155*Y155*VLOOKUP('Données projet'!$B$9,Paramètres!$A$1:$I$89,3,0)*0.475*44/12</f>
        <v>1.2793159992336375E-18</v>
      </c>
      <c r="AC155" s="22">
        <f t="shared" si="163"/>
        <v>1.0278232428707894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4.5474735088646412E-13</v>
      </c>
      <c r="AJ155" s="13">
        <f>AI155*VLOOKUP('Données projet'!$B$10,Paramètres!$A$1:$I$89,3,0)*VLOOKUP('Données projet'!$B$10,Paramètres!$A$1:$I$89,5,0)</f>
        <v>4.6111381379887462E-13</v>
      </c>
      <c r="AK155" s="13">
        <f t="shared" si="164"/>
        <v>5.7981965206434308E-12</v>
      </c>
      <c r="AL155" s="20">
        <f t="shared" si="165"/>
        <v>1.0901632165820347E-11</v>
      </c>
      <c r="AM155" s="59">
        <f t="shared" si="113"/>
        <v>293.33333333334423</v>
      </c>
      <c r="AN155" s="59">
        <f ca="1">AVERAGE(OFFSET($AM$3,0,0,'Données projet'!$E$10+1,1))-AVERAGE(OFFSET($H$3,0,0,'Données projet'!$E$10+1,1))</f>
        <v>263.15518481854753</v>
      </c>
      <c r="AO155" s="59">
        <f t="shared" si="144"/>
        <v>210.80755370263819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275.99999999999972</v>
      </c>
      <c r="BE155" s="13">
        <f>BD155*VLOOKUP('Données projet'!$B$11,Paramètres!$A$1:$I$89,3,0)*VLOOKUP('Données projet'!$B$11,Paramètres!$A$1:$I$89,5,0)</f>
        <v>223.8911999999998</v>
      </c>
      <c r="BF155" s="13">
        <f t="shared" si="167"/>
        <v>54.95975389514858</v>
      </c>
      <c r="BG155" s="20">
        <f t="shared" si="168"/>
        <v>485.66541136738346</v>
      </c>
      <c r="BH155" s="59">
        <f t="shared" si="116"/>
        <v>778.99874470071677</v>
      </c>
      <c r="BI155" s="59">
        <f ca="1">AVERAGE(OFFSET($BH$3,0,0,'Données projet'!$E$11+1,1))-AVERAGE(OFFSET($H$3,0,0,'Données projet'!$E$11+1,1))</f>
        <v>203.21935660591021</v>
      </c>
      <c r="BJ155" s="59">
        <f t="shared" si="146"/>
        <v>180.54762778843178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8.9497787599549586E-2</v>
      </c>
      <c r="BQ155" s="21">
        <f>EXP(-LN(2)/25)*BQ154+(1-EXP(-LN(2)/25))/(LN(2)/25)*Calculateur!BL155*Calculateur!BN155*VLOOKUP('Données projet'!$B$11,Paramètres!$A$1:$I$89,3,0)*0.475*44/12</f>
        <v>0.19709637997142165</v>
      </c>
      <c r="BR155" s="21">
        <f>EXP(-LN(2)/2)*BR154+(1-EXP(-LN(2)/2))/(LN(2)/2)*BL155*BO155*VLOOKUP('Données projet'!$B$11,Paramètres!$A$1:$I$89,3,0)*0.475*44/12</f>
        <v>3.9303128982186742E-18</v>
      </c>
      <c r="BS155" s="22">
        <f t="shared" si="169"/>
        <v>0.28659416757097123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3.0945512820512846</v>
      </c>
      <c r="BY155" s="12">
        <f>IF('Données projet'!$A$114&gt;35,BY154+BX155-CG154,IF(A155&lt;'Données projet'!$A$114,$BV$205^A155,IF(A155='Données projet'!$A$114,'Données projet'!$B$114,BY154+BX155-CG154)))</f>
        <v>191.96314102564048</v>
      </c>
      <c r="BZ155" s="13">
        <f>BY155*VLOOKUP('Données projet'!$B$12,Paramètres!$A$1:$I$89,3,0)*VLOOKUP('Données projet'!$B$12,Paramètres!$A$1:$I$89,5,0)</f>
        <v>206.62912499999939</v>
      </c>
      <c r="CA155" s="13">
        <f t="shared" si="170"/>
        <v>51.198272393292896</v>
      </c>
      <c r="CB155" s="20">
        <f t="shared" si="171"/>
        <v>449.04938379331742</v>
      </c>
      <c r="CC155" s="59">
        <f t="shared" si="119"/>
        <v>742.38271712665073</v>
      </c>
      <c r="CD155" s="59">
        <f ca="1">AVERAGE(OFFSET($CC$3,0,0,'Données projet'!$E$12+1,1))-AVERAGE(OFFSET($H$3,0,0,'Données projet'!$E$12+1,1))</f>
        <v>211.18501783767226</v>
      </c>
      <c r="CE155" s="59">
        <f t="shared" si="148"/>
        <v>147.98306963466246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0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3.0945512820512846</v>
      </c>
      <c r="CT155" s="12">
        <f>IF('Données projet'!$A$140&gt;35,CT154+CS155-DB154,IF(A155&lt;'Données projet'!$A$140,$CQ$205^A155,IF(A155='Données projet'!$A$140,'Données projet'!$B$140,CT154+CS155-DB154)))</f>
        <v>191.96314102564048</v>
      </c>
      <c r="CU155" s="17">
        <f>CT155*VLOOKUP('Données projet'!$B$13,Paramètres!$A$1:$I$89,3,0)*VLOOKUP('Données projet'!$B$13,Paramètres!$A$1:$I$89,5,0)</f>
        <v>206.62912499999939</v>
      </c>
      <c r="CV155" s="13">
        <f t="shared" si="173"/>
        <v>51.198272393292896</v>
      </c>
      <c r="CW155" s="20">
        <f t="shared" si="174"/>
        <v>449.04938379331742</v>
      </c>
      <c r="CX155" s="59">
        <f t="shared" si="122"/>
        <v>742.38271712665073</v>
      </c>
      <c r="CY155" s="59">
        <f ca="1">AVERAGE(OFFSET($CX$3,0,0,'Données projet'!$E$13+1,1))-AVERAGE(OFFSET($H$3,0,0,'Données projet'!$E$13+1,1))</f>
        <v>211.18501783767226</v>
      </c>
      <c r="CZ155" s="59">
        <f t="shared" si="150"/>
        <v>147.98306963466246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0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-1.3596945791505279E-13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182.25704762953387</v>
      </c>
      <c r="T156" s="59">
        <f t="shared" si="142"/>
        <v>265.61788177751134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0.43733901165153144</v>
      </c>
      <c r="AA156" s="21">
        <f>EXP(-LN(2)/25)*AA155+(1-EXP(-LN(2)/25))/(LN(2)/25)*Calculateur!V156*Calculateur!X156*VLOOKUP('Données projet'!$B$9,Paramètres!$A$1:$I$89,3,0)*0.475*44/12</f>
        <v>0.56582912518125139</v>
      </c>
      <c r="AB156" s="21">
        <f>EXP(-LN(2)/2)*AB155+(1-EXP(-LN(2)/2))/(LN(2)/2)*V156*Y156*VLOOKUP('Données projet'!$B$9,Paramètres!$A$1:$I$89,3,0)*0.475*44/12</f>
        <v>9.0461301833854912E-19</v>
      </c>
      <c r="AC156" s="22">
        <f t="shared" si="163"/>
        <v>1.0031681368327829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4.5474735088646412E-13</v>
      </c>
      <c r="AJ156" s="13">
        <f>AI156*VLOOKUP('Données projet'!$B$10,Paramètres!$A$1:$I$89,3,0)*VLOOKUP('Données projet'!$B$10,Paramètres!$A$1:$I$89,5,0)</f>
        <v>4.6111381379887462E-13</v>
      </c>
      <c r="AK156" s="13">
        <f t="shared" si="164"/>
        <v>5.7981965206434308E-12</v>
      </c>
      <c r="AL156" s="20">
        <f t="shared" si="165"/>
        <v>1.0901632165820347E-11</v>
      </c>
      <c r="AM156" s="59">
        <f t="shared" si="113"/>
        <v>293.33333333334423</v>
      </c>
      <c r="AN156" s="59">
        <f ca="1">AVERAGE(OFFSET($AM$3,0,0,'Données projet'!$E$10+1,1))-AVERAGE(OFFSET($H$3,0,0,'Données projet'!$E$10+1,1))</f>
        <v>263.15518481854753</v>
      </c>
      <c r="AO156" s="59">
        <f t="shared" si="144"/>
        <v>210.80755370263819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275.99999999999972</v>
      </c>
      <c r="BE156" s="13">
        <f>BD156*VLOOKUP('Données projet'!$B$11,Paramètres!$A$1:$I$89,3,0)*VLOOKUP('Données projet'!$B$11,Paramètres!$A$1:$I$89,5,0)</f>
        <v>223.8911999999998</v>
      </c>
      <c r="BF156" s="13">
        <f t="shared" si="167"/>
        <v>54.95975389514858</v>
      </c>
      <c r="BG156" s="20">
        <f t="shared" si="168"/>
        <v>485.66541136738346</v>
      </c>
      <c r="BH156" s="59">
        <f t="shared" si="116"/>
        <v>778.99874470071677</v>
      </c>
      <c r="BI156" s="59">
        <f ca="1">AVERAGE(OFFSET($BH$3,0,0,'Données projet'!$E$11+1,1))-AVERAGE(OFFSET($H$3,0,0,'Données projet'!$E$11+1,1))</f>
        <v>203.21935660591021</v>
      </c>
      <c r="BJ156" s="59">
        <f t="shared" si="146"/>
        <v>180.54762778843178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8.7742790572982718E-2</v>
      </c>
      <c r="BQ156" s="21">
        <f>EXP(-LN(2)/25)*BQ155+(1-EXP(-LN(2)/25))/(LN(2)/25)*Calculateur!BL156*Calculateur!BN156*VLOOKUP('Données projet'!$B$11,Paramètres!$A$1:$I$89,3,0)*0.475*44/12</f>
        <v>0.19170676909625498</v>
      </c>
      <c r="BR156" s="21">
        <f>EXP(-LN(2)/2)*BR155+(1-EXP(-LN(2)/2))/(LN(2)/2)*BL156*BO156*VLOOKUP('Données projet'!$B$11,Paramètres!$A$1:$I$89,3,0)*0.475*44/12</f>
        <v>2.7791509025153776E-18</v>
      </c>
      <c r="BS156" s="22">
        <f t="shared" si="169"/>
        <v>0.27944955966923768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>
        <f>VLOOKUP(A156,'Données projet'!$A$113:$I$133,2,0)</f>
        <v>195.05769230769232</v>
      </c>
      <c r="BW156" s="12">
        <f>VLOOKUP(A156,'Données projet'!$A$113:$I$133,9,0)</f>
        <v>3.0945512820512846</v>
      </c>
      <c r="BX156" s="12">
        <f t="array" ref="BX156">INDEX(BW:BW,MIN(IF(ISNUMBER(BW156:BW352),ROW(BW156:BW352),"")))</f>
        <v>3.0945512820512846</v>
      </c>
      <c r="BY156" s="12">
        <f>IF('Données projet'!$A$114&gt;35,BY155+BX156-CG155,IF(A156&lt;'Données projet'!$A$114,$BV$205^A156,IF(A156='Données projet'!$A$114,'Données projet'!$B$114,BY155+BX156-CG155)))</f>
        <v>195.05769230769175</v>
      </c>
      <c r="BZ156" s="13">
        <f>BY156*VLOOKUP('Données projet'!$B$12,Paramètres!$A$1:$I$89,3,0)*VLOOKUP('Données projet'!$B$12,Paramètres!$A$1:$I$89,5,0)</f>
        <v>209.96009999999939</v>
      </c>
      <c r="CA156" s="13">
        <f t="shared" si="170"/>
        <v>51.926866448008234</v>
      </c>
      <c r="CB156" s="20">
        <f t="shared" si="171"/>
        <v>456.11979989694652</v>
      </c>
      <c r="CC156" s="59">
        <f t="shared" si="119"/>
        <v>749.45313323027983</v>
      </c>
      <c r="CD156" s="59">
        <f ca="1">AVERAGE(OFFSET($CC$3,0,0,'Données projet'!$E$12+1,1))-AVERAGE(OFFSET($H$3,0,0,'Données projet'!$E$12+1,1))</f>
        <v>211.18501783767226</v>
      </c>
      <c r="CE156" s="59">
        <f t="shared" si="148"/>
        <v>147.98306963466246</v>
      </c>
      <c r="CF156" s="15">
        <f>IF(ISNA(VLOOKUP(A156,'Données projet'!$A$113:$I$133,3,0)),0,VLOOKUP(A156,'Données projet'!$A$113:$I$133,3,0))</f>
        <v>13</v>
      </c>
      <c r="CG156" s="15">
        <f>IF(ISNA(VLOOKUP(A156,'Données projet'!$A$113:$I$133,4,0)),0,VLOOKUP(A156,'Données projet'!$A$113:$I$133,4,0))</f>
        <v>70.115384615384613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0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>
        <f>VLOOKUP(A156,'Données projet'!$A$139:$I$159,2,0)</f>
        <v>195.05769230769232</v>
      </c>
      <c r="CR156" s="12">
        <f>VLOOKUP(A156,'Données projet'!$A$139:$I$159,9,0)</f>
        <v>3.0945512820512846</v>
      </c>
      <c r="CS156" s="12">
        <f t="array" ref="CS156">INDEX(CR:CR,MIN(IF(ISNUMBER(CR156:CR352),ROW(CR156:CR352),"")))</f>
        <v>3.0945512820512846</v>
      </c>
      <c r="CT156" s="12">
        <f>IF('Données projet'!$A$140&gt;35,CT155+CS156-DB155,IF(A156&lt;'Données projet'!$A$140,$CQ$205^A156,IF(A156='Données projet'!$A$140,'Données projet'!$B$140,CT155+CS156-DB155)))</f>
        <v>195.05769230769175</v>
      </c>
      <c r="CU156" s="17">
        <f>CT156*VLOOKUP('Données projet'!$B$13,Paramètres!$A$1:$I$89,3,0)*VLOOKUP('Données projet'!$B$13,Paramètres!$A$1:$I$89,5,0)</f>
        <v>209.96009999999939</v>
      </c>
      <c r="CV156" s="13">
        <f t="shared" si="173"/>
        <v>51.926866448008234</v>
      </c>
      <c r="CW156" s="20">
        <f t="shared" si="174"/>
        <v>456.11979989694652</v>
      </c>
      <c r="CX156" s="59">
        <f t="shared" si="122"/>
        <v>749.45313323027983</v>
      </c>
      <c r="CY156" s="59">
        <f ca="1">AVERAGE(OFFSET($CX$3,0,0,'Données projet'!$E$13+1,1))-AVERAGE(OFFSET($H$3,0,0,'Données projet'!$E$13+1,1))</f>
        <v>211.18501783767226</v>
      </c>
      <c r="CZ156" s="59">
        <f t="shared" si="150"/>
        <v>147.98306963466246</v>
      </c>
      <c r="DA156" s="15">
        <f>IF(ISNA(VLOOKUP(A156,'Données projet'!$A$139:$I$159,3,0)),0,VLOOKUP(A156,'Données projet'!$A$139:$I$159,3,0))</f>
        <v>13</v>
      </c>
      <c r="DB156" s="15">
        <f>IF(ISNA(VLOOKUP(A156,'Données projet'!$A$139:$I$159,4,0)),0,VLOOKUP(A156,'Données projet'!$A$139:$I$159,4,0))</f>
        <v>70.115384615384613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0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-1.3596945791505279E-13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182.25704762953387</v>
      </c>
      <c r="T157" s="59">
        <f t="shared" si="142"/>
        <v>265.61788177751134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0.42876306038350259</v>
      </c>
      <c r="AA157" s="21">
        <f>EXP(-LN(2)/25)*AA156+(1-EXP(-LN(2)/25))/(LN(2)/25)*Calculateur!V157*Calculateur!X157*VLOOKUP('Données projet'!$B$9,Paramètres!$A$1:$I$89,3,0)*0.475*44/12</f>
        <v>0.55035649799750963</v>
      </c>
      <c r="AB157" s="21">
        <f>EXP(-LN(2)/2)*AB156+(1-EXP(-LN(2)/2))/(LN(2)/2)*V157*Y157*VLOOKUP('Données projet'!$B$9,Paramètres!$A$1:$I$89,3,0)*0.475*44/12</f>
        <v>6.3965799961681876E-19</v>
      </c>
      <c r="AC157" s="22">
        <f t="shared" si="163"/>
        <v>0.97911955838101217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4.5474735088646412E-13</v>
      </c>
      <c r="AJ157" s="13">
        <f>AI157*VLOOKUP('Données projet'!$B$10,Paramètres!$A$1:$I$89,3,0)*VLOOKUP('Données projet'!$B$10,Paramètres!$A$1:$I$89,5,0)</f>
        <v>4.6111381379887462E-13</v>
      </c>
      <c r="AK157" s="13">
        <f t="shared" si="164"/>
        <v>5.7981965206434308E-12</v>
      </c>
      <c r="AL157" s="20">
        <f t="shared" si="165"/>
        <v>1.0901632165820347E-11</v>
      </c>
      <c r="AM157" s="59">
        <f t="shared" si="113"/>
        <v>293.33333333334423</v>
      </c>
      <c r="AN157" s="59">
        <f ca="1">AVERAGE(OFFSET($AM$3,0,0,'Données projet'!$E$10+1,1))-AVERAGE(OFFSET($H$3,0,0,'Données projet'!$E$10+1,1))</f>
        <v>263.15518481854753</v>
      </c>
      <c r="AO157" s="59">
        <f t="shared" si="144"/>
        <v>210.80755370263819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275.99999999999972</v>
      </c>
      <c r="BE157" s="13">
        <f>BD157*VLOOKUP('Données projet'!$B$11,Paramètres!$A$1:$I$89,3,0)*VLOOKUP('Données projet'!$B$11,Paramètres!$A$1:$I$89,5,0)</f>
        <v>223.8911999999998</v>
      </c>
      <c r="BF157" s="13">
        <f t="shared" si="167"/>
        <v>54.95975389514858</v>
      </c>
      <c r="BG157" s="20">
        <f t="shared" si="168"/>
        <v>485.66541136738346</v>
      </c>
      <c r="BH157" s="59">
        <f t="shared" si="116"/>
        <v>778.99874470071677</v>
      </c>
      <c r="BI157" s="59">
        <f ca="1">AVERAGE(OFFSET($BH$3,0,0,'Données projet'!$E$11+1,1))-AVERAGE(OFFSET($H$3,0,0,'Données projet'!$E$11+1,1))</f>
        <v>203.21935660591021</v>
      </c>
      <c r="BJ157" s="59">
        <f t="shared" si="146"/>
        <v>180.54762778843178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8.6022207967664327E-2</v>
      </c>
      <c r="BQ157" s="21">
        <f>EXP(-LN(2)/25)*BQ156+(1-EXP(-LN(2)/25))/(LN(2)/25)*Calculateur!BL157*Calculateur!BN157*VLOOKUP('Données projet'!$B$11,Paramètres!$A$1:$I$89,3,0)*0.475*44/12</f>
        <v>0.18646453741389704</v>
      </c>
      <c r="BR157" s="21">
        <f>EXP(-LN(2)/2)*BR156+(1-EXP(-LN(2)/2))/(LN(2)/2)*BL157*BO157*VLOOKUP('Données projet'!$B$11,Paramètres!$A$1:$I$89,3,0)*0.475*44/12</f>
        <v>1.9651564491093371E-18</v>
      </c>
      <c r="BS157" s="22">
        <f t="shared" si="169"/>
        <v>0.27248674538156137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1.8717948717948687</v>
      </c>
      <c r="BY157" s="12">
        <f>IF('Données projet'!$A$114&gt;35,BY156+BX157-CG156,IF(A157&lt;'Données projet'!$A$114,$BV$205^A157,IF(A157='Données projet'!$A$114,'Données projet'!$B$114,BY156+BX157-CG156)))</f>
        <v>126.814102564102</v>
      </c>
      <c r="BZ157" s="13">
        <f>BY157*VLOOKUP('Données projet'!$B$12,Paramètres!$A$1:$I$89,3,0)*VLOOKUP('Données projet'!$B$12,Paramètres!$A$1:$I$89,5,0)</f>
        <v>136.50269999999941</v>
      </c>
      <c r="CA157" s="13">
        <f t="shared" si="170"/>
        <v>35.494647380956579</v>
      </c>
      <c r="CB157" s="20">
        <f t="shared" si="171"/>
        <v>299.56204668849836</v>
      </c>
      <c r="CC157" s="59">
        <f t="shared" si="119"/>
        <v>592.89538002183167</v>
      </c>
      <c r="CD157" s="59">
        <f ca="1">AVERAGE(OFFSET($CC$3,0,0,'Données projet'!$E$12+1,1))-AVERAGE(OFFSET($H$3,0,0,'Données projet'!$E$12+1,1))</f>
        <v>211.18501783767226</v>
      </c>
      <c r="CE157" s="59">
        <f t="shared" si="148"/>
        <v>147.98306963466246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0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1.8717948717948687</v>
      </c>
      <c r="CT157" s="12">
        <f>IF('Données projet'!$A$140&gt;35,CT156+CS157-DB156,IF(A157&lt;'Données projet'!$A$140,$CQ$205^A157,IF(A157='Données projet'!$A$140,'Données projet'!$B$140,CT156+CS157-DB156)))</f>
        <v>126.814102564102</v>
      </c>
      <c r="CU157" s="17">
        <f>CT157*VLOOKUP('Données projet'!$B$13,Paramètres!$A$1:$I$89,3,0)*VLOOKUP('Données projet'!$B$13,Paramètres!$A$1:$I$89,5,0)</f>
        <v>136.50269999999941</v>
      </c>
      <c r="CV157" s="13">
        <f t="shared" si="173"/>
        <v>35.494647380956579</v>
      </c>
      <c r="CW157" s="20">
        <f t="shared" si="174"/>
        <v>299.56204668849836</v>
      </c>
      <c r="CX157" s="59">
        <f t="shared" si="122"/>
        <v>592.89538002183167</v>
      </c>
      <c r="CY157" s="59">
        <f ca="1">AVERAGE(OFFSET($CX$3,0,0,'Données projet'!$E$13+1,1))-AVERAGE(OFFSET($H$3,0,0,'Données projet'!$E$13+1,1))</f>
        <v>211.18501783767226</v>
      </c>
      <c r="CZ157" s="59">
        <f t="shared" si="150"/>
        <v>147.98306963466246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0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-1.3596945791505279E-13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182.25704762953387</v>
      </c>
      <c r="T158" s="59">
        <f t="shared" si="142"/>
        <v>265.61788177751134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0.42035527828902602</v>
      </c>
      <c r="AA158" s="21">
        <f>EXP(-LN(2)/25)*AA157+(1-EXP(-LN(2)/25))/(LN(2)/25)*Calculateur!V158*Calculateur!X158*VLOOKUP('Données projet'!$B$9,Paramètres!$A$1:$I$89,3,0)*0.475*44/12</f>
        <v>0.53530697061777732</v>
      </c>
      <c r="AB158" s="21">
        <f>EXP(-LN(2)/2)*AB157+(1-EXP(-LN(2)/2))/(LN(2)/2)*V158*Y158*VLOOKUP('Données projet'!$B$9,Paramètres!$A$1:$I$89,3,0)*0.475*44/12</f>
        <v>4.5230650916927456E-19</v>
      </c>
      <c r="AC158" s="22">
        <f t="shared" si="163"/>
        <v>0.9556622489068034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4.5474735088646412E-13</v>
      </c>
      <c r="AJ158" s="13">
        <f>AI158*VLOOKUP('Données projet'!$B$10,Paramètres!$A$1:$I$89,3,0)*VLOOKUP('Données projet'!$B$10,Paramètres!$A$1:$I$89,5,0)</f>
        <v>4.6111381379887462E-13</v>
      </c>
      <c r="AK158" s="13">
        <f t="shared" si="164"/>
        <v>5.7981965206434308E-12</v>
      </c>
      <c r="AL158" s="20">
        <f t="shared" si="165"/>
        <v>1.0901632165820347E-11</v>
      </c>
      <c r="AM158" s="59">
        <f t="shared" si="113"/>
        <v>293.33333333334423</v>
      </c>
      <c r="AN158" s="59">
        <f ca="1">AVERAGE(OFFSET($AM$3,0,0,'Données projet'!$E$10+1,1))-AVERAGE(OFFSET($H$3,0,0,'Données projet'!$E$10+1,1))</f>
        <v>263.15518481854753</v>
      </c>
      <c r="AO158" s="59">
        <f t="shared" si="144"/>
        <v>210.80755370263819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275.99999999999972</v>
      </c>
      <c r="BE158" s="13">
        <f>BD158*VLOOKUP('Données projet'!$B$11,Paramètres!$A$1:$I$89,3,0)*VLOOKUP('Données projet'!$B$11,Paramètres!$A$1:$I$89,5,0)</f>
        <v>223.8911999999998</v>
      </c>
      <c r="BF158" s="13">
        <f t="shared" si="167"/>
        <v>54.95975389514858</v>
      </c>
      <c r="BG158" s="20">
        <f t="shared" si="168"/>
        <v>485.66541136738346</v>
      </c>
      <c r="BH158" s="59">
        <f t="shared" si="116"/>
        <v>778.99874470071677</v>
      </c>
      <c r="BI158" s="59">
        <f ca="1">AVERAGE(OFFSET($BH$3,0,0,'Données projet'!$E$11+1,1))-AVERAGE(OFFSET($H$3,0,0,'Données projet'!$E$11+1,1))</f>
        <v>203.21935660591021</v>
      </c>
      <c r="BJ158" s="59">
        <f t="shared" si="146"/>
        <v>180.54762778843178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8.4335364937784471E-2</v>
      </c>
      <c r="BQ158" s="21">
        <f>EXP(-LN(2)/25)*BQ157+(1-EXP(-LN(2)/25))/(LN(2)/25)*Calculateur!BL158*Calculateur!BN158*VLOOKUP('Données projet'!$B$11,Paramètres!$A$1:$I$89,3,0)*0.475*44/12</f>
        <v>0.18136565483257017</v>
      </c>
      <c r="BR158" s="21">
        <f>EXP(-LN(2)/2)*BR157+(1-EXP(-LN(2)/2))/(LN(2)/2)*BL158*BO158*VLOOKUP('Données projet'!$B$11,Paramètres!$A$1:$I$89,3,0)*0.475*44/12</f>
        <v>1.3895754512576888E-18</v>
      </c>
      <c r="BS158" s="22">
        <f t="shared" si="169"/>
        <v>0.26570101977035465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1.8717948717948687</v>
      </c>
      <c r="BY158" s="12">
        <f>IF('Données projet'!$A$114&gt;35,BY157+BX158-CG157,IF(A158&lt;'Données projet'!$A$114,$BV$205^A158,IF(A158='Données projet'!$A$114,'Données projet'!$B$114,BY157+BX158-CG157)))</f>
        <v>128.68589743589686</v>
      </c>
      <c r="BZ158" s="13">
        <f>BY158*VLOOKUP('Données projet'!$B$12,Paramètres!$A$1:$I$89,3,0)*VLOOKUP('Données projet'!$B$12,Paramètres!$A$1:$I$89,5,0)</f>
        <v>138.51749999999939</v>
      </c>
      <c r="CA158" s="13">
        <f t="shared" si="170"/>
        <v>35.957175426955061</v>
      </c>
      <c r="CB158" s="20">
        <f t="shared" si="171"/>
        <v>303.87672636861231</v>
      </c>
      <c r="CC158" s="59">
        <f t="shared" si="119"/>
        <v>597.21005970194562</v>
      </c>
      <c r="CD158" s="59">
        <f ca="1">AVERAGE(OFFSET($CC$3,0,0,'Données projet'!$E$12+1,1))-AVERAGE(OFFSET($H$3,0,0,'Données projet'!$E$12+1,1))</f>
        <v>211.18501783767226</v>
      </c>
      <c r="CE158" s="59">
        <f t="shared" si="148"/>
        <v>147.98306963466246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0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1.8717948717948687</v>
      </c>
      <c r="CT158" s="12">
        <f>IF('Données projet'!$A$140&gt;35,CT157+CS158-DB157,IF(A158&lt;'Données projet'!$A$140,$CQ$205^A158,IF(A158='Données projet'!$A$140,'Données projet'!$B$140,CT157+CS158-DB157)))</f>
        <v>128.68589743589686</v>
      </c>
      <c r="CU158" s="17">
        <f>CT158*VLOOKUP('Données projet'!$B$13,Paramètres!$A$1:$I$89,3,0)*VLOOKUP('Données projet'!$B$13,Paramètres!$A$1:$I$89,5,0)</f>
        <v>138.51749999999939</v>
      </c>
      <c r="CV158" s="13">
        <f t="shared" si="173"/>
        <v>35.957175426955061</v>
      </c>
      <c r="CW158" s="20">
        <f t="shared" si="174"/>
        <v>303.87672636861231</v>
      </c>
      <c r="CX158" s="59">
        <f t="shared" si="122"/>
        <v>597.21005970194562</v>
      </c>
      <c r="CY158" s="59">
        <f ca="1">AVERAGE(OFFSET($CX$3,0,0,'Données projet'!$E$13+1,1))-AVERAGE(OFFSET($H$3,0,0,'Données projet'!$E$13+1,1))</f>
        <v>211.18501783767226</v>
      </c>
      <c r="CZ158" s="59">
        <f t="shared" si="150"/>
        <v>147.98306963466246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0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-1.3596945791505279E-13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182.25704762953387</v>
      </c>
      <c r="T159" s="59">
        <f t="shared" si="142"/>
        <v>265.61788177751134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0.41211236767318143</v>
      </c>
      <c r="AA159" s="21">
        <f>EXP(-LN(2)/25)*AA158+(1-EXP(-LN(2)/25))/(LN(2)/25)*Calculateur!V159*Calculateur!X159*VLOOKUP('Données projet'!$B$9,Paramètres!$A$1:$I$89,3,0)*0.475*44/12</f>
        <v>0.52066897335566409</v>
      </c>
      <c r="AB159" s="21">
        <f>EXP(-LN(2)/2)*AB158+(1-EXP(-LN(2)/2))/(LN(2)/2)*V159*Y159*VLOOKUP('Données projet'!$B$9,Paramètres!$A$1:$I$89,3,0)*0.475*44/12</f>
        <v>3.1982899980840938E-19</v>
      </c>
      <c r="AC159" s="22">
        <f t="shared" si="163"/>
        <v>0.93278134102884547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4.5474735088646412E-13</v>
      </c>
      <c r="AJ159" s="13">
        <f>AI159*VLOOKUP('Données projet'!$B$10,Paramètres!$A$1:$I$89,3,0)*VLOOKUP('Données projet'!$B$10,Paramètres!$A$1:$I$89,5,0)</f>
        <v>4.6111381379887462E-13</v>
      </c>
      <c r="AK159" s="13">
        <f t="shared" si="164"/>
        <v>5.7981965206434308E-12</v>
      </c>
      <c r="AL159" s="20">
        <f t="shared" si="165"/>
        <v>1.0901632165820347E-11</v>
      </c>
      <c r="AM159" s="59">
        <f t="shared" si="113"/>
        <v>293.33333333334423</v>
      </c>
      <c r="AN159" s="59">
        <f ca="1">AVERAGE(OFFSET($AM$3,0,0,'Données projet'!$E$10+1,1))-AVERAGE(OFFSET($H$3,0,0,'Données projet'!$E$10+1,1))</f>
        <v>263.15518481854753</v>
      </c>
      <c r="AO159" s="59">
        <f t="shared" si="144"/>
        <v>210.80755370263819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275.99999999999972</v>
      </c>
      <c r="BE159" s="13">
        <f>BD159*VLOOKUP('Données projet'!$B$11,Paramètres!$A$1:$I$89,3,0)*VLOOKUP('Données projet'!$B$11,Paramètres!$A$1:$I$89,5,0)</f>
        <v>223.8911999999998</v>
      </c>
      <c r="BF159" s="13">
        <f t="shared" si="167"/>
        <v>54.95975389514858</v>
      </c>
      <c r="BG159" s="20">
        <f t="shared" si="168"/>
        <v>485.66541136738346</v>
      </c>
      <c r="BH159" s="59">
        <f t="shared" si="116"/>
        <v>778.99874470071677</v>
      </c>
      <c r="BI159" s="59">
        <f ca="1">AVERAGE(OFFSET($BH$3,0,0,'Données projet'!$E$11+1,1))-AVERAGE(OFFSET($H$3,0,0,'Données projet'!$E$11+1,1))</f>
        <v>203.21935660591021</v>
      </c>
      <c r="BJ159" s="59">
        <f t="shared" si="146"/>
        <v>180.54762778843178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8.2681599870847902E-2</v>
      </c>
      <c r="BQ159" s="21">
        <f>EXP(-LN(2)/25)*BQ158+(1-EXP(-LN(2)/25))/(LN(2)/25)*Calculateur!BL159*Calculateur!BN159*VLOOKUP('Données projet'!$B$11,Paramètres!$A$1:$I$89,3,0)*0.475*44/12</f>
        <v>0.17640620146356825</v>
      </c>
      <c r="BR159" s="21">
        <f>EXP(-LN(2)/2)*BR158+(1-EXP(-LN(2)/2))/(LN(2)/2)*BL159*BO159*VLOOKUP('Données projet'!$B$11,Paramètres!$A$1:$I$89,3,0)*0.475*44/12</f>
        <v>9.8257822455466856E-19</v>
      </c>
      <c r="BS159" s="22">
        <f t="shared" si="169"/>
        <v>0.25908780133441617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1.8717948717948687</v>
      </c>
      <c r="BY159" s="12">
        <f>IF('Données projet'!$A$114&gt;35,BY158+BX159-CG158,IF(A159&lt;'Données projet'!$A$114,$BV$205^A159,IF(A159='Données projet'!$A$114,'Données projet'!$B$114,BY158+BX159-CG158)))</f>
        <v>130.55769230769172</v>
      </c>
      <c r="BZ159" s="13">
        <f>BY159*VLOOKUP('Données projet'!$B$12,Paramètres!$A$1:$I$89,3,0)*VLOOKUP('Données projet'!$B$12,Paramètres!$A$1:$I$89,5,0)</f>
        <v>140.53229999999937</v>
      </c>
      <c r="CA159" s="13">
        <f t="shared" si="170"/>
        <v>36.418921004307371</v>
      </c>
      <c r="CB159" s="20">
        <f t="shared" si="171"/>
        <v>308.19004324916756</v>
      </c>
      <c r="CC159" s="59">
        <f t="shared" si="119"/>
        <v>601.52337658250087</v>
      </c>
      <c r="CD159" s="59">
        <f ca="1">AVERAGE(OFFSET($CC$3,0,0,'Données projet'!$E$12+1,1))-AVERAGE(OFFSET($H$3,0,0,'Données projet'!$E$12+1,1))</f>
        <v>211.18501783767226</v>
      </c>
      <c r="CE159" s="59">
        <f t="shared" si="148"/>
        <v>147.98306963466246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0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1.8717948717948687</v>
      </c>
      <c r="CT159" s="12">
        <f>IF('Données projet'!$A$140&gt;35,CT158+CS159-DB158,IF(A159&lt;'Données projet'!$A$140,$CQ$205^A159,IF(A159='Données projet'!$A$140,'Données projet'!$B$140,CT158+CS159-DB158)))</f>
        <v>130.55769230769172</v>
      </c>
      <c r="CU159" s="17">
        <f>CT159*VLOOKUP('Données projet'!$B$13,Paramètres!$A$1:$I$89,3,0)*VLOOKUP('Données projet'!$B$13,Paramètres!$A$1:$I$89,5,0)</f>
        <v>140.53229999999937</v>
      </c>
      <c r="CV159" s="13">
        <f t="shared" si="173"/>
        <v>36.418921004307371</v>
      </c>
      <c r="CW159" s="20">
        <f t="shared" si="174"/>
        <v>308.19004324916756</v>
      </c>
      <c r="CX159" s="59">
        <f t="shared" si="122"/>
        <v>601.52337658250087</v>
      </c>
      <c r="CY159" s="59">
        <f ca="1">AVERAGE(OFFSET($CX$3,0,0,'Données projet'!$E$13+1,1))-AVERAGE(OFFSET($H$3,0,0,'Données projet'!$E$13+1,1))</f>
        <v>211.18501783767226</v>
      </c>
      <c r="CZ159" s="59">
        <f t="shared" si="150"/>
        <v>147.98306963466246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0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-1.3596945791505279E-13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182.25704762953387</v>
      </c>
      <c r="T160" s="59">
        <f t="shared" si="142"/>
        <v>265.61788177751134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0.40403109550683453</v>
      </c>
      <c r="AA160" s="21">
        <f>EXP(-LN(2)/25)*AA159+(1-EXP(-LN(2)/25))/(LN(2)/25)*Calculateur!V160*Calculateur!X160*VLOOKUP('Données projet'!$B$9,Paramètres!$A$1:$I$89,3,0)*0.475*44/12</f>
        <v>0.50643125289846214</v>
      </c>
      <c r="AB160" s="21">
        <f>EXP(-LN(2)/2)*AB159+(1-EXP(-LN(2)/2))/(LN(2)/2)*V160*Y160*VLOOKUP('Données projet'!$B$9,Paramètres!$A$1:$I$89,3,0)*0.475*44/12</f>
        <v>2.2615325458463728E-19</v>
      </c>
      <c r="AC160" s="22">
        <f t="shared" si="163"/>
        <v>0.91046234840529672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4.5474735088646412E-13</v>
      </c>
      <c r="AJ160" s="13">
        <f>AI160*VLOOKUP('Données projet'!$B$10,Paramètres!$A$1:$I$89,3,0)*VLOOKUP('Données projet'!$B$10,Paramètres!$A$1:$I$89,5,0)</f>
        <v>4.6111381379887462E-13</v>
      </c>
      <c r="AK160" s="13">
        <f t="shared" si="164"/>
        <v>5.7981965206434308E-12</v>
      </c>
      <c r="AL160" s="20">
        <f t="shared" si="165"/>
        <v>1.0901632165820347E-11</v>
      </c>
      <c r="AM160" s="59">
        <f t="shared" si="113"/>
        <v>293.33333333334423</v>
      </c>
      <c r="AN160" s="59">
        <f ca="1">AVERAGE(OFFSET($AM$3,0,0,'Données projet'!$E$10+1,1))-AVERAGE(OFFSET($H$3,0,0,'Données projet'!$E$10+1,1))</f>
        <v>263.15518481854753</v>
      </c>
      <c r="AO160" s="59">
        <f t="shared" si="144"/>
        <v>210.80755370263819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275.99999999999972</v>
      </c>
      <c r="BE160" s="13">
        <f>BD160*VLOOKUP('Données projet'!$B$11,Paramètres!$A$1:$I$89,3,0)*VLOOKUP('Données projet'!$B$11,Paramètres!$A$1:$I$89,5,0)</f>
        <v>223.8911999999998</v>
      </c>
      <c r="BF160" s="13">
        <f t="shared" si="167"/>
        <v>54.95975389514858</v>
      </c>
      <c r="BG160" s="20">
        <f t="shared" si="168"/>
        <v>485.66541136738346</v>
      </c>
      <c r="BH160" s="59">
        <f t="shared" si="116"/>
        <v>778.99874470071677</v>
      </c>
      <c r="BI160" s="59">
        <f ca="1">AVERAGE(OFFSET($BH$3,0,0,'Données projet'!$E$11+1,1))-AVERAGE(OFFSET($H$3,0,0,'Données projet'!$E$11+1,1))</f>
        <v>203.21935660591021</v>
      </c>
      <c r="BJ160" s="59">
        <f t="shared" si="146"/>
        <v>180.54762778843178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8.1060264128176865E-2</v>
      </c>
      <c r="BQ160" s="21">
        <f>EXP(-LN(2)/25)*BQ159+(1-EXP(-LN(2)/25))/(LN(2)/25)*Calculateur!BL160*Calculateur!BN160*VLOOKUP('Données projet'!$B$11,Paramètres!$A$1:$I$89,3,0)*0.475*44/12</f>
        <v>0.17158236460774803</v>
      </c>
      <c r="BR160" s="21">
        <f>EXP(-LN(2)/2)*BR159+(1-EXP(-LN(2)/2))/(LN(2)/2)*BL160*BO160*VLOOKUP('Données projet'!$B$11,Paramètres!$A$1:$I$89,3,0)*0.475*44/12</f>
        <v>6.947877256288444E-19</v>
      </c>
      <c r="BS160" s="22">
        <f t="shared" si="169"/>
        <v>0.25264262873592491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>
        <f>VLOOKUP(A160,'Données projet'!$A$113:$I$133,2,0)</f>
        <v>132.42948717948718</v>
      </c>
      <c r="BW160" s="12">
        <f>VLOOKUP(A160,'Données projet'!$A$113:$I$133,9,0)</f>
        <v>1.8717948717948687</v>
      </c>
      <c r="BX160" s="12">
        <f t="array" ref="BX160">INDEX(BW:BW,MIN(IF(ISNUMBER(BW160:BW356),ROW(BW160:BW356),"")))</f>
        <v>1.8717948717948687</v>
      </c>
      <c r="BY160" s="12">
        <f>IF('Données projet'!$A$114&gt;35,BY159+BX160-CG159,IF(A160&lt;'Données projet'!$A$114,$BV$205^A160,IF(A160='Données projet'!$A$114,'Données projet'!$B$114,BY159+BX160-CG159)))</f>
        <v>132.42948717948659</v>
      </c>
      <c r="BZ160" s="13">
        <f>BY160*VLOOKUP('Données projet'!$B$12,Paramètres!$A$1:$I$89,3,0)*VLOOKUP('Données projet'!$B$12,Paramètres!$A$1:$I$89,5,0)</f>
        <v>142.54709999999935</v>
      </c>
      <c r="CA160" s="13">
        <f t="shared" si="170"/>
        <v>36.879896627417821</v>
      </c>
      <c r="CB160" s="20">
        <f t="shared" si="171"/>
        <v>312.50201912608486</v>
      </c>
      <c r="CC160" s="59">
        <f t="shared" si="119"/>
        <v>605.83535245941812</v>
      </c>
      <c r="CD160" s="59">
        <f ca="1">AVERAGE(OFFSET($CC$3,0,0,'Données projet'!$E$12+1,1))-AVERAGE(OFFSET($H$3,0,0,'Données projet'!$E$12+1,1))</f>
        <v>211.18501783767226</v>
      </c>
      <c r="CE160" s="59">
        <f t="shared" si="148"/>
        <v>147.98306963466246</v>
      </c>
      <c r="CF160" s="15">
        <f>IF(ISNA(VLOOKUP(A160,'Données projet'!$A$113:$I$133,3,0)),0,VLOOKUP(A160,'Données projet'!$A$113:$I$133,3,0))</f>
        <v>14</v>
      </c>
      <c r="CG160" s="15">
        <f>IF(ISNA(VLOOKUP(A160,'Données projet'!$A$113:$I$133,4,0)),0,VLOOKUP(A160,'Données projet'!$A$113:$I$133,4,0))</f>
        <v>45.71153846153846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0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>
        <f>VLOOKUP(A160,'Données projet'!$A$139:$I$159,2,0)</f>
        <v>132.42948717948718</v>
      </c>
      <c r="CR160" s="12">
        <f>VLOOKUP(A160,'Données projet'!$A$139:$I$159,9,0)</f>
        <v>1.8717948717948687</v>
      </c>
      <c r="CS160" s="12">
        <f t="array" ref="CS160">INDEX(CR:CR,MIN(IF(ISNUMBER(CR160:CR356),ROW(CR160:CR356),"")))</f>
        <v>1.8717948717948687</v>
      </c>
      <c r="CT160" s="12">
        <f>IF('Données projet'!$A$140&gt;35,CT159+CS160-DB159,IF(A160&lt;'Données projet'!$A$140,$CQ$205^A160,IF(A160='Données projet'!$A$140,'Données projet'!$B$140,CT159+CS160-DB159)))</f>
        <v>132.42948717948659</v>
      </c>
      <c r="CU160" s="17">
        <f>CT160*VLOOKUP('Données projet'!$B$13,Paramètres!$A$1:$I$89,3,0)*VLOOKUP('Données projet'!$B$13,Paramètres!$A$1:$I$89,5,0)</f>
        <v>142.54709999999935</v>
      </c>
      <c r="CV160" s="13">
        <f t="shared" si="173"/>
        <v>36.879896627417821</v>
      </c>
      <c r="CW160" s="20">
        <f t="shared" si="174"/>
        <v>312.50201912608486</v>
      </c>
      <c r="CX160" s="59">
        <f t="shared" si="122"/>
        <v>605.83535245941812</v>
      </c>
      <c r="CY160" s="59">
        <f ca="1">AVERAGE(OFFSET($CX$3,0,0,'Données projet'!$E$13+1,1))-AVERAGE(OFFSET($H$3,0,0,'Données projet'!$E$13+1,1))</f>
        <v>211.18501783767226</v>
      </c>
      <c r="CZ160" s="59">
        <f t="shared" si="150"/>
        <v>147.98306963466246</v>
      </c>
      <c r="DA160" s="15">
        <f>IF(ISNA(VLOOKUP(A160,'Données projet'!$A$139:$I$159,3,0)),0,VLOOKUP(A160,'Données projet'!$A$139:$I$159,3,0))</f>
        <v>14</v>
      </c>
      <c r="DB160" s="15">
        <f>IF(ISNA(VLOOKUP(A160,'Données projet'!$A$139:$I$159,4,0)),0,VLOOKUP(A160,'Données projet'!$A$139:$I$159,4,0))</f>
        <v>45.71153846153846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0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-1.3596945791505279E-13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182.25704762953387</v>
      </c>
      <c r="T161" s="59">
        <f t="shared" si="142"/>
        <v>265.61788177751134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0.39610829215858034</v>
      </c>
      <c r="AA161" s="21">
        <f>EXP(-LN(2)/25)*AA160+(1-EXP(-LN(2)/25))/(LN(2)/25)*Calculateur!V161*Calculateur!X161*VLOOKUP('Données projet'!$B$9,Paramètres!$A$1:$I$89,3,0)*0.475*44/12</f>
        <v>0.49258286365589155</v>
      </c>
      <c r="AB161" s="21">
        <f>EXP(-LN(2)/2)*AB160+(1-EXP(-LN(2)/2))/(LN(2)/2)*V161*Y161*VLOOKUP('Données projet'!$B$9,Paramètres!$A$1:$I$89,3,0)*0.475*44/12</f>
        <v>1.5991449990420469E-19</v>
      </c>
      <c r="AC161" s="22">
        <f t="shared" si="163"/>
        <v>0.88869115581447189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4.5474735088646412E-13</v>
      </c>
      <c r="AJ161" s="13">
        <f>AI161*VLOOKUP('Données projet'!$B$10,Paramètres!$A$1:$I$89,3,0)*VLOOKUP('Données projet'!$B$10,Paramètres!$A$1:$I$89,5,0)</f>
        <v>4.6111381379887462E-13</v>
      </c>
      <c r="AK161" s="13">
        <f t="shared" si="164"/>
        <v>5.7981965206434308E-12</v>
      </c>
      <c r="AL161" s="20">
        <f t="shared" si="165"/>
        <v>1.0901632165820347E-11</v>
      </c>
      <c r="AM161" s="59">
        <f t="shared" si="113"/>
        <v>293.33333333334423</v>
      </c>
      <c r="AN161" s="59">
        <f ca="1">AVERAGE(OFFSET($AM$3,0,0,'Données projet'!$E$10+1,1))-AVERAGE(OFFSET($H$3,0,0,'Données projet'!$E$10+1,1))</f>
        <v>263.15518481854753</v>
      </c>
      <c r="AO161" s="59">
        <f t="shared" si="144"/>
        <v>210.80755370263819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275.99999999999972</v>
      </c>
      <c r="BE161" s="13">
        <f>BD161*VLOOKUP('Données projet'!$B$11,Paramètres!$A$1:$I$89,3,0)*VLOOKUP('Données projet'!$B$11,Paramètres!$A$1:$I$89,5,0)</f>
        <v>223.8911999999998</v>
      </c>
      <c r="BF161" s="13">
        <f t="shared" si="167"/>
        <v>54.95975389514858</v>
      </c>
      <c r="BG161" s="20">
        <f t="shared" si="168"/>
        <v>485.66541136738346</v>
      </c>
      <c r="BH161" s="59">
        <f t="shared" si="116"/>
        <v>778.99874470071677</v>
      </c>
      <c r="BI161" s="59">
        <f ca="1">AVERAGE(OFFSET($BH$3,0,0,'Données projet'!$E$11+1,1))-AVERAGE(OFFSET($H$3,0,0,'Données projet'!$E$11+1,1))</f>
        <v>203.21935660591021</v>
      </c>
      <c r="BJ161" s="59">
        <f t="shared" si="146"/>
        <v>180.54762778843178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7.9470721790502449E-2</v>
      </c>
      <c r="BQ161" s="21">
        <f>EXP(-LN(2)/25)*BQ160+(1-EXP(-LN(2)/25))/(LN(2)/25)*Calculateur!BL161*Calculateur!BN161*VLOOKUP('Données projet'!$B$11,Paramètres!$A$1:$I$89,3,0)*0.475*44/12</f>
        <v>0.16689043582442475</v>
      </c>
      <c r="BR161" s="21">
        <f>EXP(-LN(2)/2)*BR160+(1-EXP(-LN(2)/2))/(LN(2)/2)*BL161*BO161*VLOOKUP('Données projet'!$B$11,Paramètres!$A$1:$I$89,3,0)*0.475*44/12</f>
        <v>4.9128911227733428E-19</v>
      </c>
      <c r="BS161" s="22">
        <f t="shared" si="169"/>
        <v>0.24636115761492722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1.1618589743589709</v>
      </c>
      <c r="BY161" s="12">
        <f>IF('Données projet'!$A$114&gt;35,BY160+BX161-CG160,IF(A161&lt;'Données projet'!$A$114,$BV$205^A161,IF(A161='Données projet'!$A$114,'Données projet'!$B$114,BY160+BX161-CG160)))</f>
        <v>87.879807692307111</v>
      </c>
      <c r="BZ161" s="13">
        <f>BY161*VLOOKUP('Données projet'!$B$12,Paramètres!$A$1:$I$89,3,0)*VLOOKUP('Données projet'!$B$12,Paramètres!$A$1:$I$89,5,0)</f>
        <v>94.59382499999937</v>
      </c>
      <c r="CA161" s="13">
        <f t="shared" si="170"/>
        <v>25.669914576266891</v>
      </c>
      <c r="CB161" s="20">
        <f t="shared" si="171"/>
        <v>209.45934642866371</v>
      </c>
      <c r="CC161" s="59">
        <f t="shared" si="119"/>
        <v>502.79267976199702</v>
      </c>
      <c r="CD161" s="59">
        <f ca="1">AVERAGE(OFFSET($CC$3,0,0,'Données projet'!$E$12+1,1))-AVERAGE(OFFSET($H$3,0,0,'Données projet'!$E$12+1,1))</f>
        <v>211.18501783767226</v>
      </c>
      <c r="CE161" s="59">
        <f t="shared" si="148"/>
        <v>147.98306963466246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0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1.1618589743589709</v>
      </c>
      <c r="CT161" s="12">
        <f>IF('Données projet'!$A$140&gt;35,CT160+CS161-DB160,IF(A161&lt;'Données projet'!$A$140,$CQ$205^A161,IF(A161='Données projet'!$A$140,'Données projet'!$B$140,CT160+CS161-DB160)))</f>
        <v>87.879807692307111</v>
      </c>
      <c r="CU161" s="17">
        <f>CT161*VLOOKUP('Données projet'!$B$13,Paramètres!$A$1:$I$89,3,0)*VLOOKUP('Données projet'!$B$13,Paramètres!$A$1:$I$89,5,0)</f>
        <v>94.59382499999937</v>
      </c>
      <c r="CV161" s="13">
        <f t="shared" si="173"/>
        <v>25.669914576266891</v>
      </c>
      <c r="CW161" s="20">
        <f t="shared" si="174"/>
        <v>209.45934642866371</v>
      </c>
      <c r="CX161" s="59">
        <f t="shared" si="122"/>
        <v>502.79267976199702</v>
      </c>
      <c r="CY161" s="59">
        <f ca="1">AVERAGE(OFFSET($CX$3,0,0,'Données projet'!$E$13+1,1))-AVERAGE(OFFSET($H$3,0,0,'Données projet'!$E$13+1,1))</f>
        <v>211.18501783767226</v>
      </c>
      <c r="CZ161" s="59">
        <f t="shared" si="150"/>
        <v>147.98306963466246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0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-1.3596945791505279E-13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182.25704762953387</v>
      </c>
      <c r="T162" s="59">
        <f t="shared" si="142"/>
        <v>265.61788177751134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0.38834085015155256</v>
      </c>
      <c r="AA162" s="21">
        <f>EXP(-LN(2)/25)*AA161+(1-EXP(-LN(2)/25))/(LN(2)/25)*Calculateur!V162*Calculateur!X162*VLOOKUP('Données projet'!$B$9,Paramètres!$A$1:$I$89,3,0)*0.475*44/12</f>
        <v>0.47911315934541421</v>
      </c>
      <c r="AB162" s="21">
        <f>EXP(-LN(2)/2)*AB161+(1-EXP(-LN(2)/2))/(LN(2)/2)*V162*Y162*VLOOKUP('Données projet'!$B$9,Paramètres!$A$1:$I$89,3,0)*0.475*44/12</f>
        <v>1.1307662729231864E-19</v>
      </c>
      <c r="AC162" s="22">
        <f t="shared" si="163"/>
        <v>0.86745400949696672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4.5474735088646412E-13</v>
      </c>
      <c r="AJ162" s="13">
        <f>AI162*VLOOKUP('Données projet'!$B$10,Paramètres!$A$1:$I$89,3,0)*VLOOKUP('Données projet'!$B$10,Paramètres!$A$1:$I$89,5,0)</f>
        <v>4.6111381379887462E-13</v>
      </c>
      <c r="AK162" s="13">
        <f t="shared" si="164"/>
        <v>5.7981965206434308E-12</v>
      </c>
      <c r="AL162" s="20">
        <f t="shared" si="165"/>
        <v>1.0901632165820347E-11</v>
      </c>
      <c r="AM162" s="59">
        <f t="shared" si="113"/>
        <v>293.33333333334423</v>
      </c>
      <c r="AN162" s="59">
        <f ca="1">AVERAGE(OFFSET($AM$3,0,0,'Données projet'!$E$10+1,1))-AVERAGE(OFFSET($H$3,0,0,'Données projet'!$E$10+1,1))</f>
        <v>263.15518481854753</v>
      </c>
      <c r="AO162" s="59">
        <f t="shared" si="144"/>
        <v>210.80755370263819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275.99999999999972</v>
      </c>
      <c r="BE162" s="13">
        <f>BD162*VLOOKUP('Données projet'!$B$11,Paramètres!$A$1:$I$89,3,0)*VLOOKUP('Données projet'!$B$11,Paramètres!$A$1:$I$89,5,0)</f>
        <v>223.8911999999998</v>
      </c>
      <c r="BF162" s="13">
        <f t="shared" si="167"/>
        <v>54.95975389514858</v>
      </c>
      <c r="BG162" s="20">
        <f t="shared" si="168"/>
        <v>485.66541136738346</v>
      </c>
      <c r="BH162" s="59">
        <f t="shared" si="116"/>
        <v>778.99874470071677</v>
      </c>
      <c r="BI162" s="59">
        <f ca="1">AVERAGE(OFFSET($BH$3,0,0,'Données projet'!$E$11+1,1))-AVERAGE(OFFSET($H$3,0,0,'Données projet'!$E$11+1,1))</f>
        <v>203.21935660591021</v>
      </c>
      <c r="BJ162" s="59">
        <f t="shared" si="146"/>
        <v>180.54762778843178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7.7912349408544745E-2</v>
      </c>
      <c r="BQ162" s="21">
        <f>EXP(-LN(2)/25)*BQ161+(1-EXP(-LN(2)/25))/(LN(2)/25)*Calculateur!BL162*Calculateur!BN162*VLOOKUP('Données projet'!$B$11,Paramètres!$A$1:$I$89,3,0)*0.475*44/12</f>
        <v>0.16232680808041927</v>
      </c>
      <c r="BR162" s="21">
        <f>EXP(-LN(2)/2)*BR161+(1-EXP(-LN(2)/2))/(LN(2)/2)*BL162*BO162*VLOOKUP('Données projet'!$B$11,Paramètres!$A$1:$I$89,3,0)*0.475*44/12</f>
        <v>3.473938628144222E-19</v>
      </c>
      <c r="BS162" s="22">
        <f t="shared" si="169"/>
        <v>0.24023915748896402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1.1618589743589709</v>
      </c>
      <c r="BY162" s="12">
        <f>IF('Données projet'!$A$114&gt;35,BY161+BX162-CG161,IF(A162&lt;'Données projet'!$A$114,$BV$205^A162,IF(A162='Données projet'!$A$114,'Données projet'!$B$114,BY161+BX162-CG161)))</f>
        <v>89.041666666666089</v>
      </c>
      <c r="BZ162" s="13">
        <f>BY162*VLOOKUP('Données projet'!$B$12,Paramètres!$A$1:$I$89,3,0)*VLOOKUP('Données projet'!$B$12,Paramètres!$A$1:$I$89,5,0)</f>
        <v>95.84444999999937</v>
      </c>
      <c r="CA162" s="13">
        <f t="shared" si="170"/>
        <v>25.969562851177397</v>
      </c>
      <c r="CB162" s="20">
        <f t="shared" si="171"/>
        <v>212.15940571579952</v>
      </c>
      <c r="CC162" s="59">
        <f t="shared" si="119"/>
        <v>505.49273904913287</v>
      </c>
      <c r="CD162" s="59">
        <f ca="1">AVERAGE(OFFSET($CC$3,0,0,'Données projet'!$E$12+1,1))-AVERAGE(OFFSET($H$3,0,0,'Données projet'!$E$12+1,1))</f>
        <v>211.18501783767226</v>
      </c>
      <c r="CE162" s="59">
        <f t="shared" si="148"/>
        <v>147.98306963466246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0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1.1618589743589709</v>
      </c>
      <c r="CT162" s="12">
        <f>IF('Données projet'!$A$140&gt;35,CT161+CS162-DB161,IF(A162&lt;'Données projet'!$A$140,$CQ$205^A162,IF(A162='Données projet'!$A$140,'Données projet'!$B$140,CT161+CS162-DB161)))</f>
        <v>89.041666666666089</v>
      </c>
      <c r="CU162" s="17">
        <f>CT162*VLOOKUP('Données projet'!$B$13,Paramètres!$A$1:$I$89,3,0)*VLOOKUP('Données projet'!$B$13,Paramètres!$A$1:$I$89,5,0)</f>
        <v>95.84444999999937</v>
      </c>
      <c r="CV162" s="13">
        <f t="shared" si="173"/>
        <v>25.969562851177397</v>
      </c>
      <c r="CW162" s="20">
        <f t="shared" si="174"/>
        <v>212.15940571579952</v>
      </c>
      <c r="CX162" s="59">
        <f t="shared" si="122"/>
        <v>505.49273904913287</v>
      </c>
      <c r="CY162" s="59">
        <f ca="1">AVERAGE(OFFSET($CX$3,0,0,'Données projet'!$E$13+1,1))-AVERAGE(OFFSET($H$3,0,0,'Données projet'!$E$13+1,1))</f>
        <v>211.18501783767226</v>
      </c>
      <c r="CZ162" s="59">
        <f t="shared" si="150"/>
        <v>147.98306963466246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0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-1.3596945791505279E-13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182.25704762953387</v>
      </c>
      <c r="T163" s="59">
        <f t="shared" si="142"/>
        <v>265.61788177751134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0.38072572294461077</v>
      </c>
      <c r="AA163" s="21">
        <f>EXP(-LN(2)/25)*AA162+(1-EXP(-LN(2)/25))/(LN(2)/25)*Calculateur!V163*Calculateur!X163*VLOOKUP('Données projet'!$B$9,Paramètres!$A$1:$I$89,3,0)*0.475*44/12</f>
        <v>0.46601178480764782</v>
      </c>
      <c r="AB163" s="21">
        <f>EXP(-LN(2)/2)*AB162+(1-EXP(-LN(2)/2))/(LN(2)/2)*V163*Y163*VLOOKUP('Données projet'!$B$9,Paramètres!$A$1:$I$89,3,0)*0.475*44/12</f>
        <v>7.9957249952102344E-20</v>
      </c>
      <c r="AC163" s="22">
        <f t="shared" si="163"/>
        <v>0.84673750775225853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4.5474735088646412E-13</v>
      </c>
      <c r="AJ163" s="13">
        <f>AI163*VLOOKUP('Données projet'!$B$10,Paramètres!$A$1:$I$89,3,0)*VLOOKUP('Données projet'!$B$10,Paramètres!$A$1:$I$89,5,0)</f>
        <v>4.6111381379887462E-13</v>
      </c>
      <c r="AK163" s="13">
        <f t="shared" si="164"/>
        <v>5.7981965206434308E-12</v>
      </c>
      <c r="AL163" s="20">
        <f t="shared" si="165"/>
        <v>1.0901632165820347E-11</v>
      </c>
      <c r="AM163" s="59">
        <f t="shared" si="113"/>
        <v>293.33333333334423</v>
      </c>
      <c r="AN163" s="59">
        <f ca="1">AVERAGE(OFFSET($AM$3,0,0,'Données projet'!$E$10+1,1))-AVERAGE(OFFSET($H$3,0,0,'Données projet'!$E$10+1,1))</f>
        <v>263.15518481854753</v>
      </c>
      <c r="AO163" s="59">
        <f t="shared" si="144"/>
        <v>210.80755370263819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275.99999999999972</v>
      </c>
      <c r="BE163" s="13">
        <f>BD163*VLOOKUP('Données projet'!$B$11,Paramètres!$A$1:$I$89,3,0)*VLOOKUP('Données projet'!$B$11,Paramètres!$A$1:$I$89,5,0)</f>
        <v>223.8911999999998</v>
      </c>
      <c r="BF163" s="13">
        <f t="shared" si="167"/>
        <v>54.95975389514858</v>
      </c>
      <c r="BG163" s="20">
        <f t="shared" si="168"/>
        <v>485.66541136738346</v>
      </c>
      <c r="BH163" s="59">
        <f t="shared" si="116"/>
        <v>778.99874470071677</v>
      </c>
      <c r="BI163" s="59">
        <f ca="1">AVERAGE(OFFSET($BH$3,0,0,'Données projet'!$E$11+1,1))-AVERAGE(OFFSET($H$3,0,0,'Données projet'!$E$11+1,1))</f>
        <v>203.21935660591021</v>
      </c>
      <c r="BJ163" s="59">
        <f t="shared" si="146"/>
        <v>180.54762778843178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7.6384535758483932E-2</v>
      </c>
      <c r="BQ163" s="21">
        <f>EXP(-LN(2)/25)*BQ162+(1-EXP(-LN(2)/25))/(LN(2)/25)*Calculateur!BL163*Calculateur!BN163*VLOOKUP('Données projet'!$B$11,Paramètres!$A$1:$I$89,3,0)*0.475*44/12</f>
        <v>0.15788797297706436</v>
      </c>
      <c r="BR163" s="21">
        <f>EXP(-LN(2)/2)*BR162+(1-EXP(-LN(2)/2))/(LN(2)/2)*BL163*BO163*VLOOKUP('Données projet'!$B$11,Paramètres!$A$1:$I$89,3,0)*0.475*44/12</f>
        <v>2.4564455613866714E-19</v>
      </c>
      <c r="BS163" s="22">
        <f t="shared" si="169"/>
        <v>0.23427250873554828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1.1618589743589709</v>
      </c>
      <c r="BY163" s="12">
        <f>IF('Données projet'!$A$114&gt;35,BY162+BX163-CG162,IF(A163&lt;'Données projet'!$A$114,$BV$205^A163,IF(A163='Données projet'!$A$114,'Données projet'!$B$114,BY162+BX163-CG162)))</f>
        <v>90.203525641025067</v>
      </c>
      <c r="BZ163" s="13">
        <f>BY163*VLOOKUP('Données projet'!$B$12,Paramètres!$A$1:$I$89,3,0)*VLOOKUP('Données projet'!$B$12,Paramètres!$A$1:$I$89,5,0)</f>
        <v>97.095074999999383</v>
      </c>
      <c r="CA163" s="13">
        <f t="shared" si="170"/>
        <v>26.268756338964639</v>
      </c>
      <c r="CB163" s="20">
        <f t="shared" si="171"/>
        <v>214.85867291536229</v>
      </c>
      <c r="CC163" s="59">
        <f t="shared" si="119"/>
        <v>508.19200624869563</v>
      </c>
      <c r="CD163" s="59">
        <f ca="1">AVERAGE(OFFSET($CC$3,0,0,'Données projet'!$E$12+1,1))-AVERAGE(OFFSET($H$3,0,0,'Données projet'!$E$12+1,1))</f>
        <v>211.18501783767226</v>
      </c>
      <c r="CE163" s="59">
        <f t="shared" si="148"/>
        <v>147.98306963466246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0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1.1618589743589709</v>
      </c>
      <c r="CT163" s="12">
        <f>IF('Données projet'!$A$140&gt;35,CT162+CS163-DB162,IF(A163&lt;'Données projet'!$A$140,$CQ$205^A163,IF(A163='Données projet'!$A$140,'Données projet'!$B$140,CT162+CS163-DB162)))</f>
        <v>90.203525641025067</v>
      </c>
      <c r="CU163" s="17">
        <f>CT163*VLOOKUP('Données projet'!$B$13,Paramètres!$A$1:$I$89,3,0)*VLOOKUP('Données projet'!$B$13,Paramètres!$A$1:$I$89,5,0)</f>
        <v>97.095074999999383</v>
      </c>
      <c r="CV163" s="13">
        <f t="shared" si="173"/>
        <v>26.268756338964639</v>
      </c>
      <c r="CW163" s="20">
        <f t="shared" si="174"/>
        <v>214.85867291536229</v>
      </c>
      <c r="CX163" s="59">
        <f t="shared" si="122"/>
        <v>508.19200624869563</v>
      </c>
      <c r="CY163" s="59">
        <f ca="1">AVERAGE(OFFSET($CX$3,0,0,'Données projet'!$E$13+1,1))-AVERAGE(OFFSET($H$3,0,0,'Données projet'!$E$13+1,1))</f>
        <v>211.18501783767226</v>
      </c>
      <c r="CZ163" s="59">
        <f t="shared" si="150"/>
        <v>147.98306963466246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0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-1.3596945791505279E-13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182.25704762953387</v>
      </c>
      <c r="T164" s="59">
        <f t="shared" si="142"/>
        <v>265.61788177751134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0.37325992373742817</v>
      </c>
      <c r="AA164" s="21">
        <f>EXP(-LN(2)/25)*AA163+(1-EXP(-LN(2)/25))/(LN(2)/25)*Calculateur!V164*Calculateur!X164*VLOOKUP('Données projet'!$B$9,Paramètres!$A$1:$I$89,3,0)*0.475*44/12</f>
        <v>0.45326866804558802</v>
      </c>
      <c r="AB164" s="21">
        <f>EXP(-LN(2)/2)*AB163+(1-EXP(-LN(2)/2))/(LN(2)/2)*V164*Y164*VLOOKUP('Données projet'!$B$9,Paramètres!$A$1:$I$89,3,0)*0.475*44/12</f>
        <v>5.653831364615932E-20</v>
      </c>
      <c r="AC164" s="22">
        <f t="shared" si="163"/>
        <v>0.82652859178301619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4.5474735088646412E-13</v>
      </c>
      <c r="AJ164" s="13">
        <f>AI164*VLOOKUP('Données projet'!$B$10,Paramètres!$A$1:$I$89,3,0)*VLOOKUP('Données projet'!$B$10,Paramètres!$A$1:$I$89,5,0)</f>
        <v>4.6111381379887462E-13</v>
      </c>
      <c r="AK164" s="13">
        <f t="shared" si="164"/>
        <v>5.7981965206434308E-12</v>
      </c>
      <c r="AL164" s="20">
        <f t="shared" si="165"/>
        <v>1.0901632165820347E-11</v>
      </c>
      <c r="AM164" s="59">
        <f t="shared" si="113"/>
        <v>293.33333333334423</v>
      </c>
      <c r="AN164" s="59">
        <f ca="1">AVERAGE(OFFSET($AM$3,0,0,'Données projet'!$E$10+1,1))-AVERAGE(OFFSET($H$3,0,0,'Données projet'!$E$10+1,1))</f>
        <v>263.15518481854753</v>
      </c>
      <c r="AO164" s="59">
        <f t="shared" si="144"/>
        <v>210.80755370263819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275.99999999999972</v>
      </c>
      <c r="BE164" s="13">
        <f>BD164*VLOOKUP('Données projet'!$B$11,Paramètres!$A$1:$I$89,3,0)*VLOOKUP('Données projet'!$B$11,Paramètres!$A$1:$I$89,5,0)</f>
        <v>223.8911999999998</v>
      </c>
      <c r="BF164" s="13">
        <f t="shared" si="167"/>
        <v>54.95975389514858</v>
      </c>
      <c r="BG164" s="20">
        <f t="shared" si="168"/>
        <v>485.66541136738346</v>
      </c>
      <c r="BH164" s="59">
        <f t="shared" si="116"/>
        <v>778.99874470071677</v>
      </c>
      <c r="BI164" s="59">
        <f ca="1">AVERAGE(OFFSET($BH$3,0,0,'Données projet'!$E$11+1,1))-AVERAGE(OFFSET($H$3,0,0,'Données projet'!$E$11+1,1))</f>
        <v>203.21935660591021</v>
      </c>
      <c r="BJ164" s="59">
        <f t="shared" si="146"/>
        <v>180.54762778843178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7.4886681602226501E-2</v>
      </c>
      <c r="BQ164" s="21">
        <f>EXP(-LN(2)/25)*BQ163+(1-EXP(-LN(2)/25))/(LN(2)/25)*Calculateur!BL164*Calculateur!BN164*VLOOKUP('Données projet'!$B$11,Paramètres!$A$1:$I$89,3,0)*0.475*44/12</f>
        <v>0.1535705180530389</v>
      </c>
      <c r="BR164" s="21">
        <f>EXP(-LN(2)/2)*BR163+(1-EXP(-LN(2)/2))/(LN(2)/2)*BL164*BO164*VLOOKUP('Données projet'!$B$11,Paramètres!$A$1:$I$89,3,0)*0.475*44/12</f>
        <v>1.736969314072111E-19</v>
      </c>
      <c r="BS164" s="22">
        <f t="shared" si="169"/>
        <v>0.2284571996552654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>
        <f>VLOOKUP(A164,'Données projet'!$A$113:$I$133,2,0)</f>
        <v>91.365384615384613</v>
      </c>
      <c r="BW164" s="12">
        <f>VLOOKUP(A164,'Données projet'!$A$113:$I$133,9,0)</f>
        <v>1.1618589743589709</v>
      </c>
      <c r="BX164" s="12">
        <f t="array" ref="BX164">INDEX(BW:BW,MIN(IF(ISNUMBER(BW164:BW360),ROW(BW164:BW360),"")))</f>
        <v>1.1618589743589709</v>
      </c>
      <c r="BY164" s="12">
        <f>IF('Données projet'!$A$114&gt;35,BY163+BX164-CG163,IF(A164&lt;'Données projet'!$A$114,$BV$205^A164,IF(A164='Données projet'!$A$114,'Données projet'!$B$114,BY163+BX164-CG163)))</f>
        <v>91.365384615384045</v>
      </c>
      <c r="BZ164" s="13">
        <f>BY164*VLOOKUP('Données projet'!$B$12,Paramètres!$A$1:$I$89,3,0)*VLOOKUP('Données projet'!$B$12,Paramètres!$A$1:$I$89,5,0)</f>
        <v>98.345699999999383</v>
      </c>
      <c r="CA164" s="13">
        <f t="shared" si="170"/>
        <v>26.567501574793127</v>
      </c>
      <c r="CB164" s="20">
        <f t="shared" si="171"/>
        <v>217.55715940943028</v>
      </c>
      <c r="CC164" s="59">
        <f t="shared" si="119"/>
        <v>510.89049274276363</v>
      </c>
      <c r="CD164" s="59">
        <f ca="1">AVERAGE(OFFSET($CC$3,0,0,'Données projet'!$E$12+1,1))-AVERAGE(OFFSET($H$3,0,0,'Données projet'!$E$12+1,1))</f>
        <v>211.18501783767226</v>
      </c>
      <c r="CE164" s="59">
        <f t="shared" si="148"/>
        <v>147.98306963466246</v>
      </c>
      <c r="CF164" s="15">
        <f>IF(ISNA(VLOOKUP(A164,'Données projet'!$A$113:$I$133,3,0)),0,VLOOKUP(A164,'Données projet'!$A$113:$I$133,3,0))</f>
        <v>15</v>
      </c>
      <c r="CG164" s="15">
        <f>IF(ISNA(VLOOKUP(A164,'Données projet'!$A$113:$I$133,4,0)),0,VLOOKUP(A164,'Données projet'!$A$113:$I$133,4,0))</f>
        <v>91.365384615384613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0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>
        <f>VLOOKUP(A164,'Données projet'!$A$139:$I$159,2,0)</f>
        <v>91.365384615384613</v>
      </c>
      <c r="CR164" s="12">
        <f>VLOOKUP(A164,'Données projet'!$A$139:$I$159,9,0)</f>
        <v>1.1618589743589709</v>
      </c>
      <c r="CS164" s="12">
        <f t="array" ref="CS164">INDEX(CR:CR,MIN(IF(ISNUMBER(CR164:CR360),ROW(CR164:CR360),"")))</f>
        <v>1.1618589743589709</v>
      </c>
      <c r="CT164" s="12">
        <f>IF('Données projet'!$A$140&gt;35,CT163+CS164-DB163,IF(A164&lt;'Données projet'!$A$140,$CQ$205^A164,IF(A164='Données projet'!$A$140,'Données projet'!$B$140,CT163+CS164-DB163)))</f>
        <v>91.365384615384045</v>
      </c>
      <c r="CU164" s="17">
        <f>CT164*VLOOKUP('Données projet'!$B$13,Paramètres!$A$1:$I$89,3,0)*VLOOKUP('Données projet'!$B$13,Paramètres!$A$1:$I$89,5,0)</f>
        <v>98.345699999999383</v>
      </c>
      <c r="CV164" s="13">
        <f t="shared" si="173"/>
        <v>26.567501574793127</v>
      </c>
      <c r="CW164" s="20">
        <f t="shared" si="174"/>
        <v>217.55715940943028</v>
      </c>
      <c r="CX164" s="59">
        <f t="shared" si="122"/>
        <v>510.89049274276363</v>
      </c>
      <c r="CY164" s="59">
        <f ca="1">AVERAGE(OFFSET($CX$3,0,0,'Données projet'!$E$13+1,1))-AVERAGE(OFFSET($H$3,0,0,'Données projet'!$E$13+1,1))</f>
        <v>211.18501783767226</v>
      </c>
      <c r="CZ164" s="59">
        <f t="shared" si="150"/>
        <v>147.98306963466246</v>
      </c>
      <c r="DA164" s="15">
        <f>IF(ISNA(VLOOKUP(A164,'Données projet'!$A$139:$I$159,3,0)),0,VLOOKUP(A164,'Données projet'!$A$139:$I$159,3,0))</f>
        <v>15</v>
      </c>
      <c r="DB164" s="15">
        <f>IF(ISNA(VLOOKUP(A164,'Données projet'!$A$139:$I$159,4,0)),0,VLOOKUP(A164,'Données projet'!$A$139:$I$159,4,0))</f>
        <v>91.365384615384613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0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-1.3596945791505279E-13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182.25704762953387</v>
      </c>
      <c r="T165" s="59">
        <f t="shared" si="142"/>
        <v>265.61788177751134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0.36594052429901053</v>
      </c>
      <c r="AA165" s="21">
        <f>EXP(-LN(2)/25)*AA164+(1-EXP(-LN(2)/25))/(LN(2)/25)*Calculateur!V165*Calculateur!X165*VLOOKUP('Données projet'!$B$9,Paramètres!$A$1:$I$89,3,0)*0.475*44/12</f>
        <v>0.44087401248151814</v>
      </c>
      <c r="AB165" s="21">
        <f>EXP(-LN(2)/2)*AB164+(1-EXP(-LN(2)/2))/(LN(2)/2)*V165*Y165*VLOOKUP('Données projet'!$B$9,Paramètres!$A$1:$I$89,3,0)*0.475*44/12</f>
        <v>3.9978624976051172E-20</v>
      </c>
      <c r="AC165" s="22">
        <f t="shared" si="163"/>
        <v>0.80681453678052861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4.5474735088646412E-13</v>
      </c>
      <c r="AJ165" s="13">
        <f>AI165*VLOOKUP('Données projet'!$B$10,Paramètres!$A$1:$I$89,3,0)*VLOOKUP('Données projet'!$B$10,Paramètres!$A$1:$I$89,5,0)</f>
        <v>4.6111381379887462E-13</v>
      </c>
      <c r="AK165" s="13">
        <f t="shared" si="164"/>
        <v>5.7981965206434308E-12</v>
      </c>
      <c r="AL165" s="20">
        <f t="shared" si="165"/>
        <v>1.0901632165820347E-11</v>
      </c>
      <c r="AM165" s="59">
        <f t="shared" si="113"/>
        <v>293.33333333334423</v>
      </c>
      <c r="AN165" s="59">
        <f ca="1">AVERAGE(OFFSET($AM$3,0,0,'Données projet'!$E$10+1,1))-AVERAGE(OFFSET($H$3,0,0,'Données projet'!$E$10+1,1))</f>
        <v>263.15518481854753</v>
      </c>
      <c r="AO165" s="59">
        <f t="shared" si="144"/>
        <v>210.80755370263819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275.99999999999972</v>
      </c>
      <c r="BE165" s="13">
        <f>BD165*VLOOKUP('Données projet'!$B$11,Paramètres!$A$1:$I$89,3,0)*VLOOKUP('Données projet'!$B$11,Paramètres!$A$1:$I$89,5,0)</f>
        <v>223.8911999999998</v>
      </c>
      <c r="BF165" s="13">
        <f t="shared" si="167"/>
        <v>54.95975389514858</v>
      </c>
      <c r="BG165" s="20">
        <f t="shared" si="168"/>
        <v>485.66541136738346</v>
      </c>
      <c r="BH165" s="59">
        <f t="shared" si="116"/>
        <v>778.99874470071677</v>
      </c>
      <c r="BI165" s="59">
        <f ca="1">AVERAGE(OFFSET($BH$3,0,0,'Données projet'!$E$11+1,1))-AVERAGE(OFFSET($H$3,0,0,'Données projet'!$E$11+1,1))</f>
        <v>203.21935660591021</v>
      </c>
      <c r="BJ165" s="59">
        <f t="shared" si="146"/>
        <v>180.54762778843178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7.3418199452372448E-2</v>
      </c>
      <c r="BQ165" s="21">
        <f>EXP(-LN(2)/25)*BQ164+(1-EXP(-LN(2)/25))/(LN(2)/25)*Calculateur!BL165*Calculateur!BN165*VLOOKUP('Données projet'!$B$11,Paramètres!$A$1:$I$89,3,0)*0.475*44/12</f>
        <v>0.14937112416095599</v>
      </c>
      <c r="BR165" s="21">
        <f>EXP(-LN(2)/2)*BR164+(1-EXP(-LN(2)/2))/(LN(2)/2)*BL165*BO165*VLOOKUP('Données projet'!$B$11,Paramètres!$A$1:$I$89,3,0)*0.475*44/12</f>
        <v>1.2282227806933357E-19</v>
      </c>
      <c r="BS165" s="22">
        <f t="shared" si="169"/>
        <v>0.22278932361332843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-5.6843418860808015E-13</v>
      </c>
      <c r="BZ165" s="13">
        <f>BY165*VLOOKUP('Données projet'!$B$12,Paramètres!$A$1:$I$89,3,0)*VLOOKUP('Données projet'!$B$12,Paramètres!$A$1:$I$89,5,0)</f>
        <v>-6.1186256061773743E-13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211.18501783767226</v>
      </c>
      <c r="CE165" s="59">
        <f t="shared" si="148"/>
        <v>147.98306963466246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0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-5.6843418860808015E-13</v>
      </c>
      <c r="CU165" s="17">
        <f>CT165*VLOOKUP('Données projet'!$B$13,Paramètres!$A$1:$I$89,3,0)*VLOOKUP('Données projet'!$B$13,Paramètres!$A$1:$I$89,5,0)</f>
        <v>-6.1186256061773743E-13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211.18501783767226</v>
      </c>
      <c r="CZ165" s="59">
        <f t="shared" si="150"/>
        <v>147.98306963466246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0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-1.3596945791505279E-13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182.25704762953387</v>
      </c>
      <c r="T166" s="59">
        <f t="shared" si="142"/>
        <v>265.61788177751134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0.35876465381918743</v>
      </c>
      <c r="AA166" s="21">
        <f>EXP(-LN(2)/25)*AA165+(1-EXP(-LN(2)/25))/(LN(2)/25)*Calculateur!V166*Calculateur!X166*VLOOKUP('Données projet'!$B$9,Paramètres!$A$1:$I$89,3,0)*0.475*44/12</f>
        <v>0.42881828942565436</v>
      </c>
      <c r="AB166" s="21">
        <f>EXP(-LN(2)/2)*AB165+(1-EXP(-LN(2)/2))/(LN(2)/2)*V166*Y166*VLOOKUP('Données projet'!$B$9,Paramètres!$A$1:$I$89,3,0)*0.475*44/12</f>
        <v>2.826915682307966E-20</v>
      </c>
      <c r="AC166" s="22">
        <f t="shared" si="163"/>
        <v>0.78758294324484179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4.5474735088646412E-13</v>
      </c>
      <c r="AJ166" s="13">
        <f>AI166*VLOOKUP('Données projet'!$B$10,Paramètres!$A$1:$I$89,3,0)*VLOOKUP('Données projet'!$B$10,Paramètres!$A$1:$I$89,5,0)</f>
        <v>4.6111381379887462E-13</v>
      </c>
      <c r="AK166" s="13">
        <f t="shared" si="164"/>
        <v>5.7981965206434308E-12</v>
      </c>
      <c r="AL166" s="20">
        <f t="shared" si="165"/>
        <v>1.0901632165820347E-11</v>
      </c>
      <c r="AM166" s="59">
        <f t="shared" si="113"/>
        <v>293.33333333334423</v>
      </c>
      <c r="AN166" s="59">
        <f ca="1">AVERAGE(OFFSET($AM$3,0,0,'Données projet'!$E$10+1,1))-AVERAGE(OFFSET($H$3,0,0,'Données projet'!$E$10+1,1))</f>
        <v>263.15518481854753</v>
      </c>
      <c r="AO166" s="59">
        <f t="shared" si="144"/>
        <v>210.80755370263819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275.99999999999972</v>
      </c>
      <c r="BE166" s="13">
        <f>BD166*VLOOKUP('Données projet'!$B$11,Paramètres!$A$1:$I$89,3,0)*VLOOKUP('Données projet'!$B$11,Paramètres!$A$1:$I$89,5,0)</f>
        <v>223.8911999999998</v>
      </c>
      <c r="BF166" s="13">
        <f t="shared" si="167"/>
        <v>54.95975389514858</v>
      </c>
      <c r="BG166" s="20">
        <f t="shared" si="168"/>
        <v>485.66541136738346</v>
      </c>
      <c r="BH166" s="59">
        <f t="shared" si="116"/>
        <v>778.99874470071677</v>
      </c>
      <c r="BI166" s="59">
        <f ca="1">AVERAGE(OFFSET($BH$3,0,0,'Données projet'!$E$11+1,1))-AVERAGE(OFFSET($H$3,0,0,'Données projet'!$E$11+1,1))</f>
        <v>203.21935660591021</v>
      </c>
      <c r="BJ166" s="59">
        <f t="shared" si="146"/>
        <v>180.54762778843178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7.1978513341791367E-2</v>
      </c>
      <c r="BQ166" s="21">
        <f>EXP(-LN(2)/25)*BQ165+(1-EXP(-LN(2)/25))/(LN(2)/25)*Calculateur!BL166*Calculateur!BN166*VLOOKUP('Données projet'!$B$11,Paramètres!$A$1:$I$89,3,0)*0.475*44/12</f>
        <v>0.14528656291568862</v>
      </c>
      <c r="BR166" s="21">
        <f>EXP(-LN(2)/2)*BR165+(1-EXP(-LN(2)/2))/(LN(2)/2)*BL166*BO166*VLOOKUP('Données projet'!$B$11,Paramètres!$A$1:$I$89,3,0)*0.475*44/12</f>
        <v>8.6848465703605549E-20</v>
      </c>
      <c r="BS166" s="22">
        <f t="shared" si="169"/>
        <v>0.21726507625747998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-5.6843418860808015E-13</v>
      </c>
      <c r="BZ166" s="13">
        <f>BY166*VLOOKUP('Données projet'!$B$12,Paramètres!$A$1:$I$89,3,0)*VLOOKUP('Données projet'!$B$12,Paramètres!$A$1:$I$89,5,0)</f>
        <v>-6.1186256061773743E-13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211.18501783767226</v>
      </c>
      <c r="CE166" s="59">
        <f t="shared" si="148"/>
        <v>147.98306963466246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0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-5.6843418860808015E-13</v>
      </c>
      <c r="CU166" s="17">
        <f>CT166*VLOOKUP('Données projet'!$B$13,Paramètres!$A$1:$I$89,3,0)*VLOOKUP('Données projet'!$B$13,Paramètres!$A$1:$I$89,5,0)</f>
        <v>-6.1186256061773743E-13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211.18501783767226</v>
      </c>
      <c r="CZ166" s="59">
        <f t="shared" si="150"/>
        <v>147.98306963466246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0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-1.3596945791505279E-13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182.25704762953387</v>
      </c>
      <c r="T167" s="59">
        <f t="shared" si="142"/>
        <v>265.61788177751134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0.35172949778262486</v>
      </c>
      <c r="AA167" s="21">
        <f>EXP(-LN(2)/25)*AA166+(1-EXP(-LN(2)/25))/(LN(2)/25)*Calculateur!V167*Calculateur!X167*VLOOKUP('Données projet'!$B$9,Paramètres!$A$1:$I$89,3,0)*0.475*44/12</f>
        <v>0.41709223075073609</v>
      </c>
      <c r="AB167" s="21">
        <f>EXP(-LN(2)/2)*AB166+(1-EXP(-LN(2)/2))/(LN(2)/2)*V167*Y167*VLOOKUP('Données projet'!$B$9,Paramètres!$A$1:$I$89,3,0)*0.475*44/12</f>
        <v>1.9989312488025586E-20</v>
      </c>
      <c r="AC167" s="22">
        <f t="shared" si="163"/>
        <v>0.76882172853336095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4.5474735088646412E-13</v>
      </c>
      <c r="AJ167" s="13">
        <f>AI167*VLOOKUP('Données projet'!$B$10,Paramètres!$A$1:$I$89,3,0)*VLOOKUP('Données projet'!$B$10,Paramètres!$A$1:$I$89,5,0)</f>
        <v>4.6111381379887462E-13</v>
      </c>
      <c r="AK167" s="13">
        <f t="shared" si="164"/>
        <v>5.7981965206434308E-12</v>
      </c>
      <c r="AL167" s="20">
        <f t="shared" si="165"/>
        <v>1.0901632165820347E-11</v>
      </c>
      <c r="AM167" s="59">
        <f t="shared" si="113"/>
        <v>293.33333333334423</v>
      </c>
      <c r="AN167" s="59">
        <f ca="1">AVERAGE(OFFSET($AM$3,0,0,'Données projet'!$E$10+1,1))-AVERAGE(OFFSET($H$3,0,0,'Données projet'!$E$10+1,1))</f>
        <v>263.15518481854753</v>
      </c>
      <c r="AO167" s="59">
        <f t="shared" si="144"/>
        <v>210.80755370263819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275.99999999999972</v>
      </c>
      <c r="BE167" s="13">
        <f>BD167*VLOOKUP('Données projet'!$B$11,Paramètres!$A$1:$I$89,3,0)*VLOOKUP('Données projet'!$B$11,Paramètres!$A$1:$I$89,5,0)</f>
        <v>223.8911999999998</v>
      </c>
      <c r="BF167" s="13">
        <f t="shared" si="167"/>
        <v>54.95975389514858</v>
      </c>
      <c r="BG167" s="20">
        <f t="shared" si="168"/>
        <v>485.66541136738346</v>
      </c>
      <c r="BH167" s="59">
        <f t="shared" si="116"/>
        <v>778.99874470071677</v>
      </c>
      <c r="BI167" s="59">
        <f ca="1">AVERAGE(OFFSET($BH$3,0,0,'Données projet'!$E$11+1,1))-AVERAGE(OFFSET($H$3,0,0,'Données projet'!$E$11+1,1))</f>
        <v>203.21935660591021</v>
      </c>
      <c r="BJ167" s="59">
        <f t="shared" si="146"/>
        <v>180.54762778843178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7.0567058597716961E-2</v>
      </c>
      <c r="BQ167" s="21">
        <f>EXP(-LN(2)/25)*BQ166+(1-EXP(-LN(2)/25))/(LN(2)/25)*Calculateur!BL167*Calculateur!BN167*VLOOKUP('Données projet'!$B$11,Paramètres!$A$1:$I$89,3,0)*0.475*44/12</f>
        <v>0.14131369421247084</v>
      </c>
      <c r="BR167" s="21">
        <f>EXP(-LN(2)/2)*BR166+(1-EXP(-LN(2)/2))/(LN(2)/2)*BL167*BO167*VLOOKUP('Données projet'!$B$11,Paramètres!$A$1:$I$89,3,0)*0.475*44/12</f>
        <v>6.1411139034666785E-20</v>
      </c>
      <c r="BS167" s="22">
        <f t="shared" si="169"/>
        <v>0.21188075281018781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-5.6843418860808015E-13</v>
      </c>
      <c r="BZ167" s="13">
        <f>BY167*VLOOKUP('Données projet'!$B$12,Paramètres!$A$1:$I$89,3,0)*VLOOKUP('Données projet'!$B$12,Paramètres!$A$1:$I$89,5,0)</f>
        <v>-6.1186256061773743E-13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211.18501783767226</v>
      </c>
      <c r="CE167" s="59">
        <f t="shared" si="148"/>
        <v>147.98306963466246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0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-5.6843418860808015E-13</v>
      </c>
      <c r="CU167" s="17">
        <f>CT167*VLOOKUP('Données projet'!$B$13,Paramètres!$A$1:$I$89,3,0)*VLOOKUP('Données projet'!$B$13,Paramètres!$A$1:$I$89,5,0)</f>
        <v>-6.1186256061773743E-13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211.18501783767226</v>
      </c>
      <c r="CZ167" s="59">
        <f t="shared" si="150"/>
        <v>147.98306963466246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0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-1.3596945791505279E-13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182.25704762953387</v>
      </c>
      <c r="T168" s="59">
        <f t="shared" si="142"/>
        <v>265.61788177751134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0.34483229686491779</v>
      </c>
      <c r="AA168" s="21">
        <f>EXP(-LN(2)/25)*AA167+(1-EXP(-LN(2)/25))/(LN(2)/25)*Calculateur!V168*Calculateur!X168*VLOOKUP('Données projet'!$B$9,Paramètres!$A$1:$I$89,3,0)*0.475*44/12</f>
        <v>0.40568682176693005</v>
      </c>
      <c r="AB168" s="21">
        <f>EXP(-LN(2)/2)*AB167+(1-EXP(-LN(2)/2))/(LN(2)/2)*V168*Y168*VLOOKUP('Données projet'!$B$9,Paramètres!$A$1:$I$89,3,0)*0.475*44/12</f>
        <v>1.413457841153983E-20</v>
      </c>
      <c r="AC168" s="22">
        <f t="shared" si="163"/>
        <v>0.75051911863184784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4.5474735088646412E-13</v>
      </c>
      <c r="AJ168" s="13">
        <f>AI168*VLOOKUP('Données projet'!$B$10,Paramètres!$A$1:$I$89,3,0)*VLOOKUP('Données projet'!$B$10,Paramètres!$A$1:$I$89,5,0)</f>
        <v>4.6111381379887462E-13</v>
      </c>
      <c r="AK168" s="13">
        <f t="shared" si="164"/>
        <v>5.7981965206434308E-12</v>
      </c>
      <c r="AL168" s="20">
        <f t="shared" si="165"/>
        <v>1.0901632165820347E-11</v>
      </c>
      <c r="AM168" s="59">
        <f t="shared" si="113"/>
        <v>293.33333333334423</v>
      </c>
      <c r="AN168" s="59">
        <f ca="1">AVERAGE(OFFSET($AM$3,0,0,'Données projet'!$E$10+1,1))-AVERAGE(OFFSET($H$3,0,0,'Données projet'!$E$10+1,1))</f>
        <v>263.15518481854753</v>
      </c>
      <c r="AO168" s="59">
        <f t="shared" si="144"/>
        <v>210.80755370263819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275.99999999999972</v>
      </c>
      <c r="BE168" s="13">
        <f>BD168*VLOOKUP('Données projet'!$B$11,Paramètres!$A$1:$I$89,3,0)*VLOOKUP('Données projet'!$B$11,Paramètres!$A$1:$I$89,5,0)</f>
        <v>223.8911999999998</v>
      </c>
      <c r="BF168" s="13">
        <f t="shared" si="167"/>
        <v>54.95975389514858</v>
      </c>
      <c r="BG168" s="20">
        <f t="shared" si="168"/>
        <v>485.66541136738346</v>
      </c>
      <c r="BH168" s="59">
        <f t="shared" si="116"/>
        <v>778.99874470071677</v>
      </c>
      <c r="BI168" s="59">
        <f ca="1">AVERAGE(OFFSET($BH$3,0,0,'Données projet'!$E$11+1,1))-AVERAGE(OFFSET($H$3,0,0,'Données projet'!$E$11+1,1))</f>
        <v>203.21935660591021</v>
      </c>
      <c r="BJ168" s="59">
        <f t="shared" si="146"/>
        <v>180.54762778843178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6.9183281620271472E-2</v>
      </c>
      <c r="BQ168" s="21">
        <f>EXP(-LN(2)/25)*BQ167+(1-EXP(-LN(2)/25))/(LN(2)/25)*Calculateur!BL168*Calculateur!BN168*VLOOKUP('Données projet'!$B$11,Paramètres!$A$1:$I$89,3,0)*0.475*44/12</f>
        <v>0.13744946381286663</v>
      </c>
      <c r="BR168" s="21">
        <f>EXP(-LN(2)/2)*BR167+(1-EXP(-LN(2)/2))/(LN(2)/2)*BL168*BO168*VLOOKUP('Données projet'!$B$11,Paramètres!$A$1:$I$89,3,0)*0.475*44/12</f>
        <v>4.3424232851802775E-20</v>
      </c>
      <c r="BS168" s="22">
        <f t="shared" si="169"/>
        <v>0.20663274543313809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-5.6843418860808015E-13</v>
      </c>
      <c r="BZ168" s="13">
        <f>BY168*VLOOKUP('Données projet'!$B$12,Paramètres!$A$1:$I$89,3,0)*VLOOKUP('Données projet'!$B$12,Paramètres!$A$1:$I$89,5,0)</f>
        <v>-6.1186256061773743E-13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211.18501783767226</v>
      </c>
      <c r="CE168" s="59">
        <f t="shared" si="148"/>
        <v>147.98306963466246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-5.6843418860808015E-13</v>
      </c>
      <c r="CU168" s="17">
        <f>CT168*VLOOKUP('Données projet'!$B$13,Paramètres!$A$1:$I$89,3,0)*VLOOKUP('Données projet'!$B$13,Paramètres!$A$1:$I$89,5,0)</f>
        <v>-6.1186256061773743E-13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211.18501783767226</v>
      </c>
      <c r="CZ168" s="59">
        <f t="shared" si="150"/>
        <v>147.98306963466246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0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-1.3596945791505279E-13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182.25704762953387</v>
      </c>
      <c r="T169" s="59">
        <f t="shared" si="142"/>
        <v>265.61788177751134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0.3380703458503298</v>
      </c>
      <c r="AA169" s="21">
        <f>EXP(-LN(2)/25)*AA168+(1-EXP(-LN(2)/25))/(LN(2)/25)*Calculateur!V169*Calculateur!X169*VLOOKUP('Données projet'!$B$9,Paramètres!$A$1:$I$89,3,0)*0.475*44/12</f>
        <v>0.39459329429157058</v>
      </c>
      <c r="AB169" s="21">
        <f>EXP(-LN(2)/2)*AB168+(1-EXP(-LN(2)/2))/(LN(2)/2)*V169*Y169*VLOOKUP('Données projet'!$B$9,Paramètres!$A$1:$I$89,3,0)*0.475*44/12</f>
        <v>9.9946562440127931E-21</v>
      </c>
      <c r="AC169" s="22">
        <f t="shared" si="163"/>
        <v>0.73266364014190044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4.5474735088646412E-13</v>
      </c>
      <c r="AJ169" s="13">
        <f>AI169*VLOOKUP('Données projet'!$B$10,Paramètres!$A$1:$I$89,3,0)*VLOOKUP('Données projet'!$B$10,Paramètres!$A$1:$I$89,5,0)</f>
        <v>4.6111381379887462E-13</v>
      </c>
      <c r="AK169" s="13">
        <f t="shared" si="164"/>
        <v>5.7981965206434308E-12</v>
      </c>
      <c r="AL169" s="20">
        <f t="shared" si="165"/>
        <v>1.0901632165820347E-11</v>
      </c>
      <c r="AM169" s="59">
        <f t="shared" si="113"/>
        <v>293.33333333334423</v>
      </c>
      <c r="AN169" s="59">
        <f ca="1">AVERAGE(OFFSET($AM$3,0,0,'Données projet'!$E$10+1,1))-AVERAGE(OFFSET($H$3,0,0,'Données projet'!$E$10+1,1))</f>
        <v>263.15518481854753</v>
      </c>
      <c r="AO169" s="59">
        <f t="shared" si="144"/>
        <v>210.80755370263819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275.99999999999972</v>
      </c>
      <c r="BE169" s="13">
        <f>BD169*VLOOKUP('Données projet'!$B$11,Paramètres!$A$1:$I$89,3,0)*VLOOKUP('Données projet'!$B$11,Paramètres!$A$1:$I$89,5,0)</f>
        <v>223.8911999999998</v>
      </c>
      <c r="BF169" s="13">
        <f t="shared" si="167"/>
        <v>54.95975389514858</v>
      </c>
      <c r="BG169" s="20">
        <f t="shared" si="168"/>
        <v>485.66541136738346</v>
      </c>
      <c r="BH169" s="59">
        <f t="shared" si="116"/>
        <v>778.99874470071677</v>
      </c>
      <c r="BI169" s="59">
        <f ca="1">AVERAGE(OFFSET($BH$3,0,0,'Données projet'!$E$11+1,1))-AVERAGE(OFFSET($H$3,0,0,'Données projet'!$E$11+1,1))</f>
        <v>203.21935660591021</v>
      </c>
      <c r="BJ169" s="59">
        <f t="shared" si="146"/>
        <v>180.54762778843178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6.7826639665333061E-2</v>
      </c>
      <c r="BQ169" s="21">
        <f>EXP(-LN(2)/25)*BQ168+(1-EXP(-LN(2)/25))/(LN(2)/25)*Calculateur!BL169*Calculateur!BN169*VLOOKUP('Données projet'!$B$11,Paramètres!$A$1:$I$89,3,0)*0.475*44/12</f>
        <v>0.13369090099675063</v>
      </c>
      <c r="BR169" s="21">
        <f>EXP(-LN(2)/2)*BR168+(1-EXP(-LN(2)/2))/(LN(2)/2)*BL169*BO169*VLOOKUP('Données projet'!$B$11,Paramètres!$A$1:$I$89,3,0)*0.475*44/12</f>
        <v>3.0705569517333393E-20</v>
      </c>
      <c r="BS169" s="22">
        <f t="shared" si="169"/>
        <v>0.20151754066208369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-5.6843418860808015E-13</v>
      </c>
      <c r="BZ169" s="13">
        <f>BY169*VLOOKUP('Données projet'!$B$12,Paramètres!$A$1:$I$89,3,0)*VLOOKUP('Données projet'!$B$12,Paramètres!$A$1:$I$89,5,0)</f>
        <v>-6.1186256061773743E-13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211.18501783767226</v>
      </c>
      <c r="CE169" s="59">
        <f t="shared" si="148"/>
        <v>147.98306963466246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-5.6843418860808015E-13</v>
      </c>
      <c r="CU169" s="17">
        <f>CT169*VLOOKUP('Données projet'!$B$13,Paramètres!$A$1:$I$89,3,0)*VLOOKUP('Données projet'!$B$13,Paramètres!$A$1:$I$89,5,0)</f>
        <v>-6.1186256061773743E-13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211.18501783767226</v>
      </c>
      <c r="CZ169" s="59">
        <f t="shared" si="150"/>
        <v>147.98306963466246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0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-1.3596945791505279E-13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182.25704762953387</v>
      </c>
      <c r="T170" s="59">
        <f t="shared" si="142"/>
        <v>265.61788177751134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0.33144099257075499</v>
      </c>
      <c r="AA170" s="21">
        <f>EXP(-LN(2)/25)*AA169+(1-EXP(-LN(2)/25))/(LN(2)/25)*Calculateur!V170*Calculateur!X170*VLOOKUP('Données projet'!$B$9,Paramètres!$A$1:$I$89,3,0)*0.475*44/12</f>
        <v>0.3838031199084081</v>
      </c>
      <c r="AB170" s="21">
        <f>EXP(-LN(2)/2)*AB169+(1-EXP(-LN(2)/2))/(LN(2)/2)*V170*Y170*VLOOKUP('Données projet'!$B$9,Paramètres!$A$1:$I$89,3,0)*0.475*44/12</f>
        <v>7.067289205769915E-21</v>
      </c>
      <c r="AC170" s="22">
        <f t="shared" si="163"/>
        <v>0.71524411247916309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4.5474735088646412E-13</v>
      </c>
      <c r="AJ170" s="13">
        <f>AI170*VLOOKUP('Données projet'!$B$10,Paramètres!$A$1:$I$89,3,0)*VLOOKUP('Données projet'!$B$10,Paramètres!$A$1:$I$89,5,0)</f>
        <v>4.6111381379887462E-13</v>
      </c>
      <c r="AK170" s="13">
        <f t="shared" si="164"/>
        <v>5.7981965206434308E-12</v>
      </c>
      <c r="AL170" s="20">
        <f t="shared" si="165"/>
        <v>1.0901632165820347E-11</v>
      </c>
      <c r="AM170" s="59">
        <f t="shared" si="113"/>
        <v>293.33333333334423</v>
      </c>
      <c r="AN170" s="59">
        <f ca="1">AVERAGE(OFFSET($AM$3,0,0,'Données projet'!$E$10+1,1))-AVERAGE(OFFSET($H$3,0,0,'Données projet'!$E$10+1,1))</f>
        <v>263.15518481854753</v>
      </c>
      <c r="AO170" s="59">
        <f t="shared" si="144"/>
        <v>210.80755370263819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275.99999999999972</v>
      </c>
      <c r="BE170" s="13">
        <f>BD170*VLOOKUP('Données projet'!$B$11,Paramètres!$A$1:$I$89,3,0)*VLOOKUP('Données projet'!$B$11,Paramètres!$A$1:$I$89,5,0)</f>
        <v>223.8911999999998</v>
      </c>
      <c r="BF170" s="13">
        <f t="shared" si="167"/>
        <v>54.95975389514858</v>
      </c>
      <c r="BG170" s="20">
        <f t="shared" si="168"/>
        <v>485.66541136738346</v>
      </c>
      <c r="BH170" s="59">
        <f t="shared" si="116"/>
        <v>778.99874470071677</v>
      </c>
      <c r="BI170" s="59">
        <f ca="1">AVERAGE(OFFSET($BH$3,0,0,'Données projet'!$E$11+1,1))-AVERAGE(OFFSET($H$3,0,0,'Données projet'!$E$11+1,1))</f>
        <v>203.21935660591021</v>
      </c>
      <c r="BJ170" s="59">
        <f t="shared" si="146"/>
        <v>180.54762778843178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6.6496600631661115E-2</v>
      </c>
      <c r="BQ170" s="21">
        <f>EXP(-LN(2)/25)*BQ169+(1-EXP(-LN(2)/25))/(LN(2)/25)*Calculateur!BL170*Calculateur!BN170*VLOOKUP('Données projet'!$B$11,Paramètres!$A$1:$I$89,3,0)*0.475*44/12</f>
        <v>0.13003511627849557</v>
      </c>
      <c r="BR170" s="21">
        <f>EXP(-LN(2)/2)*BR169+(1-EXP(-LN(2)/2))/(LN(2)/2)*BL170*BO170*VLOOKUP('Données projet'!$B$11,Paramètres!$A$1:$I$89,3,0)*0.475*44/12</f>
        <v>2.1712116425901387E-20</v>
      </c>
      <c r="BS170" s="22">
        <f t="shared" si="169"/>
        <v>0.1965317169101567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-5.6843418860808015E-13</v>
      </c>
      <c r="BZ170" s="13">
        <f>BY170*VLOOKUP('Données projet'!$B$12,Paramètres!$A$1:$I$89,3,0)*VLOOKUP('Données projet'!$B$12,Paramètres!$A$1:$I$89,5,0)</f>
        <v>-6.1186256061773743E-13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211.18501783767226</v>
      </c>
      <c r="CE170" s="59">
        <f t="shared" si="148"/>
        <v>147.98306963466246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-5.6843418860808015E-13</v>
      </c>
      <c r="CU170" s="17">
        <f>CT170*VLOOKUP('Données projet'!$B$13,Paramètres!$A$1:$I$89,3,0)*VLOOKUP('Données projet'!$B$13,Paramètres!$A$1:$I$89,5,0)</f>
        <v>-6.1186256061773743E-13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211.18501783767226</v>
      </c>
      <c r="CZ170" s="59">
        <f t="shared" si="150"/>
        <v>147.98306963466246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0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-1.3596945791505279E-13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182.25704762953387</v>
      </c>
      <c r="T171" s="59">
        <f t="shared" si="142"/>
        <v>265.61788177751134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0.32494163686548638</v>
      </c>
      <c r="AA171" s="21">
        <f>EXP(-LN(2)/25)*AA170+(1-EXP(-LN(2)/25))/(LN(2)/25)*Calculateur!V171*Calculateur!X171*VLOOKUP('Données projet'!$B$9,Paramètres!$A$1:$I$89,3,0)*0.475*44/12</f>
        <v>0.37330800341118381</v>
      </c>
      <c r="AB171" s="21">
        <f>EXP(-LN(2)/2)*AB170+(1-EXP(-LN(2)/2))/(LN(2)/2)*V171*Y171*VLOOKUP('Données projet'!$B$9,Paramètres!$A$1:$I$89,3,0)*0.475*44/12</f>
        <v>4.9973281220063965E-21</v>
      </c>
      <c r="AC171" s="22">
        <f t="shared" si="163"/>
        <v>0.69824964027667025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4.5474735088646412E-13</v>
      </c>
      <c r="AJ171" s="13">
        <f>AI171*VLOOKUP('Données projet'!$B$10,Paramètres!$A$1:$I$89,3,0)*VLOOKUP('Données projet'!$B$10,Paramètres!$A$1:$I$89,5,0)</f>
        <v>4.6111381379887462E-13</v>
      </c>
      <c r="AK171" s="13">
        <f t="shared" si="164"/>
        <v>5.7981965206434308E-12</v>
      </c>
      <c r="AL171" s="20">
        <f t="shared" si="165"/>
        <v>1.0901632165820347E-11</v>
      </c>
      <c r="AM171" s="59">
        <f t="shared" si="113"/>
        <v>293.33333333334423</v>
      </c>
      <c r="AN171" s="59">
        <f ca="1">AVERAGE(OFFSET($AM$3,0,0,'Données projet'!$E$10+1,1))-AVERAGE(OFFSET($H$3,0,0,'Données projet'!$E$10+1,1))</f>
        <v>263.15518481854753</v>
      </c>
      <c r="AO171" s="59">
        <f t="shared" si="144"/>
        <v>210.80755370263819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275.99999999999972</v>
      </c>
      <c r="BE171" s="13">
        <f>BD171*VLOOKUP('Données projet'!$B$11,Paramètres!$A$1:$I$89,3,0)*VLOOKUP('Données projet'!$B$11,Paramètres!$A$1:$I$89,5,0)</f>
        <v>223.8911999999998</v>
      </c>
      <c r="BF171" s="13">
        <f t="shared" si="167"/>
        <v>54.95975389514858</v>
      </c>
      <c r="BG171" s="20">
        <f t="shared" si="168"/>
        <v>485.66541136738346</v>
      </c>
      <c r="BH171" s="59">
        <f t="shared" si="116"/>
        <v>778.99874470071677</v>
      </c>
      <c r="BI171" s="59">
        <f ca="1">AVERAGE(OFFSET($BH$3,0,0,'Données projet'!$E$11+1,1))-AVERAGE(OFFSET($H$3,0,0,'Données projet'!$E$11+1,1))</f>
        <v>203.21935660591021</v>
      </c>
      <c r="BJ171" s="59">
        <f t="shared" si="146"/>
        <v>180.54762778843178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6.5192642852195767E-2</v>
      </c>
      <c r="BQ171" s="21">
        <f>EXP(-LN(2)/25)*BQ170+(1-EXP(-LN(2)/25))/(LN(2)/25)*Calculateur!BL171*Calculateur!BN171*VLOOKUP('Données projet'!$B$11,Paramètres!$A$1:$I$89,3,0)*0.475*44/12</f>
        <v>0.12647929918561054</v>
      </c>
      <c r="BR171" s="21">
        <f>EXP(-LN(2)/2)*BR170+(1-EXP(-LN(2)/2))/(LN(2)/2)*BL171*BO171*VLOOKUP('Données projet'!$B$11,Paramètres!$A$1:$I$89,3,0)*0.475*44/12</f>
        <v>1.5352784758666696E-20</v>
      </c>
      <c r="BS171" s="22">
        <f t="shared" si="169"/>
        <v>0.1916719420378063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-5.6843418860808015E-13</v>
      </c>
      <c r="BZ171" s="13">
        <f>BY171*VLOOKUP('Données projet'!$B$12,Paramètres!$A$1:$I$89,3,0)*VLOOKUP('Données projet'!$B$12,Paramètres!$A$1:$I$89,5,0)</f>
        <v>-6.1186256061773743E-13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211.18501783767226</v>
      </c>
      <c r="CE171" s="59">
        <f t="shared" si="148"/>
        <v>147.98306963466246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-5.6843418860808015E-13</v>
      </c>
      <c r="CU171" s="17">
        <f>CT171*VLOOKUP('Données projet'!$B$13,Paramètres!$A$1:$I$89,3,0)*VLOOKUP('Données projet'!$B$13,Paramètres!$A$1:$I$89,5,0)</f>
        <v>-6.1186256061773743E-13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211.18501783767226</v>
      </c>
      <c r="CZ171" s="59">
        <f t="shared" si="150"/>
        <v>147.98306963466246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0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-1.3596945791505279E-13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182.25704762953387</v>
      </c>
      <c r="T172" s="59">
        <f t="shared" si="142"/>
        <v>265.61788177751134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0.31856972956138258</v>
      </c>
      <c r="AA172" s="21">
        <f>EXP(-LN(2)/25)*AA171+(1-EXP(-LN(2)/25))/(LN(2)/25)*Calculateur!V172*Calculateur!X172*VLOOKUP('Données projet'!$B$9,Paramètres!$A$1:$I$89,3,0)*0.475*44/12</f>
        <v>0.36309987642649028</v>
      </c>
      <c r="AB172" s="21">
        <f>EXP(-LN(2)/2)*AB171+(1-EXP(-LN(2)/2))/(LN(2)/2)*V172*Y172*VLOOKUP('Données projet'!$B$9,Paramètres!$A$1:$I$89,3,0)*0.475*44/12</f>
        <v>3.5336446028849575E-21</v>
      </c>
      <c r="AC172" s="22">
        <f t="shared" si="163"/>
        <v>0.68166960598787285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4.5474735088646412E-13</v>
      </c>
      <c r="AJ172" s="13">
        <f>AI172*VLOOKUP('Données projet'!$B$10,Paramètres!$A$1:$I$89,3,0)*VLOOKUP('Données projet'!$B$10,Paramètres!$A$1:$I$89,5,0)</f>
        <v>4.6111381379887462E-13</v>
      </c>
      <c r="AK172" s="13">
        <f t="shared" si="164"/>
        <v>5.7981965206434308E-12</v>
      </c>
      <c r="AL172" s="20">
        <f t="shared" si="165"/>
        <v>1.0901632165820347E-11</v>
      </c>
      <c r="AM172" s="59">
        <f t="shared" si="113"/>
        <v>293.33333333334423</v>
      </c>
      <c r="AN172" s="59">
        <f ca="1">AVERAGE(OFFSET($AM$3,0,0,'Données projet'!$E$10+1,1))-AVERAGE(OFFSET($H$3,0,0,'Données projet'!$E$10+1,1))</f>
        <v>263.15518481854753</v>
      </c>
      <c r="AO172" s="59">
        <f t="shared" si="144"/>
        <v>210.80755370263819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275.99999999999972</v>
      </c>
      <c r="BE172" s="13">
        <f>BD172*VLOOKUP('Données projet'!$B$11,Paramètres!$A$1:$I$89,3,0)*VLOOKUP('Données projet'!$B$11,Paramètres!$A$1:$I$89,5,0)</f>
        <v>223.8911999999998</v>
      </c>
      <c r="BF172" s="13">
        <f t="shared" si="167"/>
        <v>54.95975389514858</v>
      </c>
      <c r="BG172" s="20">
        <f t="shared" si="168"/>
        <v>485.66541136738346</v>
      </c>
      <c r="BH172" s="59">
        <f t="shared" si="116"/>
        <v>778.99874470071677</v>
      </c>
      <c r="BI172" s="59">
        <f ca="1">AVERAGE(OFFSET($BH$3,0,0,'Données projet'!$E$11+1,1))-AVERAGE(OFFSET($H$3,0,0,'Données projet'!$E$11+1,1))</f>
        <v>203.21935660591021</v>
      </c>
      <c r="BJ172" s="59">
        <f t="shared" si="146"/>
        <v>180.54762778843178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6.3914254889450017E-2</v>
      </c>
      <c r="BQ172" s="21">
        <f>EXP(-LN(2)/25)*BQ171+(1-EXP(-LN(2)/25))/(LN(2)/25)*Calculateur!BL172*Calculateur!BN172*VLOOKUP('Données projet'!$B$11,Paramètres!$A$1:$I$89,3,0)*0.475*44/12</f>
        <v>0.12302071609812275</v>
      </c>
      <c r="BR172" s="21">
        <f>EXP(-LN(2)/2)*BR171+(1-EXP(-LN(2)/2))/(LN(2)/2)*BL172*BO172*VLOOKUP('Données projet'!$B$11,Paramètres!$A$1:$I$89,3,0)*0.475*44/12</f>
        <v>1.0856058212950694E-20</v>
      </c>
      <c r="BS172" s="22">
        <f t="shared" si="169"/>
        <v>0.18693497098757278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-5.6843418860808015E-13</v>
      </c>
      <c r="BZ172" s="13">
        <f>BY172*VLOOKUP('Données projet'!$B$12,Paramètres!$A$1:$I$89,3,0)*VLOOKUP('Données projet'!$B$12,Paramètres!$A$1:$I$89,5,0)</f>
        <v>-6.1186256061773743E-13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211.18501783767226</v>
      </c>
      <c r="CE172" s="59">
        <f t="shared" si="148"/>
        <v>147.98306963466246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-5.6843418860808015E-13</v>
      </c>
      <c r="CU172" s="17">
        <f>CT172*VLOOKUP('Données projet'!$B$13,Paramètres!$A$1:$I$89,3,0)*VLOOKUP('Données projet'!$B$13,Paramètres!$A$1:$I$89,5,0)</f>
        <v>-6.1186256061773743E-13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211.18501783767226</v>
      </c>
      <c r="CZ172" s="59">
        <f t="shared" si="150"/>
        <v>147.98306963466246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0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-1.3596945791505279E-13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182.25704762953387</v>
      </c>
      <c r="T173" s="59">
        <f t="shared" si="142"/>
        <v>265.61788177751134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0.31232277147303256</v>
      </c>
      <c r="AA173" s="21">
        <f>EXP(-LN(2)/25)*AA172+(1-EXP(-LN(2)/25))/(LN(2)/25)*Calculateur!V173*Calculateur!X173*VLOOKUP('Données projet'!$B$9,Paramètres!$A$1:$I$89,3,0)*0.475*44/12</f>
        <v>0.35317089121101525</v>
      </c>
      <c r="AB173" s="21">
        <f>EXP(-LN(2)/2)*AB172+(1-EXP(-LN(2)/2))/(LN(2)/2)*V173*Y173*VLOOKUP('Données projet'!$B$9,Paramètres!$A$1:$I$89,3,0)*0.475*44/12</f>
        <v>2.4986640610031983E-21</v>
      </c>
      <c r="AC173" s="22">
        <f t="shared" si="163"/>
        <v>0.66549366268404775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4.5474735088646412E-13</v>
      </c>
      <c r="AJ173" s="13">
        <f>AI173*VLOOKUP('Données projet'!$B$10,Paramètres!$A$1:$I$89,3,0)*VLOOKUP('Données projet'!$B$10,Paramètres!$A$1:$I$89,5,0)</f>
        <v>4.6111381379887462E-13</v>
      </c>
      <c r="AK173" s="13">
        <f t="shared" si="164"/>
        <v>5.7981965206434308E-12</v>
      </c>
      <c r="AL173" s="20">
        <f t="shared" si="165"/>
        <v>1.0901632165820347E-11</v>
      </c>
      <c r="AM173" s="59">
        <f t="shared" si="113"/>
        <v>293.33333333334423</v>
      </c>
      <c r="AN173" s="59">
        <f ca="1">AVERAGE(OFFSET($AM$3,0,0,'Données projet'!$E$10+1,1))-AVERAGE(OFFSET($H$3,0,0,'Données projet'!$E$10+1,1))</f>
        <v>263.15518481854753</v>
      </c>
      <c r="AO173" s="59">
        <f t="shared" si="144"/>
        <v>210.80755370263819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275.99999999999972</v>
      </c>
      <c r="BE173" s="13">
        <f>BD173*VLOOKUP('Données projet'!$B$11,Paramètres!$A$1:$I$89,3,0)*VLOOKUP('Données projet'!$B$11,Paramètres!$A$1:$I$89,5,0)</f>
        <v>223.8911999999998</v>
      </c>
      <c r="BF173" s="13">
        <f t="shared" si="167"/>
        <v>54.95975389514858</v>
      </c>
      <c r="BG173" s="20">
        <f t="shared" si="168"/>
        <v>485.66541136738346</v>
      </c>
      <c r="BH173" s="59">
        <f t="shared" si="116"/>
        <v>778.99874470071677</v>
      </c>
      <c r="BI173" s="59">
        <f ca="1">AVERAGE(OFFSET($BH$3,0,0,'Données projet'!$E$11+1,1))-AVERAGE(OFFSET($H$3,0,0,'Données projet'!$E$11+1,1))</f>
        <v>203.21935660591021</v>
      </c>
      <c r="BJ173" s="59">
        <f t="shared" si="146"/>
        <v>180.54762778843178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6.2660935334914056E-2</v>
      </c>
      <c r="BQ173" s="21">
        <f>EXP(-LN(2)/25)*BQ172+(1-EXP(-LN(2)/25))/(LN(2)/25)*Calculateur!BL173*Calculateur!BN173*VLOOKUP('Données projet'!$B$11,Paramètres!$A$1:$I$89,3,0)*0.475*44/12</f>
        <v>0.1196567081470413</v>
      </c>
      <c r="BR173" s="21">
        <f>EXP(-LN(2)/2)*BR172+(1-EXP(-LN(2)/2))/(LN(2)/2)*BL173*BO173*VLOOKUP('Données projet'!$B$11,Paramètres!$A$1:$I$89,3,0)*0.475*44/12</f>
        <v>7.6763923793333481E-21</v>
      </c>
      <c r="BS173" s="22">
        <f t="shared" si="169"/>
        <v>0.18231764348195534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-5.6843418860808015E-13</v>
      </c>
      <c r="BZ173" s="13">
        <f>BY173*VLOOKUP('Données projet'!$B$12,Paramètres!$A$1:$I$89,3,0)*VLOOKUP('Données projet'!$B$12,Paramètres!$A$1:$I$89,5,0)</f>
        <v>-6.1186256061773743E-13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211.18501783767226</v>
      </c>
      <c r="CE173" s="59">
        <f t="shared" si="148"/>
        <v>147.98306963466246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-5.6843418860808015E-13</v>
      </c>
      <c r="CU173" s="17">
        <f>CT173*VLOOKUP('Données projet'!$B$13,Paramètres!$A$1:$I$89,3,0)*VLOOKUP('Données projet'!$B$13,Paramètres!$A$1:$I$89,5,0)</f>
        <v>-6.1186256061773743E-13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211.18501783767226</v>
      </c>
      <c r="CZ173" s="59">
        <f t="shared" si="150"/>
        <v>147.98306963466246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0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-1.3596945791505279E-13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182.25704762953387</v>
      </c>
      <c r="T174" s="59">
        <f t="shared" si="142"/>
        <v>265.61788177751134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0.30619831242252687</v>
      </c>
      <c r="AA174" s="21">
        <f>EXP(-LN(2)/25)*AA173+(1-EXP(-LN(2)/25))/(LN(2)/25)*Calculateur!V174*Calculateur!X174*VLOOKUP('Données projet'!$B$9,Paramètres!$A$1:$I$89,3,0)*0.475*44/12</f>
        <v>0.34351341461840007</v>
      </c>
      <c r="AB174" s="21">
        <f>EXP(-LN(2)/2)*AB173+(1-EXP(-LN(2)/2))/(LN(2)/2)*V174*Y174*VLOOKUP('Données projet'!$B$9,Paramètres!$A$1:$I$89,3,0)*0.475*44/12</f>
        <v>1.7668223014424787E-21</v>
      </c>
      <c r="AC174" s="22">
        <f t="shared" si="163"/>
        <v>0.64971172704092695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4.5474735088646412E-13</v>
      </c>
      <c r="AJ174" s="13">
        <f>AI174*VLOOKUP('Données projet'!$B$10,Paramètres!$A$1:$I$89,3,0)*VLOOKUP('Données projet'!$B$10,Paramètres!$A$1:$I$89,5,0)</f>
        <v>4.6111381379887462E-13</v>
      </c>
      <c r="AK174" s="13">
        <f t="shared" si="164"/>
        <v>5.7981965206434308E-12</v>
      </c>
      <c r="AL174" s="20">
        <f t="shared" si="165"/>
        <v>1.0901632165820347E-11</v>
      </c>
      <c r="AM174" s="59">
        <f t="shared" si="113"/>
        <v>293.33333333334423</v>
      </c>
      <c r="AN174" s="59">
        <f ca="1">AVERAGE(OFFSET($AM$3,0,0,'Données projet'!$E$10+1,1))-AVERAGE(OFFSET($H$3,0,0,'Données projet'!$E$10+1,1))</f>
        <v>263.15518481854753</v>
      </c>
      <c r="AO174" s="59">
        <f t="shared" si="144"/>
        <v>210.80755370263819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275.99999999999972</v>
      </c>
      <c r="BE174" s="13">
        <f>BD174*VLOOKUP('Données projet'!$B$11,Paramètres!$A$1:$I$89,3,0)*VLOOKUP('Données projet'!$B$11,Paramètres!$A$1:$I$89,5,0)</f>
        <v>223.8911999999998</v>
      </c>
      <c r="BF174" s="13">
        <f t="shared" si="167"/>
        <v>54.95975389514858</v>
      </c>
      <c r="BG174" s="20">
        <f t="shared" si="168"/>
        <v>485.66541136738346</v>
      </c>
      <c r="BH174" s="59">
        <f t="shared" si="116"/>
        <v>778.99874470071677</v>
      </c>
      <c r="BI174" s="59">
        <f ca="1">AVERAGE(OFFSET($BH$3,0,0,'Données projet'!$E$11+1,1))-AVERAGE(OFFSET($H$3,0,0,'Données projet'!$E$11+1,1))</f>
        <v>203.21935660591021</v>
      </c>
      <c r="BJ174" s="59">
        <f t="shared" si="146"/>
        <v>180.54762778843178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6.1432192612393091E-2</v>
      </c>
      <c r="BQ174" s="21">
        <f>EXP(-LN(2)/25)*BQ173+(1-EXP(-LN(2)/25))/(LN(2)/25)*Calculateur!BL174*Calculateur!BN174*VLOOKUP('Données projet'!$B$11,Paramètres!$A$1:$I$89,3,0)*0.475*44/12</f>
        <v>0.11638468917028764</v>
      </c>
      <c r="BR174" s="21">
        <f>EXP(-LN(2)/2)*BR173+(1-EXP(-LN(2)/2))/(LN(2)/2)*BL174*BO174*VLOOKUP('Données projet'!$B$11,Paramètres!$A$1:$I$89,3,0)*0.475*44/12</f>
        <v>5.4280291064753468E-21</v>
      </c>
      <c r="BS174" s="22">
        <f t="shared" si="169"/>
        <v>0.17781688178268074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-5.6843418860808015E-13</v>
      </c>
      <c r="BZ174" s="13">
        <f>BY174*VLOOKUP('Données projet'!$B$12,Paramètres!$A$1:$I$89,3,0)*VLOOKUP('Données projet'!$B$12,Paramètres!$A$1:$I$89,5,0)</f>
        <v>-6.1186256061773743E-13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211.18501783767226</v>
      </c>
      <c r="CE174" s="59">
        <f t="shared" si="148"/>
        <v>147.98306963466246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-5.6843418860808015E-13</v>
      </c>
      <c r="CU174" s="17">
        <f>CT174*VLOOKUP('Données projet'!$B$13,Paramètres!$A$1:$I$89,3,0)*VLOOKUP('Données projet'!$B$13,Paramètres!$A$1:$I$89,5,0)</f>
        <v>-6.1186256061773743E-13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211.18501783767226</v>
      </c>
      <c r="CZ174" s="59">
        <f t="shared" si="150"/>
        <v>147.98306963466246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0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-1.3596945791505279E-13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182.25704762953387</v>
      </c>
      <c r="T175" s="59">
        <f t="shared" si="142"/>
        <v>265.61788177751134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0.30019395027845042</v>
      </c>
      <c r="AA175" s="21">
        <f>EXP(-LN(2)/25)*AA174+(1-EXP(-LN(2)/25))/(LN(2)/25)*Calculateur!V175*Calculateur!X175*VLOOKUP('Données projet'!$B$9,Paramètres!$A$1:$I$89,3,0)*0.475*44/12</f>
        <v>0.33412002223107456</v>
      </c>
      <c r="AB175" s="21">
        <f>EXP(-LN(2)/2)*AB174+(1-EXP(-LN(2)/2))/(LN(2)/2)*V175*Y175*VLOOKUP('Données projet'!$B$9,Paramètres!$A$1:$I$89,3,0)*0.475*44/12</f>
        <v>1.2493320305015991E-21</v>
      </c>
      <c r="AC175" s="22">
        <f t="shared" si="163"/>
        <v>0.63431397250952504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4.5474735088646412E-13</v>
      </c>
      <c r="AJ175" s="13">
        <f>AI175*VLOOKUP('Données projet'!$B$10,Paramètres!$A$1:$I$89,3,0)*VLOOKUP('Données projet'!$B$10,Paramètres!$A$1:$I$89,5,0)</f>
        <v>4.6111381379887462E-13</v>
      </c>
      <c r="AK175" s="13">
        <f t="shared" si="164"/>
        <v>5.7981965206434308E-12</v>
      </c>
      <c r="AL175" s="20">
        <f t="shared" si="165"/>
        <v>1.0901632165820347E-11</v>
      </c>
      <c r="AM175" s="59">
        <f t="shared" si="113"/>
        <v>293.33333333334423</v>
      </c>
      <c r="AN175" s="59">
        <f ca="1">AVERAGE(OFFSET($AM$3,0,0,'Données projet'!$E$10+1,1))-AVERAGE(OFFSET($H$3,0,0,'Données projet'!$E$10+1,1))</f>
        <v>263.15518481854753</v>
      </c>
      <c r="AO175" s="59">
        <f t="shared" si="144"/>
        <v>210.80755370263819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275.99999999999972</v>
      </c>
      <c r="BE175" s="13">
        <f>BD175*VLOOKUP('Données projet'!$B$11,Paramètres!$A$1:$I$89,3,0)*VLOOKUP('Données projet'!$B$11,Paramètres!$A$1:$I$89,5,0)</f>
        <v>223.8911999999998</v>
      </c>
      <c r="BF175" s="13">
        <f t="shared" si="167"/>
        <v>54.95975389514858</v>
      </c>
      <c r="BG175" s="20">
        <f t="shared" si="168"/>
        <v>485.66541136738346</v>
      </c>
      <c r="BH175" s="59">
        <f t="shared" si="116"/>
        <v>778.99874470071677</v>
      </c>
      <c r="BI175" s="59">
        <f ca="1">AVERAGE(OFFSET($BH$3,0,0,'Données projet'!$E$11+1,1))-AVERAGE(OFFSET($H$3,0,0,'Données projet'!$E$11+1,1))</f>
        <v>203.21935660591021</v>
      </c>
      <c r="BJ175" s="59">
        <f t="shared" si="146"/>
        <v>180.54762778843178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6.022754478520171E-2</v>
      </c>
      <c r="BQ175" s="21">
        <f>EXP(-LN(2)/25)*BQ174+(1-EXP(-LN(2)/25))/(LN(2)/25)*Calculateur!BL175*Calculateur!BN175*VLOOKUP('Données projet'!$B$11,Paramètres!$A$1:$I$89,3,0)*0.475*44/12</f>
        <v>0.11320214372452132</v>
      </c>
      <c r="BR175" s="21">
        <f>EXP(-LN(2)/2)*BR174+(1-EXP(-LN(2)/2))/(LN(2)/2)*BL175*BO175*VLOOKUP('Données projet'!$B$11,Paramètres!$A$1:$I$89,3,0)*0.475*44/12</f>
        <v>3.8381961896666741E-21</v>
      </c>
      <c r="BS175" s="22">
        <f t="shared" si="169"/>
        <v>0.17342968850972304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-5.6843418860808015E-13</v>
      </c>
      <c r="BZ175" s="13">
        <f>BY175*VLOOKUP('Données projet'!$B$12,Paramètres!$A$1:$I$89,3,0)*VLOOKUP('Données projet'!$B$12,Paramètres!$A$1:$I$89,5,0)</f>
        <v>-6.1186256061773743E-13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211.18501783767226</v>
      </c>
      <c r="CE175" s="59">
        <f t="shared" si="148"/>
        <v>147.98306963466246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-5.6843418860808015E-13</v>
      </c>
      <c r="CU175" s="17">
        <f>CT175*VLOOKUP('Données projet'!$B$13,Paramètres!$A$1:$I$89,3,0)*VLOOKUP('Données projet'!$B$13,Paramètres!$A$1:$I$89,5,0)</f>
        <v>-6.1186256061773743E-13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211.18501783767226</v>
      </c>
      <c r="CZ175" s="59">
        <f t="shared" si="150"/>
        <v>147.98306963466246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0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-1.3596945791505279E-13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182.25704762953387</v>
      </c>
      <c r="T176" s="59">
        <f t="shared" si="142"/>
        <v>265.61788177751134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0.29430733001372</v>
      </c>
      <c r="AA176" s="21">
        <f>EXP(-LN(2)/25)*AA175+(1-EXP(-LN(2)/25))/(LN(2)/25)*Calculateur!V176*Calculateur!X176*VLOOKUP('Données projet'!$B$9,Paramètres!$A$1:$I$89,3,0)*0.475*44/12</f>
        <v>0.32498349265255749</v>
      </c>
      <c r="AB176" s="21">
        <f>EXP(-LN(2)/2)*AB175+(1-EXP(-LN(2)/2))/(LN(2)/2)*V176*Y176*VLOOKUP('Données projet'!$B$9,Paramètres!$A$1:$I$89,3,0)*0.475*44/12</f>
        <v>8.8341115072123937E-22</v>
      </c>
      <c r="AC176" s="22">
        <f t="shared" si="163"/>
        <v>0.61929082266627744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4.5474735088646412E-13</v>
      </c>
      <c r="AJ176" s="13">
        <f>AI176*VLOOKUP('Données projet'!$B$10,Paramètres!$A$1:$I$89,3,0)*VLOOKUP('Données projet'!$B$10,Paramètres!$A$1:$I$89,5,0)</f>
        <v>4.6111381379887462E-13</v>
      </c>
      <c r="AK176" s="13">
        <f t="shared" si="164"/>
        <v>5.7981965206434308E-12</v>
      </c>
      <c r="AL176" s="20">
        <f t="shared" si="165"/>
        <v>1.0901632165820347E-11</v>
      </c>
      <c r="AM176" s="59">
        <f t="shared" si="113"/>
        <v>293.33333333334423</v>
      </c>
      <c r="AN176" s="59">
        <f ca="1">AVERAGE(OFFSET($AM$3,0,0,'Données projet'!$E$10+1,1))-AVERAGE(OFFSET($H$3,0,0,'Données projet'!$E$10+1,1))</f>
        <v>263.15518481854753</v>
      </c>
      <c r="AO176" s="59">
        <f t="shared" si="144"/>
        <v>210.80755370263819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275.99999999999972</v>
      </c>
      <c r="BE176" s="13">
        <f>BD176*VLOOKUP('Données projet'!$B$11,Paramètres!$A$1:$I$89,3,0)*VLOOKUP('Données projet'!$B$11,Paramètres!$A$1:$I$89,5,0)</f>
        <v>223.8911999999998</v>
      </c>
      <c r="BF176" s="13">
        <f t="shared" si="167"/>
        <v>54.95975389514858</v>
      </c>
      <c r="BG176" s="20">
        <f t="shared" si="168"/>
        <v>485.66541136738346</v>
      </c>
      <c r="BH176" s="59">
        <f t="shared" si="116"/>
        <v>778.99874470071677</v>
      </c>
      <c r="BI176" s="59">
        <f ca="1">AVERAGE(OFFSET($BH$3,0,0,'Données projet'!$E$11+1,1))-AVERAGE(OFFSET($H$3,0,0,'Données projet'!$E$11+1,1))</f>
        <v>203.21935660591021</v>
      </c>
      <c r="BJ176" s="59">
        <f t="shared" si="146"/>
        <v>180.54762778843178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5.9046519367138929E-2</v>
      </c>
      <c r="BQ176" s="21">
        <f>EXP(-LN(2)/25)*BQ175+(1-EXP(-LN(2)/25))/(LN(2)/25)*Calculateur!BL176*Calculateur!BN176*VLOOKUP('Données projet'!$B$11,Paramètres!$A$1:$I$89,3,0)*0.475*44/12</f>
        <v>0.11010662515133228</v>
      </c>
      <c r="BR176" s="21">
        <f>EXP(-LN(2)/2)*BR175+(1-EXP(-LN(2)/2))/(LN(2)/2)*BL176*BO176*VLOOKUP('Données projet'!$B$11,Paramètres!$A$1:$I$89,3,0)*0.475*44/12</f>
        <v>2.7140145532376734E-21</v>
      </c>
      <c r="BS176" s="22">
        <f t="shared" si="169"/>
        <v>0.16915314451847122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-5.6843418860808015E-13</v>
      </c>
      <c r="BZ176" s="13">
        <f>BY176*VLOOKUP('Données projet'!$B$12,Paramètres!$A$1:$I$89,3,0)*VLOOKUP('Données projet'!$B$12,Paramètres!$A$1:$I$89,5,0)</f>
        <v>-6.1186256061773743E-13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211.18501783767226</v>
      </c>
      <c r="CE176" s="59">
        <f t="shared" si="148"/>
        <v>147.98306963466246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-5.6843418860808015E-13</v>
      </c>
      <c r="CU176" s="17">
        <f>CT176*VLOOKUP('Données projet'!$B$13,Paramètres!$A$1:$I$89,3,0)*VLOOKUP('Données projet'!$B$13,Paramètres!$A$1:$I$89,5,0)</f>
        <v>-6.1186256061773743E-13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211.18501783767226</v>
      </c>
      <c r="CZ176" s="59">
        <f t="shared" si="150"/>
        <v>147.98306963466246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0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-1.3596945791505279E-13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182.25704762953387</v>
      </c>
      <c r="T177" s="59">
        <f t="shared" si="142"/>
        <v>265.61788177751134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0.28853614278189715</v>
      </c>
      <c r="AA177" s="21">
        <f>EXP(-LN(2)/25)*AA176+(1-EXP(-LN(2)/25))/(LN(2)/25)*Calculateur!V177*Calculateur!X177*VLOOKUP('Données projet'!$B$9,Paramètres!$A$1:$I$89,3,0)*0.475*44/12</f>
        <v>0.31609680195583417</v>
      </c>
      <c r="AB177" s="21">
        <f>EXP(-LN(2)/2)*AB176+(1-EXP(-LN(2)/2))/(LN(2)/2)*V177*Y177*VLOOKUP('Données projet'!$B$9,Paramètres!$A$1:$I$89,3,0)*0.475*44/12</f>
        <v>6.2466601525079957E-22</v>
      </c>
      <c r="AC177" s="22">
        <f t="shared" si="163"/>
        <v>0.60463294473773133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4.5474735088646412E-13</v>
      </c>
      <c r="AJ177" s="13">
        <f>AI177*VLOOKUP('Données projet'!$B$10,Paramètres!$A$1:$I$89,3,0)*VLOOKUP('Données projet'!$B$10,Paramètres!$A$1:$I$89,5,0)</f>
        <v>4.6111381379887462E-13</v>
      </c>
      <c r="AK177" s="13">
        <f t="shared" si="164"/>
        <v>5.7981965206434308E-12</v>
      </c>
      <c r="AL177" s="20">
        <f t="shared" si="165"/>
        <v>1.0901632165820347E-11</v>
      </c>
      <c r="AM177" s="59">
        <f t="shared" si="113"/>
        <v>293.33333333334423</v>
      </c>
      <c r="AN177" s="59">
        <f ca="1">AVERAGE(OFFSET($AM$3,0,0,'Données projet'!$E$10+1,1))-AVERAGE(OFFSET($H$3,0,0,'Données projet'!$E$10+1,1))</f>
        <v>263.15518481854753</v>
      </c>
      <c r="AO177" s="59">
        <f t="shared" si="144"/>
        <v>210.80755370263819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275.99999999999972</v>
      </c>
      <c r="BE177" s="13">
        <f>BD177*VLOOKUP('Données projet'!$B$11,Paramètres!$A$1:$I$89,3,0)*VLOOKUP('Données projet'!$B$11,Paramètres!$A$1:$I$89,5,0)</f>
        <v>223.8911999999998</v>
      </c>
      <c r="BF177" s="13">
        <f t="shared" si="167"/>
        <v>54.95975389514858</v>
      </c>
      <c r="BG177" s="20">
        <f t="shared" si="168"/>
        <v>485.66541136738346</v>
      </c>
      <c r="BH177" s="59">
        <f t="shared" si="116"/>
        <v>778.99874470071677</v>
      </c>
      <c r="BI177" s="59">
        <f ca="1">AVERAGE(OFFSET($BH$3,0,0,'Données projet'!$E$11+1,1))-AVERAGE(OFFSET($H$3,0,0,'Données projet'!$E$11+1,1))</f>
        <v>203.21935660591021</v>
      </c>
      <c r="BJ177" s="59">
        <f t="shared" si="146"/>
        <v>180.54762778843178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5.7888653137169982E-2</v>
      </c>
      <c r="BQ177" s="21">
        <f>EXP(-LN(2)/25)*BQ176+(1-EXP(-LN(2)/25))/(LN(2)/25)*Calculateur!BL177*Calculateur!BN177*VLOOKUP('Données projet'!$B$11,Paramètres!$A$1:$I$89,3,0)*0.475*44/12</f>
        <v>0.10709575369631333</v>
      </c>
      <c r="BR177" s="21">
        <f>EXP(-LN(2)/2)*BR176+(1-EXP(-LN(2)/2))/(LN(2)/2)*BL177*BO177*VLOOKUP('Données projet'!$B$11,Paramètres!$A$1:$I$89,3,0)*0.475*44/12</f>
        <v>1.919098094833337E-21</v>
      </c>
      <c r="BS177" s="22">
        <f t="shared" si="169"/>
        <v>0.16498440683348331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-5.6843418860808015E-13</v>
      </c>
      <c r="BZ177" s="13">
        <f>BY177*VLOOKUP('Données projet'!$B$12,Paramètres!$A$1:$I$89,3,0)*VLOOKUP('Données projet'!$B$12,Paramètres!$A$1:$I$89,5,0)</f>
        <v>-6.1186256061773743E-13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211.18501783767226</v>
      </c>
      <c r="CE177" s="59">
        <f t="shared" si="148"/>
        <v>147.98306963466246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-5.6843418860808015E-13</v>
      </c>
      <c r="CU177" s="17">
        <f>CT177*VLOOKUP('Données projet'!$B$13,Paramètres!$A$1:$I$89,3,0)*VLOOKUP('Données projet'!$B$13,Paramètres!$A$1:$I$89,5,0)</f>
        <v>-6.1186256061773743E-13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211.18501783767226</v>
      </c>
      <c r="CZ177" s="59">
        <f t="shared" si="150"/>
        <v>147.98306963466246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0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-1.3596945791505279E-13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182.25704762953387</v>
      </c>
      <c r="T178" s="59">
        <f t="shared" si="142"/>
        <v>265.61788177751134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0.28287812501161369</v>
      </c>
      <c r="AA178" s="21">
        <f>EXP(-LN(2)/25)*AA177+(1-EXP(-LN(2)/25))/(LN(2)/25)*Calculateur!V178*Calculateur!X178*VLOOKUP('Données projet'!$B$9,Paramètres!$A$1:$I$89,3,0)*0.475*44/12</f>
        <v>0.30745311828354355</v>
      </c>
      <c r="AB178" s="21">
        <f>EXP(-LN(2)/2)*AB177+(1-EXP(-LN(2)/2))/(LN(2)/2)*V178*Y178*VLOOKUP('Données projet'!$B$9,Paramètres!$A$1:$I$89,3,0)*0.475*44/12</f>
        <v>4.4170557536061969E-22</v>
      </c>
      <c r="AC178" s="22">
        <f t="shared" si="163"/>
        <v>0.59033124329515729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4.5474735088646412E-13</v>
      </c>
      <c r="AJ178" s="13">
        <f>AI178*VLOOKUP('Données projet'!$B$10,Paramètres!$A$1:$I$89,3,0)*VLOOKUP('Données projet'!$B$10,Paramètres!$A$1:$I$89,5,0)</f>
        <v>4.6111381379887462E-13</v>
      </c>
      <c r="AK178" s="13">
        <f t="shared" si="164"/>
        <v>5.7981965206434308E-12</v>
      </c>
      <c r="AL178" s="20">
        <f t="shared" si="165"/>
        <v>1.0901632165820347E-11</v>
      </c>
      <c r="AM178" s="59">
        <f t="shared" si="113"/>
        <v>293.33333333334423</v>
      </c>
      <c r="AN178" s="59">
        <f ca="1">AVERAGE(OFFSET($AM$3,0,0,'Données projet'!$E$10+1,1))-AVERAGE(OFFSET($H$3,0,0,'Données projet'!$E$10+1,1))</f>
        <v>263.15518481854753</v>
      </c>
      <c r="AO178" s="59">
        <f t="shared" si="144"/>
        <v>210.80755370263819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275.99999999999972</v>
      </c>
      <c r="BE178" s="13">
        <f>BD178*VLOOKUP('Données projet'!$B$11,Paramètres!$A$1:$I$89,3,0)*VLOOKUP('Données projet'!$B$11,Paramètres!$A$1:$I$89,5,0)</f>
        <v>223.8911999999998</v>
      </c>
      <c r="BF178" s="13">
        <f t="shared" si="167"/>
        <v>54.95975389514858</v>
      </c>
      <c r="BG178" s="20">
        <f t="shared" si="168"/>
        <v>485.66541136738346</v>
      </c>
      <c r="BH178" s="59">
        <f t="shared" si="116"/>
        <v>778.99874470071677</v>
      </c>
      <c r="BI178" s="59">
        <f ca="1">AVERAGE(OFFSET($BH$3,0,0,'Données projet'!$E$11+1,1))-AVERAGE(OFFSET($H$3,0,0,'Données projet'!$E$11+1,1))</f>
        <v>203.21935660591021</v>
      </c>
      <c r="BJ178" s="59">
        <f t="shared" si="146"/>
        <v>180.54762778843178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5.6753491957742055E-2</v>
      </c>
      <c r="BQ178" s="21">
        <f>EXP(-LN(2)/25)*BQ177+(1-EXP(-LN(2)/25))/(LN(2)/25)*Calculateur!BL178*Calculateur!BN178*VLOOKUP('Données projet'!$B$11,Paramètres!$A$1:$I$89,3,0)*0.475*44/12</f>
        <v>0.10416721467956673</v>
      </c>
      <c r="BR178" s="21">
        <f>EXP(-LN(2)/2)*BR177+(1-EXP(-LN(2)/2))/(LN(2)/2)*BL178*BO178*VLOOKUP('Données projet'!$B$11,Paramètres!$A$1:$I$89,3,0)*0.475*44/12</f>
        <v>1.3570072766188367E-21</v>
      </c>
      <c r="BS178" s="22">
        <f t="shared" si="169"/>
        <v>0.16092070663730879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-5.6843418860808015E-13</v>
      </c>
      <c r="BZ178" s="13">
        <f>BY178*VLOOKUP('Données projet'!$B$12,Paramètres!$A$1:$I$89,3,0)*VLOOKUP('Données projet'!$B$12,Paramètres!$A$1:$I$89,5,0)</f>
        <v>-6.1186256061773743E-13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211.18501783767226</v>
      </c>
      <c r="CE178" s="59">
        <f t="shared" si="148"/>
        <v>147.98306963466246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-5.6843418860808015E-13</v>
      </c>
      <c r="CU178" s="17">
        <f>CT178*VLOOKUP('Données projet'!$B$13,Paramètres!$A$1:$I$89,3,0)*VLOOKUP('Données projet'!$B$13,Paramètres!$A$1:$I$89,5,0)</f>
        <v>-6.1186256061773743E-13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211.18501783767226</v>
      </c>
      <c r="CZ178" s="59">
        <f t="shared" si="150"/>
        <v>147.98306963466246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0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-1.3596945791505279E-13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182.25704762953387</v>
      </c>
      <c r="T179" s="59">
        <f t="shared" si="142"/>
        <v>265.61788177751134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0.27733105751875542</v>
      </c>
      <c r="AA179" s="21">
        <f>EXP(-LN(2)/25)*AA178+(1-EXP(-LN(2)/25))/(LN(2)/25)*Calculateur!V179*Calculateur!X179*VLOOKUP('Données projet'!$B$9,Paramètres!$A$1:$I$89,3,0)*0.475*44/12</f>
        <v>0.29904579659582325</v>
      </c>
      <c r="AB179" s="21">
        <f>EXP(-LN(2)/2)*AB178+(1-EXP(-LN(2)/2))/(LN(2)/2)*V179*Y179*VLOOKUP('Données projet'!$B$9,Paramètres!$A$1:$I$89,3,0)*0.475*44/12</f>
        <v>3.1233300762539978E-22</v>
      </c>
      <c r="AC179" s="22">
        <f t="shared" si="163"/>
        <v>0.57637685411457862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4.5474735088646412E-13</v>
      </c>
      <c r="AJ179" s="13">
        <f>AI179*VLOOKUP('Données projet'!$B$10,Paramètres!$A$1:$I$89,3,0)*VLOOKUP('Données projet'!$B$10,Paramètres!$A$1:$I$89,5,0)</f>
        <v>4.6111381379887462E-13</v>
      </c>
      <c r="AK179" s="13">
        <f t="shared" si="164"/>
        <v>5.7981965206434308E-12</v>
      </c>
      <c r="AL179" s="20">
        <f t="shared" si="165"/>
        <v>1.0901632165820347E-11</v>
      </c>
      <c r="AM179" s="59">
        <f t="shared" si="113"/>
        <v>293.33333333334423</v>
      </c>
      <c r="AN179" s="59">
        <f ca="1">AVERAGE(OFFSET($AM$3,0,0,'Données projet'!$E$10+1,1))-AVERAGE(OFFSET($H$3,0,0,'Données projet'!$E$10+1,1))</f>
        <v>263.15518481854753</v>
      </c>
      <c r="AO179" s="59">
        <f t="shared" si="144"/>
        <v>210.80755370263819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275.99999999999972</v>
      </c>
      <c r="BE179" s="13">
        <f>BD179*VLOOKUP('Données projet'!$B$11,Paramètres!$A$1:$I$89,3,0)*VLOOKUP('Données projet'!$B$11,Paramètres!$A$1:$I$89,5,0)</f>
        <v>223.8911999999998</v>
      </c>
      <c r="BF179" s="13">
        <f t="shared" si="167"/>
        <v>54.95975389514858</v>
      </c>
      <c r="BG179" s="20">
        <f t="shared" si="168"/>
        <v>485.66541136738346</v>
      </c>
      <c r="BH179" s="59">
        <f t="shared" si="116"/>
        <v>778.99874470071677</v>
      </c>
      <c r="BI179" s="59">
        <f ca="1">AVERAGE(OFFSET($BH$3,0,0,'Données projet'!$E$11+1,1))-AVERAGE(OFFSET($H$3,0,0,'Données projet'!$E$11+1,1))</f>
        <v>203.21935660591021</v>
      </c>
      <c r="BJ179" s="59">
        <f t="shared" si="146"/>
        <v>180.54762778843178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5.5640590596662758E-2</v>
      </c>
      <c r="BQ179" s="21">
        <f>EXP(-LN(2)/25)*BQ178+(1-EXP(-LN(2)/25))/(LN(2)/25)*Calculateur!BL179*Calculateur!BN179*VLOOKUP('Données projet'!$B$11,Paramètres!$A$1:$I$89,3,0)*0.475*44/12</f>
        <v>0.10131875671623823</v>
      </c>
      <c r="BR179" s="21">
        <f>EXP(-LN(2)/2)*BR178+(1-EXP(-LN(2)/2))/(LN(2)/2)*BL179*BO179*VLOOKUP('Données projet'!$B$11,Paramètres!$A$1:$I$89,3,0)*0.475*44/12</f>
        <v>9.5954904741666852E-22</v>
      </c>
      <c r="BS179" s="22">
        <f t="shared" si="169"/>
        <v>0.15695934731290098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-5.6843418860808015E-13</v>
      </c>
      <c r="BZ179" s="13">
        <f>BY179*VLOOKUP('Données projet'!$B$12,Paramètres!$A$1:$I$89,3,0)*VLOOKUP('Données projet'!$B$12,Paramètres!$A$1:$I$89,5,0)</f>
        <v>-6.1186256061773743E-13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211.18501783767226</v>
      </c>
      <c r="CE179" s="59">
        <f t="shared" si="148"/>
        <v>147.98306963466246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-5.6843418860808015E-13</v>
      </c>
      <c r="CU179" s="17">
        <f>CT179*VLOOKUP('Données projet'!$B$13,Paramètres!$A$1:$I$89,3,0)*VLOOKUP('Données projet'!$B$13,Paramètres!$A$1:$I$89,5,0)</f>
        <v>-6.1186256061773743E-13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211.18501783767226</v>
      </c>
      <c r="CZ179" s="59">
        <f t="shared" si="150"/>
        <v>147.98306963466246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0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-1.3596945791505279E-13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182.25704762953387</v>
      </c>
      <c r="T180" s="59">
        <f t="shared" si="142"/>
        <v>265.61788177751134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0.271892764636055</v>
      </c>
      <c r="AA180" s="21">
        <f>EXP(-LN(2)/25)*AA179+(1-EXP(-LN(2)/25))/(LN(2)/25)*Calculateur!V180*Calculateur!X180*VLOOKUP('Données projet'!$B$9,Paramètres!$A$1:$I$89,3,0)*0.475*44/12</f>
        <v>0.29086837356177553</v>
      </c>
      <c r="AB180" s="21">
        <f>EXP(-LN(2)/2)*AB179+(1-EXP(-LN(2)/2))/(LN(2)/2)*V180*Y180*VLOOKUP('Données projet'!$B$9,Paramètres!$A$1:$I$89,3,0)*0.475*44/12</f>
        <v>2.2085278768030984E-22</v>
      </c>
      <c r="AC180" s="22">
        <f t="shared" si="163"/>
        <v>0.56276113819783058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4.5474735088646412E-13</v>
      </c>
      <c r="AJ180" s="13">
        <f>AI180*VLOOKUP('Données projet'!$B$10,Paramètres!$A$1:$I$89,3,0)*VLOOKUP('Données projet'!$B$10,Paramètres!$A$1:$I$89,5,0)</f>
        <v>4.6111381379887462E-13</v>
      </c>
      <c r="AK180" s="13">
        <f t="shared" si="164"/>
        <v>5.7981965206434308E-12</v>
      </c>
      <c r="AL180" s="20">
        <f t="shared" si="165"/>
        <v>1.0901632165820347E-11</v>
      </c>
      <c r="AM180" s="59">
        <f t="shared" si="113"/>
        <v>293.33333333334423</v>
      </c>
      <c r="AN180" s="59">
        <f ca="1">AVERAGE(OFFSET($AM$3,0,0,'Données projet'!$E$10+1,1))-AVERAGE(OFFSET($H$3,0,0,'Données projet'!$E$10+1,1))</f>
        <v>263.15518481854753</v>
      </c>
      <c r="AO180" s="59">
        <f t="shared" si="144"/>
        <v>210.80755370263819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275.99999999999972</v>
      </c>
      <c r="BE180" s="13">
        <f>BD180*VLOOKUP('Données projet'!$B$11,Paramètres!$A$1:$I$89,3,0)*VLOOKUP('Données projet'!$B$11,Paramètres!$A$1:$I$89,5,0)</f>
        <v>223.8911999999998</v>
      </c>
      <c r="BF180" s="13">
        <f t="shared" si="167"/>
        <v>54.95975389514858</v>
      </c>
      <c r="BG180" s="20">
        <f t="shared" si="168"/>
        <v>485.66541136738346</v>
      </c>
      <c r="BH180" s="59">
        <f t="shared" si="116"/>
        <v>778.99874470071677</v>
      </c>
      <c r="BI180" s="59">
        <f ca="1">AVERAGE(OFFSET($BH$3,0,0,'Données projet'!$E$11+1,1))-AVERAGE(OFFSET($H$3,0,0,'Données projet'!$E$11+1,1))</f>
        <v>203.21935660591021</v>
      </c>
      <c r="BJ180" s="59">
        <f t="shared" si="146"/>
        <v>180.54762778843178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5.4549512552471424E-2</v>
      </c>
      <c r="BQ180" s="21">
        <f>EXP(-LN(2)/25)*BQ179+(1-EXP(-LN(2)/25))/(LN(2)/25)*Calculateur!BL180*Calculateur!BN180*VLOOKUP('Données projet'!$B$11,Paramètres!$A$1:$I$89,3,0)*0.475*44/12</f>
        <v>9.8548189985710855E-2</v>
      </c>
      <c r="BR180" s="21">
        <f>EXP(-LN(2)/2)*BR179+(1-EXP(-LN(2)/2))/(LN(2)/2)*BL180*BO180*VLOOKUP('Données projet'!$B$11,Paramètres!$A$1:$I$89,3,0)*0.475*44/12</f>
        <v>6.7850363830941835E-22</v>
      </c>
      <c r="BS180" s="22">
        <f t="shared" si="169"/>
        <v>0.15309770253818228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-5.6843418860808015E-13</v>
      </c>
      <c r="BZ180" s="13">
        <f>BY180*VLOOKUP('Données projet'!$B$12,Paramètres!$A$1:$I$89,3,0)*VLOOKUP('Données projet'!$B$12,Paramètres!$A$1:$I$89,5,0)</f>
        <v>-6.1186256061773743E-13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211.18501783767226</v>
      </c>
      <c r="CE180" s="59">
        <f t="shared" si="148"/>
        <v>147.98306963466246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-5.6843418860808015E-13</v>
      </c>
      <c r="CU180" s="17">
        <f>CT180*VLOOKUP('Données projet'!$B$13,Paramètres!$A$1:$I$89,3,0)*VLOOKUP('Données projet'!$B$13,Paramètres!$A$1:$I$89,5,0)</f>
        <v>-6.1186256061773743E-13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211.18501783767226</v>
      </c>
      <c r="CZ180" s="59">
        <f t="shared" si="150"/>
        <v>147.98306963466246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0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-1.3596945791505279E-13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182.25704762953387</v>
      </c>
      <c r="T181" s="59">
        <f t="shared" si="142"/>
        <v>265.61788177751134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0.26656111335975324</v>
      </c>
      <c r="AA181" s="21">
        <f>EXP(-LN(2)/25)*AA180+(1-EXP(-LN(2)/25))/(LN(2)/25)*Calculateur!V181*Calculateur!X181*VLOOKUP('Données projet'!$B$9,Paramètres!$A$1:$I$89,3,0)*0.475*44/12</f>
        <v>0.28291456259062581</v>
      </c>
      <c r="AB181" s="21">
        <f>EXP(-LN(2)/2)*AB180+(1-EXP(-LN(2)/2))/(LN(2)/2)*V181*Y181*VLOOKUP('Données projet'!$B$9,Paramètres!$A$1:$I$89,3,0)*0.475*44/12</f>
        <v>1.5616650381269989E-22</v>
      </c>
      <c r="AC181" s="22">
        <f t="shared" si="163"/>
        <v>0.54947567595037905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4.5474735088646412E-13</v>
      </c>
      <c r="AJ181" s="13">
        <f>AI181*VLOOKUP('Données projet'!$B$10,Paramètres!$A$1:$I$89,3,0)*VLOOKUP('Données projet'!$B$10,Paramètres!$A$1:$I$89,5,0)</f>
        <v>4.6111381379887462E-13</v>
      </c>
      <c r="AK181" s="13">
        <f t="shared" si="164"/>
        <v>5.7981965206434308E-12</v>
      </c>
      <c r="AL181" s="20">
        <f t="shared" si="165"/>
        <v>1.0901632165820347E-11</v>
      </c>
      <c r="AM181" s="59">
        <f t="shared" si="113"/>
        <v>293.33333333334423</v>
      </c>
      <c r="AN181" s="59">
        <f ca="1">AVERAGE(OFFSET($AM$3,0,0,'Données projet'!$E$10+1,1))-AVERAGE(OFFSET($H$3,0,0,'Données projet'!$E$10+1,1))</f>
        <v>263.15518481854753</v>
      </c>
      <c r="AO181" s="59">
        <f t="shared" si="144"/>
        <v>210.80755370263819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275.99999999999972</v>
      </c>
      <c r="BE181" s="13">
        <f>BD181*VLOOKUP('Données projet'!$B$11,Paramètres!$A$1:$I$89,3,0)*VLOOKUP('Données projet'!$B$11,Paramètres!$A$1:$I$89,5,0)</f>
        <v>223.8911999999998</v>
      </c>
      <c r="BF181" s="13">
        <f t="shared" si="167"/>
        <v>54.95975389514858</v>
      </c>
      <c r="BG181" s="20">
        <f t="shared" si="168"/>
        <v>485.66541136738346</v>
      </c>
      <c r="BH181" s="59">
        <f t="shared" si="116"/>
        <v>778.99874470071677</v>
      </c>
      <c r="BI181" s="59">
        <f ca="1">AVERAGE(OFFSET($BH$3,0,0,'Données projet'!$E$11+1,1))-AVERAGE(OFFSET($H$3,0,0,'Données projet'!$E$11+1,1))</f>
        <v>203.21935660591021</v>
      </c>
      <c r="BJ181" s="59">
        <f t="shared" si="146"/>
        <v>180.54762778843178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5.347982988323479E-2</v>
      </c>
      <c r="BQ181" s="21">
        <f>EXP(-LN(2)/25)*BQ180+(1-EXP(-LN(2)/25))/(LN(2)/25)*Calculateur!BL181*Calculateur!BN181*VLOOKUP('Données projet'!$B$11,Paramètres!$A$1:$I$89,3,0)*0.475*44/12</f>
        <v>9.5853384548127515E-2</v>
      </c>
      <c r="BR181" s="21">
        <f>EXP(-LN(2)/2)*BR180+(1-EXP(-LN(2)/2))/(LN(2)/2)*BL181*BO181*VLOOKUP('Données projet'!$B$11,Paramètres!$A$1:$I$89,3,0)*0.475*44/12</f>
        <v>4.7977452370833426E-22</v>
      </c>
      <c r="BS181" s="22">
        <f t="shared" si="169"/>
        <v>0.1493332144313623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-5.6843418860808015E-13</v>
      </c>
      <c r="BZ181" s="13">
        <f>BY181*VLOOKUP('Données projet'!$B$12,Paramètres!$A$1:$I$89,3,0)*VLOOKUP('Données projet'!$B$12,Paramètres!$A$1:$I$89,5,0)</f>
        <v>-6.1186256061773743E-13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211.18501783767226</v>
      </c>
      <c r="CE181" s="59">
        <f t="shared" si="148"/>
        <v>147.98306963466246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-5.6843418860808015E-13</v>
      </c>
      <c r="CU181" s="17">
        <f>CT181*VLOOKUP('Données projet'!$B$13,Paramètres!$A$1:$I$89,3,0)*VLOOKUP('Données projet'!$B$13,Paramètres!$A$1:$I$89,5,0)</f>
        <v>-6.1186256061773743E-13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211.18501783767226</v>
      </c>
      <c r="CZ181" s="59">
        <f t="shared" si="150"/>
        <v>147.98306963466246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0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-1.3596945791505279E-13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182.25704762953387</v>
      </c>
      <c r="T182" s="59">
        <f t="shared" si="142"/>
        <v>265.61788177751134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0.2613340125129936</v>
      </c>
      <c r="AA182" s="21">
        <f>EXP(-LN(2)/25)*AA181+(1-EXP(-LN(2)/25))/(LN(2)/25)*Calculateur!V182*Calculateur!X182*VLOOKUP('Données projet'!$B$9,Paramètres!$A$1:$I$89,3,0)*0.475*44/12</f>
        <v>0.27517824899875493</v>
      </c>
      <c r="AB182" s="21">
        <f>EXP(-LN(2)/2)*AB181+(1-EXP(-LN(2)/2))/(LN(2)/2)*V182*Y182*VLOOKUP('Données projet'!$B$9,Paramètres!$A$1:$I$89,3,0)*0.475*44/12</f>
        <v>1.1042639384015492E-22</v>
      </c>
      <c r="AC182" s="22">
        <f t="shared" si="163"/>
        <v>0.53651226151174858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4.5474735088646412E-13</v>
      </c>
      <c r="AJ182" s="13">
        <f>AI182*VLOOKUP('Données projet'!$B$10,Paramètres!$A$1:$I$89,3,0)*VLOOKUP('Données projet'!$B$10,Paramètres!$A$1:$I$89,5,0)</f>
        <v>4.6111381379887462E-13</v>
      </c>
      <c r="AK182" s="13">
        <f t="shared" si="164"/>
        <v>5.7981965206434308E-12</v>
      </c>
      <c r="AL182" s="20">
        <f t="shared" si="165"/>
        <v>1.0901632165820347E-11</v>
      </c>
      <c r="AM182" s="59">
        <f t="shared" si="113"/>
        <v>293.33333333334423</v>
      </c>
      <c r="AN182" s="59">
        <f ca="1">AVERAGE(OFFSET($AM$3,0,0,'Données projet'!$E$10+1,1))-AVERAGE(OFFSET($H$3,0,0,'Données projet'!$E$10+1,1))</f>
        <v>263.15518481854753</v>
      </c>
      <c r="AO182" s="59">
        <f t="shared" si="144"/>
        <v>210.80755370263819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275.99999999999972</v>
      </c>
      <c r="BE182" s="13">
        <f>BD182*VLOOKUP('Données projet'!$B$11,Paramètres!$A$1:$I$89,3,0)*VLOOKUP('Données projet'!$B$11,Paramètres!$A$1:$I$89,5,0)</f>
        <v>223.8911999999998</v>
      </c>
      <c r="BF182" s="13">
        <f t="shared" si="167"/>
        <v>54.95975389514858</v>
      </c>
      <c r="BG182" s="20">
        <f t="shared" si="168"/>
        <v>485.66541136738346</v>
      </c>
      <c r="BH182" s="59">
        <f t="shared" si="116"/>
        <v>778.99874470071677</v>
      </c>
      <c r="BI182" s="59">
        <f ca="1">AVERAGE(OFFSET($BH$3,0,0,'Données projet'!$E$11+1,1))-AVERAGE(OFFSET($H$3,0,0,'Données projet'!$E$11+1,1))</f>
        <v>203.21935660591021</v>
      </c>
      <c r="BJ182" s="59">
        <f t="shared" si="146"/>
        <v>180.54762778843178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5.243112303869988E-2</v>
      </c>
      <c r="BQ182" s="21">
        <f>EXP(-LN(2)/25)*BQ181+(1-EXP(-LN(2)/25))/(LN(2)/25)*Calculateur!BL182*Calculateur!BN182*VLOOKUP('Données projet'!$B$11,Paramètres!$A$1:$I$89,3,0)*0.475*44/12</f>
        <v>9.3232268706948548E-2</v>
      </c>
      <c r="BR182" s="21">
        <f>EXP(-LN(2)/2)*BR181+(1-EXP(-LN(2)/2))/(LN(2)/2)*BL182*BO182*VLOOKUP('Données projet'!$B$11,Paramètres!$A$1:$I$89,3,0)*0.475*44/12</f>
        <v>3.3925181915470918E-22</v>
      </c>
      <c r="BS182" s="22">
        <f t="shared" si="169"/>
        <v>0.14566339174564844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-5.6843418860808015E-13</v>
      </c>
      <c r="BZ182" s="13">
        <f>BY182*VLOOKUP('Données projet'!$B$12,Paramètres!$A$1:$I$89,3,0)*VLOOKUP('Données projet'!$B$12,Paramètres!$A$1:$I$89,5,0)</f>
        <v>-6.1186256061773743E-13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211.18501783767226</v>
      </c>
      <c r="CE182" s="59">
        <f t="shared" si="148"/>
        <v>147.98306963466246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-5.6843418860808015E-13</v>
      </c>
      <c r="CU182" s="17">
        <f>CT182*VLOOKUP('Données projet'!$B$13,Paramètres!$A$1:$I$89,3,0)*VLOOKUP('Données projet'!$B$13,Paramètres!$A$1:$I$89,5,0)</f>
        <v>-6.1186256061773743E-13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211.18501783767226</v>
      </c>
      <c r="CZ182" s="59">
        <f t="shared" si="150"/>
        <v>147.98306963466246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0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-1.3596945791505279E-13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182.25704762953387</v>
      </c>
      <c r="T183" s="59">
        <f t="shared" si="142"/>
        <v>265.61788177751134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0.25620941192562219</v>
      </c>
      <c r="AA183" s="21">
        <f>EXP(-LN(2)/25)*AA182+(1-EXP(-LN(2)/25))/(LN(2)/25)*Calculateur!V183*Calculateur!X183*VLOOKUP('Données projet'!$B$9,Paramètres!$A$1:$I$89,3,0)*0.475*44/12</f>
        <v>0.26765348530888877</v>
      </c>
      <c r="AB183" s="21">
        <f>EXP(-LN(2)/2)*AB182+(1-EXP(-LN(2)/2))/(LN(2)/2)*V183*Y183*VLOOKUP('Données projet'!$B$9,Paramètres!$A$1:$I$89,3,0)*0.475*44/12</f>
        <v>7.8083251906349946E-23</v>
      </c>
      <c r="AC183" s="22">
        <f t="shared" si="163"/>
        <v>0.52386289723451096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4.5474735088646412E-13</v>
      </c>
      <c r="AJ183" s="13">
        <f>AI183*VLOOKUP('Données projet'!$B$10,Paramètres!$A$1:$I$89,3,0)*VLOOKUP('Données projet'!$B$10,Paramètres!$A$1:$I$89,5,0)</f>
        <v>4.6111381379887462E-13</v>
      </c>
      <c r="AK183" s="13">
        <f t="shared" si="164"/>
        <v>5.7981965206434308E-12</v>
      </c>
      <c r="AL183" s="20">
        <f t="shared" si="165"/>
        <v>1.0901632165820347E-11</v>
      </c>
      <c r="AM183" s="59">
        <f t="shared" si="113"/>
        <v>293.33333333334423</v>
      </c>
      <c r="AN183" s="59">
        <f ca="1">AVERAGE(OFFSET($AM$3,0,0,'Données projet'!$E$10+1,1))-AVERAGE(OFFSET($H$3,0,0,'Données projet'!$E$10+1,1))</f>
        <v>263.15518481854753</v>
      </c>
      <c r="AO183" s="59">
        <f t="shared" si="144"/>
        <v>210.80755370263819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275.99999999999972</v>
      </c>
      <c r="BE183" s="13">
        <f>BD183*VLOOKUP('Données projet'!$B$11,Paramètres!$A$1:$I$89,3,0)*VLOOKUP('Données projet'!$B$11,Paramètres!$A$1:$I$89,5,0)</f>
        <v>223.8911999999998</v>
      </c>
      <c r="BF183" s="13">
        <f t="shared" si="167"/>
        <v>54.95975389514858</v>
      </c>
      <c r="BG183" s="20">
        <f t="shared" si="168"/>
        <v>485.66541136738346</v>
      </c>
      <c r="BH183" s="59">
        <f t="shared" si="116"/>
        <v>778.99874470071677</v>
      </c>
      <c r="BI183" s="59">
        <f ca="1">AVERAGE(OFFSET($BH$3,0,0,'Données projet'!$E$11+1,1))-AVERAGE(OFFSET($H$3,0,0,'Données projet'!$E$11+1,1))</f>
        <v>203.21935660591021</v>
      </c>
      <c r="BJ183" s="59">
        <f t="shared" si="146"/>
        <v>180.54762778843178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5.140298069573828E-2</v>
      </c>
      <c r="BQ183" s="21">
        <f>EXP(-LN(2)/25)*BQ182+(1-EXP(-LN(2)/25))/(LN(2)/25)*Calculateur!BL183*Calculateur!BN183*VLOOKUP('Données projet'!$B$11,Paramètres!$A$1:$I$89,3,0)*0.475*44/12</f>
        <v>9.0682827416285111E-2</v>
      </c>
      <c r="BR183" s="21">
        <f>EXP(-LN(2)/2)*BR182+(1-EXP(-LN(2)/2))/(LN(2)/2)*BL183*BO183*VLOOKUP('Données projet'!$B$11,Paramètres!$A$1:$I$89,3,0)*0.475*44/12</f>
        <v>2.3988726185416713E-22</v>
      </c>
      <c r="BS183" s="22">
        <f t="shared" si="169"/>
        <v>0.1420858081120234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-5.6843418860808015E-13</v>
      </c>
      <c r="BZ183" s="13">
        <f>BY183*VLOOKUP('Données projet'!$B$12,Paramètres!$A$1:$I$89,3,0)*VLOOKUP('Données projet'!$B$12,Paramètres!$A$1:$I$89,5,0)</f>
        <v>-6.1186256061773743E-13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211.18501783767226</v>
      </c>
      <c r="CE183" s="59">
        <f t="shared" si="148"/>
        <v>147.98306963466246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-5.6843418860808015E-13</v>
      </c>
      <c r="CU183" s="17">
        <f>CT183*VLOOKUP('Données projet'!$B$13,Paramètres!$A$1:$I$89,3,0)*VLOOKUP('Données projet'!$B$13,Paramètres!$A$1:$I$89,5,0)</f>
        <v>-6.1186256061773743E-13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211.18501783767226</v>
      </c>
      <c r="CZ183" s="59">
        <f t="shared" si="150"/>
        <v>147.98306963466246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0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-1.3596945791505279E-13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182.25704762953387</v>
      </c>
      <c r="T184" s="59">
        <f t="shared" si="142"/>
        <v>265.61788177751134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0.25118530163007141</v>
      </c>
      <c r="AA184" s="21">
        <f>EXP(-LN(2)/25)*AA183+(1-EXP(-LN(2)/25))/(LN(2)/25)*Calculateur!V184*Calculateur!X184*VLOOKUP('Données projet'!$B$9,Paramètres!$A$1:$I$89,3,0)*0.475*44/12</f>
        <v>0.26033448667783216</v>
      </c>
      <c r="AB184" s="21">
        <f>EXP(-LN(2)/2)*AB183+(1-EXP(-LN(2)/2))/(LN(2)/2)*V184*Y184*VLOOKUP('Données projet'!$B$9,Paramètres!$A$1:$I$89,3,0)*0.475*44/12</f>
        <v>5.5213196920077461E-23</v>
      </c>
      <c r="AC184" s="22">
        <f t="shared" si="163"/>
        <v>0.51151978830790357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4.5474735088646412E-13</v>
      </c>
      <c r="AJ184" s="13">
        <f>AI184*VLOOKUP('Données projet'!$B$10,Paramètres!$A$1:$I$89,3,0)*VLOOKUP('Données projet'!$B$10,Paramètres!$A$1:$I$89,5,0)</f>
        <v>4.6111381379887462E-13</v>
      </c>
      <c r="AK184" s="13">
        <f t="shared" si="164"/>
        <v>5.7981965206434308E-12</v>
      </c>
      <c r="AL184" s="20">
        <f t="shared" si="165"/>
        <v>1.0901632165820347E-11</v>
      </c>
      <c r="AM184" s="59">
        <f t="shared" si="113"/>
        <v>293.33333333334423</v>
      </c>
      <c r="AN184" s="59">
        <f ca="1">AVERAGE(OFFSET($AM$3,0,0,'Données projet'!$E$10+1,1))-AVERAGE(OFFSET($H$3,0,0,'Données projet'!$E$10+1,1))</f>
        <v>263.15518481854753</v>
      </c>
      <c r="AO184" s="59">
        <f t="shared" si="144"/>
        <v>210.80755370263819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275.99999999999972</v>
      </c>
      <c r="BE184" s="13">
        <f>BD184*VLOOKUP('Données projet'!$B$11,Paramètres!$A$1:$I$89,3,0)*VLOOKUP('Données projet'!$B$11,Paramètres!$A$1:$I$89,5,0)</f>
        <v>223.8911999999998</v>
      </c>
      <c r="BF184" s="13">
        <f t="shared" si="167"/>
        <v>54.95975389514858</v>
      </c>
      <c r="BG184" s="20">
        <f t="shared" si="168"/>
        <v>485.66541136738346</v>
      </c>
      <c r="BH184" s="59">
        <f t="shared" si="116"/>
        <v>778.99874470071677</v>
      </c>
      <c r="BI184" s="59">
        <f ca="1">AVERAGE(OFFSET($BH$3,0,0,'Données projet'!$E$11+1,1))-AVERAGE(OFFSET($H$3,0,0,'Données projet'!$E$11+1,1))</f>
        <v>203.21935660591021</v>
      </c>
      <c r="BJ184" s="59">
        <f t="shared" si="146"/>
        <v>180.54762778843178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5.0394999597017251E-2</v>
      </c>
      <c r="BQ184" s="21">
        <f>EXP(-LN(2)/25)*BQ183+(1-EXP(-LN(2)/25))/(LN(2)/25)*Calculateur!BL184*Calculateur!BN184*VLOOKUP('Données projet'!$B$11,Paramètres!$A$1:$I$89,3,0)*0.475*44/12</f>
        <v>8.8203100731784154E-2</v>
      </c>
      <c r="BR184" s="21">
        <f>EXP(-LN(2)/2)*BR183+(1-EXP(-LN(2)/2))/(LN(2)/2)*BL184*BO184*VLOOKUP('Données projet'!$B$11,Paramètres!$A$1:$I$89,3,0)*0.475*44/12</f>
        <v>1.6962590957735459E-22</v>
      </c>
      <c r="BS184" s="22">
        <f t="shared" si="169"/>
        <v>0.1385981003288014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-5.6843418860808015E-13</v>
      </c>
      <c r="BZ184" s="13">
        <f>BY184*VLOOKUP('Données projet'!$B$12,Paramètres!$A$1:$I$89,3,0)*VLOOKUP('Données projet'!$B$12,Paramètres!$A$1:$I$89,5,0)</f>
        <v>-6.1186256061773743E-13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211.18501783767226</v>
      </c>
      <c r="CE184" s="59">
        <f t="shared" si="148"/>
        <v>147.98306963466246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-5.6843418860808015E-13</v>
      </c>
      <c r="CU184" s="17">
        <f>CT184*VLOOKUP('Données projet'!$B$13,Paramètres!$A$1:$I$89,3,0)*VLOOKUP('Données projet'!$B$13,Paramètres!$A$1:$I$89,5,0)</f>
        <v>-6.1186256061773743E-13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211.18501783767226</v>
      </c>
      <c r="CZ184" s="59">
        <f t="shared" si="150"/>
        <v>147.98306963466246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0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-1.3596945791505279E-13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182.25704762953387</v>
      </c>
      <c r="T185" s="59">
        <f t="shared" si="142"/>
        <v>265.61788177751134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0.24625971107301167</v>
      </c>
      <c r="AA185" s="21">
        <f>EXP(-LN(2)/25)*AA184+(1-EXP(-LN(2)/25))/(LN(2)/25)*Calculateur!V185*Calculateur!X185*VLOOKUP('Données projet'!$B$9,Paramètres!$A$1:$I$89,3,0)*0.475*44/12</f>
        <v>0.25321562644923118</v>
      </c>
      <c r="AB185" s="21">
        <f>EXP(-LN(2)/2)*AB184+(1-EXP(-LN(2)/2))/(LN(2)/2)*V185*Y185*VLOOKUP('Données projet'!$B$9,Paramètres!$A$1:$I$89,3,0)*0.475*44/12</f>
        <v>3.9041625953174973E-23</v>
      </c>
      <c r="AC185" s="22">
        <f t="shared" si="163"/>
        <v>0.49947533752224282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4.5474735088646412E-13</v>
      </c>
      <c r="AJ185" s="13">
        <f>AI185*VLOOKUP('Données projet'!$B$10,Paramètres!$A$1:$I$89,3,0)*VLOOKUP('Données projet'!$B$10,Paramètres!$A$1:$I$89,5,0)</f>
        <v>4.6111381379887462E-13</v>
      </c>
      <c r="AK185" s="13">
        <f t="shared" si="164"/>
        <v>5.7981965206434308E-12</v>
      </c>
      <c r="AL185" s="20">
        <f t="shared" si="165"/>
        <v>1.0901632165820347E-11</v>
      </c>
      <c r="AM185" s="59">
        <f t="shared" si="113"/>
        <v>293.33333333334423</v>
      </c>
      <c r="AN185" s="59">
        <f ca="1">AVERAGE(OFFSET($AM$3,0,0,'Données projet'!$E$10+1,1))-AVERAGE(OFFSET($H$3,0,0,'Données projet'!$E$10+1,1))</f>
        <v>263.15518481854753</v>
      </c>
      <c r="AO185" s="59">
        <f t="shared" si="144"/>
        <v>210.80755370263819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275.99999999999972</v>
      </c>
      <c r="BE185" s="13">
        <f>BD185*VLOOKUP('Données projet'!$B$11,Paramètres!$A$1:$I$89,3,0)*VLOOKUP('Données projet'!$B$11,Paramètres!$A$1:$I$89,5,0)</f>
        <v>223.8911999999998</v>
      </c>
      <c r="BF185" s="13">
        <f t="shared" si="167"/>
        <v>54.95975389514858</v>
      </c>
      <c r="BG185" s="20">
        <f t="shared" si="168"/>
        <v>485.66541136738346</v>
      </c>
      <c r="BH185" s="59">
        <f t="shared" si="116"/>
        <v>778.99874470071677</v>
      </c>
      <c r="BI185" s="59">
        <f ca="1">AVERAGE(OFFSET($BH$3,0,0,'Données projet'!$E$11+1,1))-AVERAGE(OFFSET($H$3,0,0,'Données projet'!$E$11+1,1))</f>
        <v>203.21935660591021</v>
      </c>
      <c r="BJ185" s="59">
        <f t="shared" si="146"/>
        <v>180.54762778843178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4.9406784392834378E-2</v>
      </c>
      <c r="BQ185" s="21">
        <f>EXP(-LN(2)/25)*BQ184+(1-EXP(-LN(2)/25))/(LN(2)/25)*Calculateur!BL185*Calculateur!BN185*VLOOKUP('Données projet'!$B$11,Paramètres!$A$1:$I$89,3,0)*0.475*44/12</f>
        <v>8.5791182303874045E-2</v>
      </c>
      <c r="BR185" s="21">
        <f>EXP(-LN(2)/2)*BR184+(1-EXP(-LN(2)/2))/(LN(2)/2)*BL185*BO185*VLOOKUP('Données projet'!$B$11,Paramètres!$A$1:$I$89,3,0)*0.475*44/12</f>
        <v>1.1994363092708356E-22</v>
      </c>
      <c r="BS185" s="22">
        <f t="shared" si="169"/>
        <v>0.13519796669670842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-5.6843418860808015E-13</v>
      </c>
      <c r="BZ185" s="13">
        <f>BY185*VLOOKUP('Données projet'!$B$12,Paramètres!$A$1:$I$89,3,0)*VLOOKUP('Données projet'!$B$12,Paramètres!$A$1:$I$89,5,0)</f>
        <v>-6.1186256061773743E-13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211.18501783767226</v>
      </c>
      <c r="CE185" s="59">
        <f t="shared" si="148"/>
        <v>147.98306963466246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-5.6843418860808015E-13</v>
      </c>
      <c r="CU185" s="17">
        <f>CT185*VLOOKUP('Données projet'!$B$13,Paramètres!$A$1:$I$89,3,0)*VLOOKUP('Données projet'!$B$13,Paramètres!$A$1:$I$89,5,0)</f>
        <v>-6.1186256061773743E-13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211.18501783767226</v>
      </c>
      <c r="CZ185" s="59">
        <f t="shared" si="150"/>
        <v>147.98306963466246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0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-1.3596945791505279E-13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182.25704762953387</v>
      </c>
      <c r="T186" s="59">
        <f t="shared" si="142"/>
        <v>265.61788177751134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0.2414307083424623</v>
      </c>
      <c r="AA186" s="21">
        <f>EXP(-LN(2)/25)*AA185+(1-EXP(-LN(2)/25))/(LN(2)/25)*Calculateur!V186*Calculateur!X186*VLOOKUP('Données projet'!$B$9,Paramètres!$A$1:$I$89,3,0)*0.475*44/12</f>
        <v>0.24629143182794588</v>
      </c>
      <c r="AB186" s="21">
        <f>EXP(-LN(2)/2)*AB185+(1-EXP(-LN(2)/2))/(LN(2)/2)*V186*Y186*VLOOKUP('Données projet'!$B$9,Paramètres!$A$1:$I$89,3,0)*0.475*44/12</f>
        <v>2.760659846003873E-23</v>
      </c>
      <c r="AC186" s="22">
        <f t="shared" si="163"/>
        <v>0.48772214017040816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4.5474735088646412E-13</v>
      </c>
      <c r="AJ186" s="13">
        <f>AI186*VLOOKUP('Données projet'!$B$10,Paramètres!$A$1:$I$89,3,0)*VLOOKUP('Données projet'!$B$10,Paramètres!$A$1:$I$89,5,0)</f>
        <v>4.6111381379887462E-13</v>
      </c>
      <c r="AK186" s="13">
        <f t="shared" si="164"/>
        <v>5.7981965206434308E-12</v>
      </c>
      <c r="AL186" s="20">
        <f t="shared" si="165"/>
        <v>1.0901632165820347E-11</v>
      </c>
      <c r="AM186" s="59">
        <f t="shared" si="113"/>
        <v>293.33333333334423</v>
      </c>
      <c r="AN186" s="59">
        <f ca="1">AVERAGE(OFFSET($AM$3,0,0,'Données projet'!$E$10+1,1))-AVERAGE(OFFSET($H$3,0,0,'Données projet'!$E$10+1,1))</f>
        <v>263.15518481854753</v>
      </c>
      <c r="AO186" s="59">
        <f t="shared" si="144"/>
        <v>210.80755370263819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275.99999999999972</v>
      </c>
      <c r="BE186" s="13">
        <f>BD186*VLOOKUP('Données projet'!$B$11,Paramètres!$A$1:$I$89,3,0)*VLOOKUP('Données projet'!$B$11,Paramètres!$A$1:$I$89,5,0)</f>
        <v>223.8911999999998</v>
      </c>
      <c r="BF186" s="13">
        <f t="shared" si="167"/>
        <v>54.95975389514858</v>
      </c>
      <c r="BG186" s="20">
        <f t="shared" si="168"/>
        <v>485.66541136738346</v>
      </c>
      <c r="BH186" s="59">
        <f t="shared" si="116"/>
        <v>778.99874470071677</v>
      </c>
      <c r="BI186" s="59">
        <f ca="1">AVERAGE(OFFSET($BH$3,0,0,'Données projet'!$E$11+1,1))-AVERAGE(OFFSET($H$3,0,0,'Données projet'!$E$11+1,1))</f>
        <v>203.21935660591021</v>
      </c>
      <c r="BJ186" s="59">
        <f t="shared" si="146"/>
        <v>180.54762778843178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4.8437947486053776E-2</v>
      </c>
      <c r="BQ186" s="21">
        <f>EXP(-LN(2)/25)*BQ185+(1-EXP(-LN(2)/25))/(LN(2)/25)*Calculateur!BL186*Calculateur!BN186*VLOOKUP('Données projet'!$B$11,Paramètres!$A$1:$I$89,3,0)*0.475*44/12</f>
        <v>8.3445217912212405E-2</v>
      </c>
      <c r="BR186" s="21">
        <f>EXP(-LN(2)/2)*BR185+(1-EXP(-LN(2)/2))/(LN(2)/2)*BL186*BO186*VLOOKUP('Données projet'!$B$11,Paramètres!$A$1:$I$89,3,0)*0.475*44/12</f>
        <v>8.4812954788677294E-23</v>
      </c>
      <c r="BS186" s="22">
        <f t="shared" si="169"/>
        <v>0.13188316539826617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-5.6843418860808015E-13</v>
      </c>
      <c r="BZ186" s="13">
        <f>BY186*VLOOKUP('Données projet'!$B$12,Paramètres!$A$1:$I$89,3,0)*VLOOKUP('Données projet'!$B$12,Paramètres!$A$1:$I$89,5,0)</f>
        <v>-6.1186256061773743E-13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211.18501783767226</v>
      </c>
      <c r="CE186" s="59">
        <f t="shared" si="148"/>
        <v>147.98306963466246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-5.6843418860808015E-13</v>
      </c>
      <c r="CU186" s="17">
        <f>CT186*VLOOKUP('Données projet'!$B$13,Paramètres!$A$1:$I$89,3,0)*VLOOKUP('Données projet'!$B$13,Paramètres!$A$1:$I$89,5,0)</f>
        <v>-6.1186256061773743E-13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211.18501783767226</v>
      </c>
      <c r="CZ186" s="59">
        <f t="shared" si="150"/>
        <v>147.98306963466246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0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-1.3596945791505279E-13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182.25704762953387</v>
      </c>
      <c r="T187" s="59">
        <f t="shared" si="142"/>
        <v>265.61788177751134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0.23669639941005816</v>
      </c>
      <c r="AA187" s="21">
        <f>EXP(-LN(2)/25)*AA186+(1-EXP(-LN(2)/25))/(LN(2)/25)*Calculateur!V187*Calculateur!X187*VLOOKUP('Données projet'!$B$9,Paramètres!$A$1:$I$89,3,0)*0.475*44/12</f>
        <v>0.23955657967270721</v>
      </c>
      <c r="AB187" s="21">
        <f>EXP(-LN(2)/2)*AB186+(1-EXP(-LN(2)/2))/(LN(2)/2)*V187*Y187*VLOOKUP('Données projet'!$B$9,Paramètres!$A$1:$I$89,3,0)*0.475*44/12</f>
        <v>1.9520812976587486E-23</v>
      </c>
      <c r="AC187" s="22">
        <f t="shared" si="163"/>
        <v>0.47625297908276537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4.5474735088646412E-13</v>
      </c>
      <c r="AJ187" s="13">
        <f>AI187*VLOOKUP('Données projet'!$B$10,Paramètres!$A$1:$I$89,3,0)*VLOOKUP('Données projet'!$B$10,Paramètres!$A$1:$I$89,5,0)</f>
        <v>4.6111381379887462E-13</v>
      </c>
      <c r="AK187" s="13">
        <f t="shared" si="164"/>
        <v>5.7981965206434308E-12</v>
      </c>
      <c r="AL187" s="20">
        <f t="shared" si="165"/>
        <v>1.0901632165820347E-11</v>
      </c>
      <c r="AM187" s="59">
        <f t="shared" si="113"/>
        <v>293.33333333334423</v>
      </c>
      <c r="AN187" s="59">
        <f ca="1">AVERAGE(OFFSET($AM$3,0,0,'Données projet'!$E$10+1,1))-AVERAGE(OFFSET($H$3,0,0,'Données projet'!$E$10+1,1))</f>
        <v>263.15518481854753</v>
      </c>
      <c r="AO187" s="59">
        <f t="shared" si="144"/>
        <v>210.80755370263819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275.99999999999972</v>
      </c>
      <c r="BE187" s="13">
        <f>BD187*VLOOKUP('Données projet'!$B$11,Paramètres!$A$1:$I$89,3,0)*VLOOKUP('Données projet'!$B$11,Paramètres!$A$1:$I$89,5,0)</f>
        <v>223.8911999999998</v>
      </c>
      <c r="BF187" s="13">
        <f t="shared" si="167"/>
        <v>54.95975389514858</v>
      </c>
      <c r="BG187" s="20">
        <f t="shared" si="168"/>
        <v>485.66541136738346</v>
      </c>
      <c r="BH187" s="59">
        <f t="shared" si="116"/>
        <v>778.99874470071677</v>
      </c>
      <c r="BI187" s="59">
        <f ca="1">AVERAGE(OFFSET($BH$3,0,0,'Données projet'!$E$11+1,1))-AVERAGE(OFFSET($H$3,0,0,'Données projet'!$E$11+1,1))</f>
        <v>203.21935660591021</v>
      </c>
      <c r="BJ187" s="59">
        <f t="shared" si="146"/>
        <v>180.54762778843178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4.748810888008298E-2</v>
      </c>
      <c r="BQ187" s="21">
        <f>EXP(-LN(2)/25)*BQ186+(1-EXP(-LN(2)/25))/(LN(2)/25)*Calculateur!BL187*Calculateur!BN187*VLOOKUP('Données projet'!$B$11,Paramètres!$A$1:$I$89,3,0)*0.475*44/12</f>
        <v>8.1163404040209663E-2</v>
      </c>
      <c r="BR187" s="21">
        <f>EXP(-LN(2)/2)*BR186+(1-EXP(-LN(2)/2))/(LN(2)/2)*BL187*BO187*VLOOKUP('Données projet'!$B$11,Paramètres!$A$1:$I$89,3,0)*0.475*44/12</f>
        <v>5.9971815463541782E-23</v>
      </c>
      <c r="BS187" s="22">
        <f t="shared" si="169"/>
        <v>0.12865151292029264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-5.6843418860808015E-13</v>
      </c>
      <c r="BZ187" s="13">
        <f>BY187*VLOOKUP('Données projet'!$B$12,Paramètres!$A$1:$I$89,3,0)*VLOOKUP('Données projet'!$B$12,Paramètres!$A$1:$I$89,5,0)</f>
        <v>-6.1186256061773743E-13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211.18501783767226</v>
      </c>
      <c r="CE187" s="59">
        <f t="shared" si="148"/>
        <v>147.98306963466246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-5.6843418860808015E-13</v>
      </c>
      <c r="CU187" s="17">
        <f>CT187*VLOOKUP('Données projet'!$B$13,Paramètres!$A$1:$I$89,3,0)*VLOOKUP('Données projet'!$B$13,Paramètres!$A$1:$I$89,5,0)</f>
        <v>-6.1186256061773743E-13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211.18501783767226</v>
      </c>
      <c r="CZ187" s="59">
        <f t="shared" si="150"/>
        <v>147.98306963466246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0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-1.3596945791505279E-13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182.25704762953387</v>
      </c>
      <c r="T188" s="59">
        <f t="shared" si="142"/>
        <v>265.61788177751134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0.23205492738817515</v>
      </c>
      <c r="AA188" s="21">
        <f>EXP(-LN(2)/25)*AA187+(1-EXP(-LN(2)/25))/(LN(2)/25)*Calculateur!V188*Calculateur!X188*VLOOKUP('Données projet'!$B$9,Paramètres!$A$1:$I$89,3,0)*0.475*44/12</f>
        <v>0.23300589240382402</v>
      </c>
      <c r="AB188" s="21">
        <f>EXP(-LN(2)/2)*AB187+(1-EXP(-LN(2)/2))/(LN(2)/2)*V188*Y188*VLOOKUP('Données projet'!$B$9,Paramètres!$A$1:$I$89,3,0)*0.475*44/12</f>
        <v>1.3803299230019365E-23</v>
      </c>
      <c r="AC188" s="22">
        <f t="shared" si="163"/>
        <v>0.4650608197919992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4.5474735088646412E-13</v>
      </c>
      <c r="AJ188" s="13">
        <f>AI188*VLOOKUP('Données projet'!$B$10,Paramètres!$A$1:$I$89,3,0)*VLOOKUP('Données projet'!$B$10,Paramètres!$A$1:$I$89,5,0)</f>
        <v>4.6111381379887462E-13</v>
      </c>
      <c r="AK188" s="13">
        <f t="shared" si="164"/>
        <v>5.7981965206434308E-12</v>
      </c>
      <c r="AL188" s="20">
        <f t="shared" si="165"/>
        <v>1.0901632165820347E-11</v>
      </c>
      <c r="AM188" s="59">
        <f t="shared" si="113"/>
        <v>293.33333333334423</v>
      </c>
      <c r="AN188" s="59">
        <f ca="1">AVERAGE(OFFSET($AM$3,0,0,'Données projet'!$E$10+1,1))-AVERAGE(OFFSET($H$3,0,0,'Données projet'!$E$10+1,1))</f>
        <v>263.15518481854753</v>
      </c>
      <c r="AO188" s="59">
        <f t="shared" si="144"/>
        <v>210.80755370263819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275.99999999999972</v>
      </c>
      <c r="BE188" s="13">
        <f>BD188*VLOOKUP('Données projet'!$B$11,Paramètres!$A$1:$I$89,3,0)*VLOOKUP('Données projet'!$B$11,Paramètres!$A$1:$I$89,5,0)</f>
        <v>223.8911999999998</v>
      </c>
      <c r="BF188" s="13">
        <f t="shared" si="167"/>
        <v>54.95975389514858</v>
      </c>
      <c r="BG188" s="20">
        <f t="shared" si="168"/>
        <v>485.66541136738346</v>
      </c>
      <c r="BH188" s="59">
        <f t="shared" si="116"/>
        <v>778.99874470071677</v>
      </c>
      <c r="BI188" s="59">
        <f ca="1">AVERAGE(OFFSET($BH$3,0,0,'Données projet'!$E$11+1,1))-AVERAGE(OFFSET($H$3,0,0,'Données projet'!$E$11+1,1))</f>
        <v>203.21935660591021</v>
      </c>
      <c r="BJ188" s="59">
        <f t="shared" si="146"/>
        <v>180.54762778843178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4.6556896029830923E-2</v>
      </c>
      <c r="BQ188" s="21">
        <f>EXP(-LN(2)/25)*BQ187+(1-EXP(-LN(2)/25))/(LN(2)/25)*Calculateur!BL188*Calculateur!BN188*VLOOKUP('Données projet'!$B$11,Paramètres!$A$1:$I$89,3,0)*0.475*44/12</f>
        <v>7.8943986488532208E-2</v>
      </c>
      <c r="BR188" s="21">
        <f>EXP(-LN(2)/2)*BR187+(1-EXP(-LN(2)/2))/(LN(2)/2)*BL188*BO188*VLOOKUP('Données projet'!$B$11,Paramètres!$A$1:$I$89,3,0)*0.475*44/12</f>
        <v>4.2406477394338647E-23</v>
      </c>
      <c r="BS188" s="22">
        <f t="shared" si="169"/>
        <v>0.12550088251836314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-5.6843418860808015E-13</v>
      </c>
      <c r="BZ188" s="13">
        <f>BY188*VLOOKUP('Données projet'!$B$12,Paramètres!$A$1:$I$89,3,0)*VLOOKUP('Données projet'!$B$12,Paramètres!$A$1:$I$89,5,0)</f>
        <v>-6.1186256061773743E-13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211.18501783767226</v>
      </c>
      <c r="CE188" s="59">
        <f t="shared" si="148"/>
        <v>147.98306963466246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-5.6843418860808015E-13</v>
      </c>
      <c r="CU188" s="17">
        <f>CT188*VLOOKUP('Données projet'!$B$13,Paramètres!$A$1:$I$89,3,0)*VLOOKUP('Données projet'!$B$13,Paramètres!$A$1:$I$89,5,0)</f>
        <v>-6.1186256061773743E-13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211.18501783767226</v>
      </c>
      <c r="CZ188" s="59">
        <f t="shared" si="150"/>
        <v>147.98306963466246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0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-1.3596945791505279E-13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182.25704762953387</v>
      </c>
      <c r="T189" s="59">
        <f t="shared" si="142"/>
        <v>265.61788177751134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0.22750447180162287</v>
      </c>
      <c r="AA189" s="21">
        <f>EXP(-LN(2)/25)*AA188+(1-EXP(-LN(2)/25))/(LN(2)/25)*Calculateur!V189*Calculateur!X189*VLOOKUP('Données projet'!$B$9,Paramètres!$A$1:$I$89,3,0)*0.475*44/12</f>
        <v>0.22663433402279412</v>
      </c>
      <c r="AB189" s="21">
        <f>EXP(-LN(2)/2)*AB188+(1-EXP(-LN(2)/2))/(LN(2)/2)*V189*Y189*VLOOKUP('Données projet'!$B$9,Paramètres!$A$1:$I$89,3,0)*0.475*44/12</f>
        <v>9.7604064882937432E-24</v>
      </c>
      <c r="AC189" s="22">
        <f t="shared" si="163"/>
        <v>0.45413880582441701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4.5474735088646412E-13</v>
      </c>
      <c r="AJ189" s="13">
        <f>AI189*VLOOKUP('Données projet'!$B$10,Paramètres!$A$1:$I$89,3,0)*VLOOKUP('Données projet'!$B$10,Paramètres!$A$1:$I$89,5,0)</f>
        <v>4.6111381379887462E-13</v>
      </c>
      <c r="AK189" s="13">
        <f t="shared" si="164"/>
        <v>5.7981965206434308E-12</v>
      </c>
      <c r="AL189" s="20">
        <f t="shared" si="165"/>
        <v>1.0901632165820347E-11</v>
      </c>
      <c r="AM189" s="59">
        <f t="shared" si="113"/>
        <v>293.33333333334423</v>
      </c>
      <c r="AN189" s="59">
        <f ca="1">AVERAGE(OFFSET($AM$3,0,0,'Données projet'!$E$10+1,1))-AVERAGE(OFFSET($H$3,0,0,'Données projet'!$E$10+1,1))</f>
        <v>263.15518481854753</v>
      </c>
      <c r="AO189" s="59">
        <f t="shared" si="144"/>
        <v>210.80755370263819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275.99999999999972</v>
      </c>
      <c r="BE189" s="13">
        <f>BD189*VLOOKUP('Données projet'!$B$11,Paramètres!$A$1:$I$89,3,0)*VLOOKUP('Données projet'!$B$11,Paramètres!$A$1:$I$89,5,0)</f>
        <v>223.8911999999998</v>
      </c>
      <c r="BF189" s="13">
        <f t="shared" si="167"/>
        <v>54.95975389514858</v>
      </c>
      <c r="BG189" s="20">
        <f t="shared" si="168"/>
        <v>485.66541136738346</v>
      </c>
      <c r="BH189" s="59">
        <f t="shared" si="116"/>
        <v>778.99874470071677</v>
      </c>
      <c r="BI189" s="59">
        <f ca="1">AVERAGE(OFFSET($BH$3,0,0,'Données projet'!$E$11+1,1))-AVERAGE(OFFSET($H$3,0,0,'Données projet'!$E$11+1,1))</f>
        <v>203.21935660591021</v>
      </c>
      <c r="BJ189" s="59">
        <f t="shared" si="146"/>
        <v>180.54762778843178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4.5643943695588558E-2</v>
      </c>
      <c r="BQ189" s="21">
        <f>EXP(-LN(2)/25)*BQ188+(1-EXP(-LN(2)/25))/(LN(2)/25)*Calculateur!BL189*Calculateur!BN189*VLOOKUP('Données projet'!$B$11,Paramètres!$A$1:$I$89,3,0)*0.475*44/12</f>
        <v>7.6785259026519476E-2</v>
      </c>
      <c r="BR189" s="21">
        <f>EXP(-LN(2)/2)*BR188+(1-EXP(-LN(2)/2))/(LN(2)/2)*BL189*BO189*VLOOKUP('Données projet'!$B$11,Paramètres!$A$1:$I$89,3,0)*0.475*44/12</f>
        <v>2.9985907731770891E-23</v>
      </c>
      <c r="BS189" s="22">
        <f t="shared" si="169"/>
        <v>0.12242920272210803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-5.6843418860808015E-13</v>
      </c>
      <c r="BZ189" s="13">
        <f>BY189*VLOOKUP('Données projet'!$B$12,Paramètres!$A$1:$I$89,3,0)*VLOOKUP('Données projet'!$B$12,Paramètres!$A$1:$I$89,5,0)</f>
        <v>-6.1186256061773743E-13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211.18501783767226</v>
      </c>
      <c r="CE189" s="59">
        <f t="shared" si="148"/>
        <v>147.98306963466246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-5.6843418860808015E-13</v>
      </c>
      <c r="CU189" s="17">
        <f>CT189*VLOOKUP('Données projet'!$B$13,Paramètres!$A$1:$I$89,3,0)*VLOOKUP('Données projet'!$B$13,Paramètres!$A$1:$I$89,5,0)</f>
        <v>-6.1186256061773743E-13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211.18501783767226</v>
      </c>
      <c r="CZ189" s="59">
        <f t="shared" si="150"/>
        <v>147.98306963466246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0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-1.3596945791505279E-13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182.25704762953387</v>
      </c>
      <c r="T190" s="59">
        <f t="shared" si="142"/>
        <v>265.61788177751134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0.22304324787361904</v>
      </c>
      <c r="AA190" s="21">
        <f>EXP(-LN(2)/25)*AA189+(1-EXP(-LN(2)/25))/(LN(2)/25)*Calculateur!V190*Calculateur!X190*VLOOKUP('Données projet'!$B$9,Paramètres!$A$1:$I$89,3,0)*0.475*44/12</f>
        <v>0.22043700624075918</v>
      </c>
      <c r="AB190" s="21">
        <f>EXP(-LN(2)/2)*AB189+(1-EXP(-LN(2)/2))/(LN(2)/2)*V190*Y190*VLOOKUP('Données projet'!$B$9,Paramètres!$A$1:$I$89,3,0)*0.475*44/12</f>
        <v>6.9016496150096826E-24</v>
      </c>
      <c r="AC190" s="22">
        <f t="shared" si="163"/>
        <v>0.44348025411437819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4.5474735088646412E-13</v>
      </c>
      <c r="AJ190" s="13">
        <f>AI190*VLOOKUP('Données projet'!$B$10,Paramètres!$A$1:$I$89,3,0)*VLOOKUP('Données projet'!$B$10,Paramètres!$A$1:$I$89,5,0)</f>
        <v>4.6111381379887462E-13</v>
      </c>
      <c r="AK190" s="13">
        <f t="shared" si="164"/>
        <v>5.7981965206434308E-12</v>
      </c>
      <c r="AL190" s="20">
        <f t="shared" si="165"/>
        <v>1.0901632165820347E-11</v>
      </c>
      <c r="AM190" s="59">
        <f t="shared" si="113"/>
        <v>293.33333333334423</v>
      </c>
      <c r="AN190" s="59">
        <f ca="1">AVERAGE(OFFSET($AM$3,0,0,'Données projet'!$E$10+1,1))-AVERAGE(OFFSET($H$3,0,0,'Données projet'!$E$10+1,1))</f>
        <v>263.15518481854753</v>
      </c>
      <c r="AO190" s="59">
        <f t="shared" si="144"/>
        <v>210.80755370263819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275.99999999999972</v>
      </c>
      <c r="BE190" s="13">
        <f>BD190*VLOOKUP('Données projet'!$B$11,Paramètres!$A$1:$I$89,3,0)*VLOOKUP('Données projet'!$B$11,Paramètres!$A$1:$I$89,5,0)</f>
        <v>223.8911999999998</v>
      </c>
      <c r="BF190" s="13">
        <f t="shared" si="167"/>
        <v>54.95975389514858</v>
      </c>
      <c r="BG190" s="20">
        <f t="shared" si="168"/>
        <v>485.66541136738346</v>
      </c>
      <c r="BH190" s="59">
        <f t="shared" si="116"/>
        <v>778.99874470071677</v>
      </c>
      <c r="BI190" s="59">
        <f ca="1">AVERAGE(OFFSET($BH$3,0,0,'Données projet'!$E$11+1,1))-AVERAGE(OFFSET($H$3,0,0,'Données projet'!$E$11+1,1))</f>
        <v>203.21935660591021</v>
      </c>
      <c r="BJ190" s="59">
        <f t="shared" si="146"/>
        <v>180.54762778843178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4.4748893799774744E-2</v>
      </c>
      <c r="BQ190" s="21">
        <f>EXP(-LN(2)/25)*BQ189+(1-EXP(-LN(2)/25))/(LN(2)/25)*Calculateur!BL190*Calculateur!BN190*VLOOKUP('Données projet'!$B$11,Paramètres!$A$1:$I$89,3,0)*0.475*44/12</f>
        <v>7.4685562080478024E-2</v>
      </c>
      <c r="BR190" s="21">
        <f>EXP(-LN(2)/2)*BR189+(1-EXP(-LN(2)/2))/(LN(2)/2)*BL190*BO190*VLOOKUP('Données projet'!$B$11,Paramètres!$A$1:$I$89,3,0)*0.475*44/12</f>
        <v>2.1203238697169324E-23</v>
      </c>
      <c r="BS190" s="22">
        <f t="shared" si="169"/>
        <v>0.11943445588025277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-5.6843418860808015E-13</v>
      </c>
      <c r="BZ190" s="13">
        <f>BY190*VLOOKUP('Données projet'!$B$12,Paramètres!$A$1:$I$89,3,0)*VLOOKUP('Données projet'!$B$12,Paramètres!$A$1:$I$89,5,0)</f>
        <v>-6.1186256061773743E-13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211.18501783767226</v>
      </c>
      <c r="CE190" s="59">
        <f t="shared" si="148"/>
        <v>147.98306963466246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-5.6843418860808015E-13</v>
      </c>
      <c r="CU190" s="17">
        <f>CT190*VLOOKUP('Données projet'!$B$13,Paramètres!$A$1:$I$89,3,0)*VLOOKUP('Données projet'!$B$13,Paramètres!$A$1:$I$89,5,0)</f>
        <v>-6.1186256061773743E-13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211.18501783767226</v>
      </c>
      <c r="CZ190" s="59">
        <f t="shared" si="150"/>
        <v>147.98306963466246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0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-1.3596945791505279E-13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182.25704762953387</v>
      </c>
      <c r="T191" s="59">
        <f t="shared" si="142"/>
        <v>265.61788177751134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0.21866950582576544</v>
      </c>
      <c r="AA191" s="21">
        <f>EXP(-LN(2)/25)*AA190+(1-EXP(-LN(2)/25))/(LN(2)/25)*Calculateur!V191*Calculateur!X191*VLOOKUP('Données projet'!$B$9,Paramètres!$A$1:$I$89,3,0)*0.475*44/12</f>
        <v>0.21440914471282727</v>
      </c>
      <c r="AB191" s="21">
        <f>EXP(-LN(2)/2)*AB190+(1-EXP(-LN(2)/2))/(LN(2)/2)*V191*Y191*VLOOKUP('Données projet'!$B$9,Paramètres!$A$1:$I$89,3,0)*0.475*44/12</f>
        <v>4.8802032441468716E-24</v>
      </c>
      <c r="AC191" s="22">
        <f t="shared" si="163"/>
        <v>0.43307865053859274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4.5474735088646412E-13</v>
      </c>
      <c r="AJ191" s="13">
        <f>AI191*VLOOKUP('Données projet'!$B$10,Paramètres!$A$1:$I$89,3,0)*VLOOKUP('Données projet'!$B$10,Paramètres!$A$1:$I$89,5,0)</f>
        <v>4.6111381379887462E-13</v>
      </c>
      <c r="AK191" s="13">
        <f t="shared" si="164"/>
        <v>5.7981965206434308E-12</v>
      </c>
      <c r="AL191" s="20">
        <f t="shared" si="165"/>
        <v>1.0901632165820347E-11</v>
      </c>
      <c r="AM191" s="59">
        <f t="shared" si="113"/>
        <v>293.33333333334423</v>
      </c>
      <c r="AN191" s="59">
        <f ca="1">AVERAGE(OFFSET($AM$3,0,0,'Données projet'!$E$10+1,1))-AVERAGE(OFFSET($H$3,0,0,'Données projet'!$E$10+1,1))</f>
        <v>263.15518481854753</v>
      </c>
      <c r="AO191" s="59">
        <f t="shared" si="144"/>
        <v>210.80755370263819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275.99999999999972</v>
      </c>
      <c r="BE191" s="13">
        <f>BD191*VLOOKUP('Données projet'!$B$11,Paramètres!$A$1:$I$89,3,0)*VLOOKUP('Données projet'!$B$11,Paramètres!$A$1:$I$89,5,0)</f>
        <v>223.8911999999998</v>
      </c>
      <c r="BF191" s="13">
        <f t="shared" si="167"/>
        <v>54.95975389514858</v>
      </c>
      <c r="BG191" s="20">
        <f t="shared" si="168"/>
        <v>485.66541136738346</v>
      </c>
      <c r="BH191" s="59">
        <f t="shared" si="116"/>
        <v>778.99874470071677</v>
      </c>
      <c r="BI191" s="59">
        <f ca="1">AVERAGE(OFFSET($BH$3,0,0,'Données projet'!$E$11+1,1))-AVERAGE(OFFSET($H$3,0,0,'Données projet'!$E$11+1,1))</f>
        <v>203.21935660591021</v>
      </c>
      <c r="BJ191" s="59">
        <f t="shared" si="146"/>
        <v>180.54762778843178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4.387139528649131E-2</v>
      </c>
      <c r="BQ191" s="21">
        <f>EXP(-LN(2)/25)*BQ190+(1-EXP(-LN(2)/25))/(LN(2)/25)*Calculateur!BL191*Calculateur!BN191*VLOOKUP('Données projet'!$B$11,Paramètres!$A$1:$I$89,3,0)*0.475*44/12</f>
        <v>7.2643281457844336E-2</v>
      </c>
      <c r="BR191" s="21">
        <f>EXP(-LN(2)/2)*BR190+(1-EXP(-LN(2)/2))/(LN(2)/2)*BL191*BO191*VLOOKUP('Données projet'!$B$11,Paramètres!$A$1:$I$89,3,0)*0.475*44/12</f>
        <v>1.4992953865885446E-23</v>
      </c>
      <c r="BS191" s="22">
        <f t="shared" si="169"/>
        <v>0.11651467674433565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-5.6843418860808015E-13</v>
      </c>
      <c r="BZ191" s="13">
        <f>BY191*VLOOKUP('Données projet'!$B$12,Paramètres!$A$1:$I$89,3,0)*VLOOKUP('Données projet'!$B$12,Paramètres!$A$1:$I$89,5,0)</f>
        <v>-6.1186256061773743E-13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211.18501783767226</v>
      </c>
      <c r="CE191" s="59">
        <f t="shared" si="148"/>
        <v>147.98306963466246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-5.6843418860808015E-13</v>
      </c>
      <c r="CU191" s="17">
        <f>CT191*VLOOKUP('Données projet'!$B$13,Paramètres!$A$1:$I$89,3,0)*VLOOKUP('Données projet'!$B$13,Paramètres!$A$1:$I$89,5,0)</f>
        <v>-6.1186256061773743E-13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211.18501783767226</v>
      </c>
      <c r="CZ191" s="59">
        <f t="shared" si="150"/>
        <v>147.98306963466246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0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-1.3596945791505279E-13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182.25704762953387</v>
      </c>
      <c r="T192" s="59">
        <f t="shared" si="142"/>
        <v>265.61788177751134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0.21438153019175102</v>
      </c>
      <c r="AA192" s="21">
        <f>EXP(-LN(2)/25)*AA191+(1-EXP(-LN(2)/25))/(LN(2)/25)*Calculateur!V192*Calculateur!X192*VLOOKUP('Données projet'!$B$9,Paramètres!$A$1:$I$89,3,0)*0.475*44/12</f>
        <v>0.20854611537536813</v>
      </c>
      <c r="AB192" s="21">
        <f>EXP(-LN(2)/2)*AB191+(1-EXP(-LN(2)/2))/(LN(2)/2)*V192*Y192*VLOOKUP('Données projet'!$B$9,Paramètres!$A$1:$I$89,3,0)*0.475*44/12</f>
        <v>3.4508248075048413E-24</v>
      </c>
      <c r="AC192" s="22">
        <f t="shared" si="163"/>
        <v>0.42292764556711915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4.5474735088646412E-13</v>
      </c>
      <c r="AJ192" s="13">
        <f>AI192*VLOOKUP('Données projet'!$B$10,Paramètres!$A$1:$I$89,3,0)*VLOOKUP('Données projet'!$B$10,Paramètres!$A$1:$I$89,5,0)</f>
        <v>4.6111381379887462E-13</v>
      </c>
      <c r="AK192" s="13">
        <f t="shared" si="164"/>
        <v>5.7981965206434308E-12</v>
      </c>
      <c r="AL192" s="20">
        <f t="shared" si="165"/>
        <v>1.0901632165820347E-11</v>
      </c>
      <c r="AM192" s="59">
        <f t="shared" si="113"/>
        <v>293.33333333334423</v>
      </c>
      <c r="AN192" s="59">
        <f ca="1">AVERAGE(OFFSET($AM$3,0,0,'Données projet'!$E$10+1,1))-AVERAGE(OFFSET($H$3,0,0,'Données projet'!$E$10+1,1))</f>
        <v>263.15518481854753</v>
      </c>
      <c r="AO192" s="59">
        <f t="shared" si="144"/>
        <v>210.80755370263819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275.99999999999972</v>
      </c>
      <c r="BE192" s="13">
        <f>BD192*VLOOKUP('Données projet'!$B$11,Paramètres!$A$1:$I$89,3,0)*VLOOKUP('Données projet'!$B$11,Paramètres!$A$1:$I$89,5,0)</f>
        <v>223.8911999999998</v>
      </c>
      <c r="BF192" s="13">
        <f t="shared" si="167"/>
        <v>54.95975389514858</v>
      </c>
      <c r="BG192" s="20">
        <f t="shared" si="168"/>
        <v>485.66541136738346</v>
      </c>
      <c r="BH192" s="59">
        <f t="shared" si="116"/>
        <v>778.99874470071677</v>
      </c>
      <c r="BI192" s="59">
        <f ca="1">AVERAGE(OFFSET($BH$3,0,0,'Données projet'!$E$11+1,1))-AVERAGE(OFFSET($H$3,0,0,'Données projet'!$E$11+1,1))</f>
        <v>203.21935660591021</v>
      </c>
      <c r="BJ192" s="59">
        <f t="shared" si="146"/>
        <v>180.54762778843178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4.3011103983832115E-2</v>
      </c>
      <c r="BQ192" s="21">
        <f>EXP(-LN(2)/25)*BQ191+(1-EXP(-LN(2)/25))/(LN(2)/25)*Calculateur!BL192*Calculateur!BN192*VLOOKUP('Données projet'!$B$11,Paramètres!$A$1:$I$89,3,0)*0.475*44/12</f>
        <v>7.0656847106235446E-2</v>
      </c>
      <c r="BR192" s="21">
        <f>EXP(-LN(2)/2)*BR191+(1-EXP(-LN(2)/2))/(LN(2)/2)*BL192*BO192*VLOOKUP('Données projet'!$B$11,Paramètres!$A$1:$I$89,3,0)*0.475*44/12</f>
        <v>1.0601619348584662E-23</v>
      </c>
      <c r="BS192" s="22">
        <f t="shared" si="169"/>
        <v>0.11366795109006755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-5.6843418860808015E-13</v>
      </c>
      <c r="BZ192" s="13">
        <f>BY192*VLOOKUP('Données projet'!$B$12,Paramètres!$A$1:$I$89,3,0)*VLOOKUP('Données projet'!$B$12,Paramètres!$A$1:$I$89,5,0)</f>
        <v>-6.1186256061773743E-13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211.18501783767226</v>
      </c>
      <c r="CE192" s="59">
        <f t="shared" si="148"/>
        <v>147.98306963466246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-5.6843418860808015E-13</v>
      </c>
      <c r="CU192" s="17">
        <f>CT192*VLOOKUP('Données projet'!$B$13,Paramètres!$A$1:$I$89,3,0)*VLOOKUP('Données projet'!$B$13,Paramètres!$A$1:$I$89,5,0)</f>
        <v>-6.1186256061773743E-13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211.18501783767226</v>
      </c>
      <c r="CZ192" s="59">
        <f t="shared" si="150"/>
        <v>147.98306963466246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0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-1.3596945791505279E-13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182.25704762953387</v>
      </c>
      <c r="T193" s="59">
        <f t="shared" si="142"/>
        <v>265.61788177751134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0.21017763914451273</v>
      </c>
      <c r="AA193" s="21">
        <f>EXP(-LN(2)/25)*AA192+(1-EXP(-LN(2)/25))/(LN(2)/25)*Calculateur!V193*Calculateur!X193*VLOOKUP('Données projet'!$B$9,Paramètres!$A$1:$I$89,3,0)*0.475*44/12</f>
        <v>0.20284341088346511</v>
      </c>
      <c r="AB193" s="21">
        <f>EXP(-LN(2)/2)*AB192+(1-EXP(-LN(2)/2))/(LN(2)/2)*V193*Y193*VLOOKUP('Données projet'!$B$9,Paramètres!$A$1:$I$89,3,0)*0.475*44/12</f>
        <v>2.4401016220734358E-24</v>
      </c>
      <c r="AC193" s="22">
        <f t="shared" si="163"/>
        <v>0.41302105002797784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4.5474735088646412E-13</v>
      </c>
      <c r="AJ193" s="13">
        <f>AI193*VLOOKUP('Données projet'!$B$10,Paramètres!$A$1:$I$89,3,0)*VLOOKUP('Données projet'!$B$10,Paramètres!$A$1:$I$89,5,0)</f>
        <v>4.6111381379887462E-13</v>
      </c>
      <c r="AK193" s="13">
        <f t="shared" si="164"/>
        <v>5.7981965206434308E-12</v>
      </c>
      <c r="AL193" s="20">
        <f t="shared" si="165"/>
        <v>1.0901632165820347E-11</v>
      </c>
      <c r="AM193" s="59">
        <f t="shared" si="113"/>
        <v>293.33333333334423</v>
      </c>
      <c r="AN193" s="59">
        <f ca="1">AVERAGE(OFFSET($AM$3,0,0,'Données projet'!$E$10+1,1))-AVERAGE(OFFSET($H$3,0,0,'Données projet'!$E$10+1,1))</f>
        <v>263.15518481854753</v>
      </c>
      <c r="AO193" s="59">
        <f t="shared" si="144"/>
        <v>210.80755370263819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275.99999999999972</v>
      </c>
      <c r="BE193" s="13">
        <f>BD193*VLOOKUP('Données projet'!$B$11,Paramètres!$A$1:$I$89,3,0)*VLOOKUP('Données projet'!$B$11,Paramètres!$A$1:$I$89,5,0)</f>
        <v>223.8911999999998</v>
      </c>
      <c r="BF193" s="13">
        <f t="shared" si="167"/>
        <v>54.95975389514858</v>
      </c>
      <c r="BG193" s="20">
        <f t="shared" si="168"/>
        <v>485.66541136738346</v>
      </c>
      <c r="BH193" s="59">
        <f t="shared" si="116"/>
        <v>778.99874470071677</v>
      </c>
      <c r="BI193" s="59">
        <f ca="1">AVERAGE(OFFSET($BH$3,0,0,'Données projet'!$E$11+1,1))-AVERAGE(OFFSET($H$3,0,0,'Données projet'!$E$11+1,1))</f>
        <v>203.21935660591021</v>
      </c>
      <c r="BJ193" s="59">
        <f t="shared" si="146"/>
        <v>180.54762778843178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4.2167682468892187E-2</v>
      </c>
      <c r="BQ193" s="21">
        <f>EXP(-LN(2)/25)*BQ192+(1-EXP(-LN(2)/25))/(LN(2)/25)*Calculateur!BL193*Calculateur!BN193*VLOOKUP('Données projet'!$B$11,Paramètres!$A$1:$I$89,3,0)*0.475*44/12</f>
        <v>6.8724731906433342E-2</v>
      </c>
      <c r="BR193" s="21">
        <f>EXP(-LN(2)/2)*BR192+(1-EXP(-LN(2)/2))/(LN(2)/2)*BL193*BO193*VLOOKUP('Données projet'!$B$11,Paramètres!$A$1:$I$89,3,0)*0.475*44/12</f>
        <v>7.4964769329427228E-24</v>
      </c>
      <c r="BS193" s="22">
        <f t="shared" si="169"/>
        <v>0.11089241437532553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-5.6843418860808015E-13</v>
      </c>
      <c r="BZ193" s="13">
        <f>BY193*VLOOKUP('Données projet'!$B$12,Paramètres!$A$1:$I$89,3,0)*VLOOKUP('Données projet'!$B$12,Paramètres!$A$1:$I$89,5,0)</f>
        <v>-6.1186256061773743E-13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211.18501783767226</v>
      </c>
      <c r="CE193" s="59">
        <f t="shared" si="148"/>
        <v>147.98306963466246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-5.6843418860808015E-13</v>
      </c>
      <c r="CU193" s="17">
        <f>CT193*VLOOKUP('Données projet'!$B$13,Paramètres!$A$1:$I$89,3,0)*VLOOKUP('Données projet'!$B$13,Paramètres!$A$1:$I$89,5,0)</f>
        <v>-6.1186256061773743E-13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211.18501783767226</v>
      </c>
      <c r="CZ193" s="59">
        <f t="shared" si="150"/>
        <v>147.98306963466246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0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-1.3596945791505279E-13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182.25704762953387</v>
      </c>
      <c r="T194" s="59">
        <f t="shared" si="142"/>
        <v>265.61788177751134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0.20605618383659044</v>
      </c>
      <c r="AA194" s="21">
        <f>EXP(-LN(2)/25)*AA193+(1-EXP(-LN(2)/25))/(LN(2)/25)*Calculateur!V194*Calculateur!X194*VLOOKUP('Données projet'!$B$9,Paramètres!$A$1:$I$89,3,0)*0.475*44/12</f>
        <v>0.19729664714578538</v>
      </c>
      <c r="AB194" s="21">
        <f>EXP(-LN(2)/2)*AB193+(1-EXP(-LN(2)/2))/(LN(2)/2)*V194*Y194*VLOOKUP('Données projet'!$B$9,Paramètres!$A$1:$I$89,3,0)*0.475*44/12</f>
        <v>1.7254124037524207E-24</v>
      </c>
      <c r="AC194" s="22">
        <f t="shared" si="163"/>
        <v>0.40335283098237584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4.5474735088646412E-13</v>
      </c>
      <c r="AJ194" s="13">
        <f>AI194*VLOOKUP('Données projet'!$B$10,Paramètres!$A$1:$I$89,3,0)*VLOOKUP('Données projet'!$B$10,Paramètres!$A$1:$I$89,5,0)</f>
        <v>4.6111381379887462E-13</v>
      </c>
      <c r="AK194" s="13">
        <f t="shared" si="164"/>
        <v>5.7981965206434308E-12</v>
      </c>
      <c r="AL194" s="20">
        <f t="shared" si="165"/>
        <v>1.0901632165820347E-11</v>
      </c>
      <c r="AM194" s="59">
        <f t="shared" si="113"/>
        <v>293.33333333334423</v>
      </c>
      <c r="AN194" s="59">
        <f ca="1">AVERAGE(OFFSET($AM$3,0,0,'Données projet'!$E$10+1,1))-AVERAGE(OFFSET($H$3,0,0,'Données projet'!$E$10+1,1))</f>
        <v>263.15518481854753</v>
      </c>
      <c r="AO194" s="59">
        <f t="shared" si="144"/>
        <v>210.80755370263819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275.99999999999972</v>
      </c>
      <c r="BE194" s="13">
        <f>BD194*VLOOKUP('Données projet'!$B$11,Paramètres!$A$1:$I$89,3,0)*VLOOKUP('Données projet'!$B$11,Paramètres!$A$1:$I$89,5,0)</f>
        <v>223.8911999999998</v>
      </c>
      <c r="BF194" s="13">
        <f t="shared" si="167"/>
        <v>54.95975389514858</v>
      </c>
      <c r="BG194" s="20">
        <f t="shared" si="168"/>
        <v>485.66541136738346</v>
      </c>
      <c r="BH194" s="59">
        <f t="shared" si="116"/>
        <v>778.99874470071677</v>
      </c>
      <c r="BI194" s="59">
        <f ca="1">AVERAGE(OFFSET($BH$3,0,0,'Données projet'!$E$11+1,1))-AVERAGE(OFFSET($H$3,0,0,'Données projet'!$E$11+1,1))</f>
        <v>203.21935660591021</v>
      </c>
      <c r="BJ194" s="59">
        <f t="shared" si="146"/>
        <v>180.54762778843178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4.1340799935423903E-2</v>
      </c>
      <c r="BQ194" s="21">
        <f>EXP(-LN(2)/25)*BQ193+(1-EXP(-LN(2)/25))/(LN(2)/25)*Calculateur!BL194*Calculateur!BN194*VLOOKUP('Données projet'!$B$11,Paramètres!$A$1:$I$89,3,0)*0.475*44/12</f>
        <v>6.6845450498375342E-2</v>
      </c>
      <c r="BR194" s="21">
        <f>EXP(-LN(2)/2)*BR193+(1-EXP(-LN(2)/2))/(LN(2)/2)*BL194*BO194*VLOOKUP('Données projet'!$B$11,Paramètres!$A$1:$I$89,3,0)*0.475*44/12</f>
        <v>5.3008096742923309E-24</v>
      </c>
      <c r="BS194" s="22">
        <f t="shared" si="169"/>
        <v>0.10818625043379924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-5.6843418860808015E-13</v>
      </c>
      <c r="BZ194" s="13">
        <f>BY194*VLOOKUP('Données projet'!$B$12,Paramètres!$A$1:$I$89,3,0)*VLOOKUP('Données projet'!$B$12,Paramètres!$A$1:$I$89,5,0)</f>
        <v>-6.1186256061773743E-13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211.18501783767226</v>
      </c>
      <c r="CE194" s="59">
        <f t="shared" si="148"/>
        <v>147.98306963466246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-5.6843418860808015E-13</v>
      </c>
      <c r="CU194" s="17">
        <f>CT194*VLOOKUP('Données projet'!$B$13,Paramètres!$A$1:$I$89,3,0)*VLOOKUP('Données projet'!$B$13,Paramètres!$A$1:$I$89,5,0)</f>
        <v>-6.1186256061773743E-13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211.18501783767226</v>
      </c>
      <c r="CZ194" s="59">
        <f t="shared" si="150"/>
        <v>147.98306963466246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0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-1.3596945791505279E-13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182.25704762953387</v>
      </c>
      <c r="T195" s="59">
        <f t="shared" si="142"/>
        <v>265.61788177751134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0.20201554775341699</v>
      </c>
      <c r="AA195" s="21">
        <f>EXP(-LN(2)/25)*AA194+(1-EXP(-LN(2)/25))/(LN(2)/25)*Calculateur!V195*Calculateur!X195*VLOOKUP('Données projet'!$B$9,Paramètres!$A$1:$I$89,3,0)*0.475*44/12</f>
        <v>0.19190155995420413</v>
      </c>
      <c r="AB195" s="21">
        <f>EXP(-LN(2)/2)*AB194+(1-EXP(-LN(2)/2))/(LN(2)/2)*V195*Y195*VLOOKUP('Données projet'!$B$9,Paramètres!$A$1:$I$89,3,0)*0.475*44/12</f>
        <v>1.2200508110367179E-24</v>
      </c>
      <c r="AC195" s="22">
        <f t="shared" si="163"/>
        <v>0.39391710770762112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4.5474735088646412E-13</v>
      </c>
      <c r="AJ195" s="13">
        <f>AI195*VLOOKUP('Données projet'!$B$10,Paramètres!$A$1:$I$89,3,0)*VLOOKUP('Données projet'!$B$10,Paramètres!$A$1:$I$89,5,0)</f>
        <v>4.6111381379887462E-13</v>
      </c>
      <c r="AK195" s="13">
        <f t="shared" si="164"/>
        <v>5.7981965206434308E-12</v>
      </c>
      <c r="AL195" s="20">
        <f t="shared" si="165"/>
        <v>1.0901632165820347E-11</v>
      </c>
      <c r="AM195" s="59">
        <f t="shared" si="113"/>
        <v>293.33333333334423</v>
      </c>
      <c r="AN195" s="59">
        <f ca="1">AVERAGE(OFFSET($AM$3,0,0,'Données projet'!$E$10+1,1))-AVERAGE(OFFSET($H$3,0,0,'Données projet'!$E$10+1,1))</f>
        <v>263.15518481854753</v>
      </c>
      <c r="AO195" s="59">
        <f t="shared" si="144"/>
        <v>210.80755370263819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275.99999999999972</v>
      </c>
      <c r="BE195" s="13">
        <f>BD195*VLOOKUP('Données projet'!$B$11,Paramètres!$A$1:$I$89,3,0)*VLOOKUP('Données projet'!$B$11,Paramètres!$A$1:$I$89,5,0)</f>
        <v>223.8911999999998</v>
      </c>
      <c r="BF195" s="13">
        <f t="shared" si="167"/>
        <v>54.95975389514858</v>
      </c>
      <c r="BG195" s="20">
        <f t="shared" si="168"/>
        <v>485.66541136738346</v>
      </c>
      <c r="BH195" s="59">
        <f t="shared" si="116"/>
        <v>778.99874470071677</v>
      </c>
      <c r="BI195" s="59">
        <f ca="1">AVERAGE(OFFSET($BH$3,0,0,'Données projet'!$E$11+1,1))-AVERAGE(OFFSET($H$3,0,0,'Données projet'!$E$11+1,1))</f>
        <v>203.21935660591021</v>
      </c>
      <c r="BJ195" s="59">
        <f t="shared" si="146"/>
        <v>180.54762778843178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4.0530132064088384E-2</v>
      </c>
      <c r="BQ195" s="21">
        <f>EXP(-LN(2)/25)*BQ194+(1-EXP(-LN(2)/25))/(LN(2)/25)*Calculateur!BL195*Calculateur!BN195*VLOOKUP('Données projet'!$B$11,Paramètres!$A$1:$I$89,3,0)*0.475*44/12</f>
        <v>6.5017558139247797E-2</v>
      </c>
      <c r="BR195" s="21">
        <f>EXP(-LN(2)/2)*BR194+(1-EXP(-LN(2)/2))/(LN(2)/2)*BL195*BO195*VLOOKUP('Données projet'!$B$11,Paramètres!$A$1:$I$89,3,0)*0.475*44/12</f>
        <v>3.7482384664713614E-24</v>
      </c>
      <c r="BS195" s="22">
        <f t="shared" si="169"/>
        <v>0.10554769020333618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-5.6843418860808015E-13</v>
      </c>
      <c r="BZ195" s="13">
        <f>BY195*VLOOKUP('Données projet'!$B$12,Paramètres!$A$1:$I$89,3,0)*VLOOKUP('Données projet'!$B$12,Paramètres!$A$1:$I$89,5,0)</f>
        <v>-6.1186256061773743E-13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211.18501783767226</v>
      </c>
      <c r="CE195" s="59">
        <f t="shared" si="148"/>
        <v>147.98306963466246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-5.6843418860808015E-13</v>
      </c>
      <c r="CU195" s="17">
        <f>CT195*VLOOKUP('Données projet'!$B$13,Paramètres!$A$1:$I$89,3,0)*VLOOKUP('Données projet'!$B$13,Paramètres!$A$1:$I$89,5,0)</f>
        <v>-6.1186256061773743E-13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211.18501783767226</v>
      </c>
      <c r="CZ195" s="59">
        <f t="shared" si="150"/>
        <v>147.98306963466246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0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-1.3596945791505279E-13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182.25704762953387</v>
      </c>
      <c r="T196" s="59">
        <f t="shared" si="142"/>
        <v>265.61788177751134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0.19805414607928989</v>
      </c>
      <c r="AA196" s="21">
        <f>EXP(-LN(2)/25)*AA195+(1-EXP(-LN(2)/25))/(LN(2)/25)*Calculateur!V196*Calculateur!X196*VLOOKUP('Données projet'!$B$9,Paramètres!$A$1:$I$89,3,0)*0.475*44/12</f>
        <v>0.18665400170559199</v>
      </c>
      <c r="AB196" s="21">
        <f>EXP(-LN(2)/2)*AB195+(1-EXP(-LN(2)/2))/(LN(2)/2)*V196*Y196*VLOOKUP('Données projet'!$B$9,Paramètres!$A$1:$I$89,3,0)*0.475*44/12</f>
        <v>8.6270620187621033E-25</v>
      </c>
      <c r="AC196" s="22">
        <f t="shared" si="163"/>
        <v>0.38470814778488188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4.5474735088646412E-13</v>
      </c>
      <c r="AJ196" s="13">
        <f>AI196*VLOOKUP('Données projet'!$B$10,Paramètres!$A$1:$I$89,3,0)*VLOOKUP('Données projet'!$B$10,Paramètres!$A$1:$I$89,5,0)</f>
        <v>4.6111381379887462E-13</v>
      </c>
      <c r="AK196" s="13">
        <f t="shared" si="164"/>
        <v>5.7981965206434308E-12</v>
      </c>
      <c r="AL196" s="20">
        <f t="shared" si="165"/>
        <v>1.0901632165820347E-11</v>
      </c>
      <c r="AM196" s="59">
        <f t="shared" ref="AM196:AM203" si="193">AL196+(AD196+AE196)*44/12</f>
        <v>293.33333333334423</v>
      </c>
      <c r="AN196" s="59">
        <f ca="1">AVERAGE(OFFSET($AM$3,0,0,'Données projet'!$E$10+1,1))-AVERAGE(OFFSET($H$3,0,0,'Données projet'!$E$10+1,1))</f>
        <v>263.15518481854753</v>
      </c>
      <c r="AO196" s="59">
        <f t="shared" si="144"/>
        <v>210.80755370263819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275.99999999999972</v>
      </c>
      <c r="BE196" s="13">
        <f>BD196*VLOOKUP('Données projet'!$B$11,Paramètres!$A$1:$I$89,3,0)*VLOOKUP('Données projet'!$B$11,Paramètres!$A$1:$I$89,5,0)</f>
        <v>223.8911999999998</v>
      </c>
      <c r="BF196" s="13">
        <f t="shared" si="167"/>
        <v>54.95975389514858</v>
      </c>
      <c r="BG196" s="20">
        <f t="shared" si="168"/>
        <v>485.66541136738346</v>
      </c>
      <c r="BH196" s="59">
        <f t="shared" ref="BH196:BH203" si="194">BG196+(AY196+AZ196)*44/12</f>
        <v>778.99874470071677</v>
      </c>
      <c r="BI196" s="59">
        <f ca="1">AVERAGE(OFFSET($BH$3,0,0,'Données projet'!$E$11+1,1))-AVERAGE(OFFSET($H$3,0,0,'Données projet'!$E$11+1,1))</f>
        <v>203.21935660591021</v>
      </c>
      <c r="BJ196" s="59">
        <f t="shared" si="146"/>
        <v>180.54762778843178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3.9735360895251183E-2</v>
      </c>
      <c r="BQ196" s="21">
        <f>EXP(-LN(2)/25)*BQ195+(1-EXP(-LN(2)/25))/(LN(2)/25)*Calculateur!BL196*Calculateur!BN196*VLOOKUP('Données projet'!$B$11,Paramètres!$A$1:$I$89,3,0)*0.475*44/12</f>
        <v>6.3239649592805286E-2</v>
      </c>
      <c r="BR196" s="21">
        <f>EXP(-LN(2)/2)*BR195+(1-EXP(-LN(2)/2))/(LN(2)/2)*BL196*BO196*VLOOKUP('Données projet'!$B$11,Paramètres!$A$1:$I$89,3,0)*0.475*44/12</f>
        <v>2.6504048371461654E-24</v>
      </c>
      <c r="BS196" s="22">
        <f t="shared" si="169"/>
        <v>0.10297501048805646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-5.6843418860808015E-13</v>
      </c>
      <c r="BZ196" s="13">
        <f>BY196*VLOOKUP('Données projet'!$B$12,Paramètres!$A$1:$I$89,3,0)*VLOOKUP('Données projet'!$B$12,Paramètres!$A$1:$I$89,5,0)</f>
        <v>-6.1186256061773743E-13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211.18501783767226</v>
      </c>
      <c r="CE196" s="59">
        <f t="shared" si="148"/>
        <v>147.98306963466246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-5.6843418860808015E-13</v>
      </c>
      <c r="CU196" s="17">
        <f>CT196*VLOOKUP('Données projet'!$B$13,Paramètres!$A$1:$I$89,3,0)*VLOOKUP('Données projet'!$B$13,Paramètres!$A$1:$I$89,5,0)</f>
        <v>-6.1186256061773743E-13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211.18501783767226</v>
      </c>
      <c r="CZ196" s="59">
        <f t="shared" si="150"/>
        <v>147.98306963466246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0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-1.3596945791505279E-13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182.25704762953387</v>
      </c>
      <c r="T197" s="59">
        <f t="shared" ref="T197:T203" si="204">$T$3</f>
        <v>265.61788177751134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0.194170425075776</v>
      </c>
      <c r="AA197" s="21">
        <f>EXP(-LN(2)/25)*AA196+(1-EXP(-LN(2)/25))/(LN(2)/25)*Calculateur!V197*Calculateur!X197*VLOOKUP('Données projet'!$B$9,Paramètres!$A$1:$I$89,3,0)*0.475*44/12</f>
        <v>0.18154993821324522</v>
      </c>
      <c r="AB197" s="21">
        <f>EXP(-LN(2)/2)*AB196+(1-EXP(-LN(2)/2))/(LN(2)/2)*V197*Y197*VLOOKUP('Données projet'!$B$9,Paramètres!$A$1:$I$89,3,0)*0.475*44/12</f>
        <v>6.1002540551835895E-25</v>
      </c>
      <c r="AC197" s="22">
        <f t="shared" si="163"/>
        <v>0.37572036328902125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4.5474735088646412E-13</v>
      </c>
      <c r="AJ197" s="13">
        <f>AI197*VLOOKUP('Données projet'!$B$10,Paramètres!$A$1:$I$89,3,0)*VLOOKUP('Données projet'!$B$10,Paramètres!$A$1:$I$89,5,0)</f>
        <v>4.6111381379887462E-13</v>
      </c>
      <c r="AK197" s="13">
        <f t="shared" si="164"/>
        <v>5.7981965206434308E-12</v>
      </c>
      <c r="AL197" s="20">
        <f t="shared" si="165"/>
        <v>1.0901632165820347E-11</v>
      </c>
      <c r="AM197" s="59">
        <f t="shared" si="193"/>
        <v>293.33333333334423</v>
      </c>
      <c r="AN197" s="59">
        <f ca="1">AVERAGE(OFFSET($AM$3,0,0,'Données projet'!$E$10+1,1))-AVERAGE(OFFSET($H$3,0,0,'Données projet'!$E$10+1,1))</f>
        <v>263.15518481854753</v>
      </c>
      <c r="AO197" s="59">
        <f t="shared" ref="AO197:AO203" si="205">$AO$3</f>
        <v>210.80755370263819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275.99999999999972</v>
      </c>
      <c r="BE197" s="13">
        <f>BD197*VLOOKUP('Données projet'!$B$11,Paramètres!$A$1:$I$89,3,0)*VLOOKUP('Données projet'!$B$11,Paramètres!$A$1:$I$89,5,0)</f>
        <v>223.8911999999998</v>
      </c>
      <c r="BF197" s="13">
        <f t="shared" si="167"/>
        <v>54.95975389514858</v>
      </c>
      <c r="BG197" s="20">
        <f t="shared" si="168"/>
        <v>485.66541136738346</v>
      </c>
      <c r="BH197" s="59">
        <f t="shared" si="194"/>
        <v>778.99874470071677</v>
      </c>
      <c r="BI197" s="59">
        <f ca="1">AVERAGE(OFFSET($BH$3,0,0,'Données projet'!$E$11+1,1))-AVERAGE(OFFSET($H$3,0,0,'Données projet'!$E$11+1,1))</f>
        <v>203.21935660591021</v>
      </c>
      <c r="BJ197" s="59">
        <f t="shared" ref="BJ197:BJ203" si="206">$BJ$3</f>
        <v>180.54762778843178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3.8956174704272331E-2</v>
      </c>
      <c r="BQ197" s="21">
        <f>EXP(-LN(2)/25)*BQ196+(1-EXP(-LN(2)/25))/(LN(2)/25)*Calculateur!BL197*Calculateur!BN197*VLOOKUP('Données projet'!$B$11,Paramètres!$A$1:$I$89,3,0)*0.475*44/12</f>
        <v>6.1510358049061388E-2</v>
      </c>
      <c r="BR197" s="21">
        <f>EXP(-LN(2)/2)*BR196+(1-EXP(-LN(2)/2))/(LN(2)/2)*BL197*BO197*VLOOKUP('Données projet'!$B$11,Paramètres!$A$1:$I$89,3,0)*0.475*44/12</f>
        <v>1.8741192332356807E-24</v>
      </c>
      <c r="BS197" s="22">
        <f t="shared" si="169"/>
        <v>0.10046653275333373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-5.6843418860808015E-13</v>
      </c>
      <c r="BZ197" s="13">
        <f>BY197*VLOOKUP('Données projet'!$B$12,Paramètres!$A$1:$I$89,3,0)*VLOOKUP('Données projet'!$B$12,Paramètres!$A$1:$I$89,5,0)</f>
        <v>-6.1186256061773743E-13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211.18501783767226</v>
      </c>
      <c r="CE197" s="59">
        <f t="shared" ref="CE197:CE203" si="207">$CE$3</f>
        <v>147.98306963466246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-5.6843418860808015E-13</v>
      </c>
      <c r="CU197" s="17">
        <f>CT197*VLOOKUP('Données projet'!$B$13,Paramètres!$A$1:$I$89,3,0)*VLOOKUP('Données projet'!$B$13,Paramètres!$A$1:$I$89,5,0)</f>
        <v>-6.1186256061773743E-13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211.18501783767226</v>
      </c>
      <c r="CZ197" s="59">
        <f t="shared" ref="CZ197:CZ203" si="208">$CZ$3</f>
        <v>147.98306963466246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0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-1.3596945791505279E-13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182.25704762953387</v>
      </c>
      <c r="T198" s="59">
        <f t="shared" si="204"/>
        <v>265.61788177751134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0.19036286147230511</v>
      </c>
      <c r="AA198" s="21">
        <f>EXP(-LN(2)/25)*AA197+(1-EXP(-LN(2)/25))/(LN(2)/25)*Calculateur!V198*Calculateur!X198*VLOOKUP('Données projet'!$B$9,Paramètres!$A$1:$I$89,3,0)*0.475*44/12</f>
        <v>0.17658544560550771</v>
      </c>
      <c r="AB198" s="21">
        <f>EXP(-LN(2)/2)*AB197+(1-EXP(-LN(2)/2))/(LN(2)/2)*V198*Y198*VLOOKUP('Données projet'!$B$9,Paramètres!$A$1:$I$89,3,0)*0.475*44/12</f>
        <v>4.3135310093810516E-25</v>
      </c>
      <c r="AC198" s="22">
        <f t="shared" si="163"/>
        <v>0.36694830707781279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4.5474735088646412E-13</v>
      </c>
      <c r="AJ198" s="13">
        <f>AI198*VLOOKUP('Données projet'!$B$10,Paramètres!$A$1:$I$89,3,0)*VLOOKUP('Données projet'!$B$10,Paramètres!$A$1:$I$89,5,0)</f>
        <v>4.6111381379887462E-13</v>
      </c>
      <c r="AK198" s="13">
        <f t="shared" si="164"/>
        <v>5.7981965206434308E-12</v>
      </c>
      <c r="AL198" s="20">
        <f t="shared" si="165"/>
        <v>1.0901632165820347E-11</v>
      </c>
      <c r="AM198" s="59">
        <f t="shared" si="193"/>
        <v>293.33333333334423</v>
      </c>
      <c r="AN198" s="59">
        <f ca="1">AVERAGE(OFFSET($AM$3,0,0,'Données projet'!$E$10+1,1))-AVERAGE(OFFSET($H$3,0,0,'Données projet'!$E$10+1,1))</f>
        <v>263.15518481854753</v>
      </c>
      <c r="AO198" s="59">
        <f t="shared" si="205"/>
        <v>210.80755370263819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275.99999999999972</v>
      </c>
      <c r="BE198" s="13">
        <f>BD198*VLOOKUP('Données projet'!$B$11,Paramètres!$A$1:$I$89,3,0)*VLOOKUP('Données projet'!$B$11,Paramètres!$A$1:$I$89,5,0)</f>
        <v>223.8911999999998</v>
      </c>
      <c r="BF198" s="13">
        <f t="shared" si="167"/>
        <v>54.95975389514858</v>
      </c>
      <c r="BG198" s="20">
        <f t="shared" si="168"/>
        <v>485.66541136738346</v>
      </c>
      <c r="BH198" s="59">
        <f t="shared" si="194"/>
        <v>778.99874470071677</v>
      </c>
      <c r="BI198" s="59">
        <f ca="1">AVERAGE(OFFSET($BH$3,0,0,'Données projet'!$E$11+1,1))-AVERAGE(OFFSET($H$3,0,0,'Données projet'!$E$11+1,1))</f>
        <v>203.21935660591021</v>
      </c>
      <c r="BJ198" s="59">
        <f t="shared" si="206"/>
        <v>180.54762778843178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3.8192267879241924E-2</v>
      </c>
      <c r="BQ198" s="21">
        <f>EXP(-LN(2)/25)*BQ197+(1-EXP(-LN(2)/25))/(LN(2)/25)*Calculateur!BL198*Calculateur!BN198*VLOOKUP('Données projet'!$B$11,Paramètres!$A$1:$I$89,3,0)*0.475*44/12</f>
        <v>5.9828354073520655E-2</v>
      </c>
      <c r="BR198" s="21">
        <f>EXP(-LN(2)/2)*BR197+(1-EXP(-LN(2)/2))/(LN(2)/2)*BL198*BO198*VLOOKUP('Données projet'!$B$11,Paramètres!$A$1:$I$89,3,0)*0.475*44/12</f>
        <v>1.3252024185730827E-24</v>
      </c>
      <c r="BS198" s="22">
        <f t="shared" si="169"/>
        <v>9.8020621952762579E-2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-5.6843418860808015E-13</v>
      </c>
      <c r="BZ198" s="13">
        <f>BY198*VLOOKUP('Données projet'!$B$12,Paramètres!$A$1:$I$89,3,0)*VLOOKUP('Données projet'!$B$12,Paramètres!$A$1:$I$89,5,0)</f>
        <v>-6.1186256061773743E-13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211.18501783767226</v>
      </c>
      <c r="CE198" s="59">
        <f t="shared" si="207"/>
        <v>147.98306963466246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-5.6843418860808015E-13</v>
      </c>
      <c r="CU198" s="17">
        <f>CT198*VLOOKUP('Données projet'!$B$13,Paramètres!$A$1:$I$89,3,0)*VLOOKUP('Données projet'!$B$13,Paramètres!$A$1:$I$89,5,0)</f>
        <v>-6.1186256061773743E-13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211.18501783767226</v>
      </c>
      <c r="CZ198" s="59">
        <f t="shared" si="208"/>
        <v>147.98306963466246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0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-1.3596945791505279E-13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182.25704762953387</v>
      </c>
      <c r="T199" s="59">
        <f t="shared" si="204"/>
        <v>265.61788177751134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0.18662996186871381</v>
      </c>
      <c r="AA199" s="21">
        <f>EXP(-LN(2)/25)*AA198+(1-EXP(-LN(2)/25))/(LN(2)/25)*Calculateur!V199*Calculateur!X199*VLOOKUP('Données projet'!$B$9,Paramètres!$A$1:$I$89,3,0)*0.475*44/12</f>
        <v>0.17175670730920012</v>
      </c>
      <c r="AB199" s="21">
        <f>EXP(-LN(2)/2)*AB198+(1-EXP(-LN(2)/2))/(LN(2)/2)*V199*Y199*VLOOKUP('Données projet'!$B$9,Paramètres!$A$1:$I$89,3,0)*0.475*44/12</f>
        <v>3.0501270275917948E-25</v>
      </c>
      <c r="AC199" s="22">
        <f t="shared" si="163"/>
        <v>0.35838666917791395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4.5474735088646412E-13</v>
      </c>
      <c r="AJ199" s="13">
        <f>AI199*VLOOKUP('Données projet'!$B$10,Paramètres!$A$1:$I$89,3,0)*VLOOKUP('Données projet'!$B$10,Paramètres!$A$1:$I$89,5,0)</f>
        <v>4.6111381379887462E-13</v>
      </c>
      <c r="AK199" s="13">
        <f t="shared" si="164"/>
        <v>5.7981965206434308E-12</v>
      </c>
      <c r="AL199" s="20">
        <f t="shared" si="165"/>
        <v>1.0901632165820347E-11</v>
      </c>
      <c r="AM199" s="59">
        <f t="shared" si="193"/>
        <v>293.33333333334423</v>
      </c>
      <c r="AN199" s="59">
        <f ca="1">AVERAGE(OFFSET($AM$3,0,0,'Données projet'!$E$10+1,1))-AVERAGE(OFFSET($H$3,0,0,'Données projet'!$E$10+1,1))</f>
        <v>263.15518481854753</v>
      </c>
      <c r="AO199" s="59">
        <f t="shared" si="205"/>
        <v>210.80755370263819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275.99999999999972</v>
      </c>
      <c r="BE199" s="13">
        <f>BD199*VLOOKUP('Données projet'!$B$11,Paramètres!$A$1:$I$89,3,0)*VLOOKUP('Données projet'!$B$11,Paramètres!$A$1:$I$89,5,0)</f>
        <v>223.8911999999998</v>
      </c>
      <c r="BF199" s="13">
        <f t="shared" si="167"/>
        <v>54.95975389514858</v>
      </c>
      <c r="BG199" s="20">
        <f t="shared" si="168"/>
        <v>485.66541136738346</v>
      </c>
      <c r="BH199" s="59">
        <f t="shared" si="194"/>
        <v>778.99874470071677</v>
      </c>
      <c r="BI199" s="59">
        <f ca="1">AVERAGE(OFFSET($BH$3,0,0,'Données projet'!$E$11+1,1))-AVERAGE(OFFSET($H$3,0,0,'Données projet'!$E$11+1,1))</f>
        <v>203.21935660591021</v>
      </c>
      <c r="BJ199" s="59">
        <f t="shared" si="206"/>
        <v>180.54762778843178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3.7443340801113209E-2</v>
      </c>
      <c r="BQ199" s="21">
        <f>EXP(-LN(2)/25)*BQ198+(1-EXP(-LN(2)/25))/(LN(2)/25)*Calculateur!BL199*Calculateur!BN199*VLOOKUP('Données projet'!$B$11,Paramètres!$A$1:$I$89,3,0)*0.475*44/12</f>
        <v>5.8192344585143829E-2</v>
      </c>
      <c r="BR199" s="21">
        <f>EXP(-LN(2)/2)*BR198+(1-EXP(-LN(2)/2))/(LN(2)/2)*BL199*BO199*VLOOKUP('Données projet'!$B$11,Paramètres!$A$1:$I$89,3,0)*0.475*44/12</f>
        <v>9.3705961661784035E-25</v>
      </c>
      <c r="BS199" s="22">
        <f t="shared" si="169"/>
        <v>9.5635685386257038E-2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-5.6843418860808015E-13</v>
      </c>
      <c r="BZ199" s="13">
        <f>BY199*VLOOKUP('Données projet'!$B$12,Paramètres!$A$1:$I$89,3,0)*VLOOKUP('Données projet'!$B$12,Paramètres!$A$1:$I$89,5,0)</f>
        <v>-6.1186256061773743E-13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211.18501783767226</v>
      </c>
      <c r="CE199" s="59">
        <f t="shared" si="207"/>
        <v>147.98306963466246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-5.6843418860808015E-13</v>
      </c>
      <c r="CU199" s="17">
        <f>CT199*VLOOKUP('Données projet'!$B$13,Paramètres!$A$1:$I$89,3,0)*VLOOKUP('Données projet'!$B$13,Paramètres!$A$1:$I$89,5,0)</f>
        <v>-6.1186256061773743E-13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211.18501783767226</v>
      </c>
      <c r="CZ199" s="59">
        <f t="shared" si="208"/>
        <v>147.98306963466246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0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-1.3596945791505279E-13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182.25704762953387</v>
      </c>
      <c r="T200" s="59">
        <f t="shared" si="204"/>
        <v>265.61788177751134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0.18297026214950499</v>
      </c>
      <c r="AA200" s="21">
        <f>EXP(-LN(2)/25)*AA199+(1-EXP(-LN(2)/25))/(LN(2)/25)*Calculateur!V200*Calculateur!X200*VLOOKUP('Données projet'!$B$9,Paramètres!$A$1:$I$89,3,0)*0.475*44/12</f>
        <v>0.16706001111553737</v>
      </c>
      <c r="AB200" s="21">
        <f>EXP(-LN(2)/2)*AB199+(1-EXP(-LN(2)/2))/(LN(2)/2)*V200*Y200*VLOOKUP('Données projet'!$B$9,Paramètres!$A$1:$I$89,3,0)*0.475*44/12</f>
        <v>2.1567655046905258E-25</v>
      </c>
      <c r="AC200" s="22">
        <f t="shared" si="163"/>
        <v>0.35003027326504232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4.5474735088646412E-13</v>
      </c>
      <c r="AJ200" s="13">
        <f>AI200*VLOOKUP('Données projet'!$B$10,Paramètres!$A$1:$I$89,3,0)*VLOOKUP('Données projet'!$B$10,Paramètres!$A$1:$I$89,5,0)</f>
        <v>4.6111381379887462E-13</v>
      </c>
      <c r="AK200" s="13">
        <f t="shared" si="164"/>
        <v>5.7981965206434308E-12</v>
      </c>
      <c r="AL200" s="20">
        <f t="shared" si="165"/>
        <v>1.0901632165820347E-11</v>
      </c>
      <c r="AM200" s="59">
        <f t="shared" si="193"/>
        <v>293.33333333334423</v>
      </c>
      <c r="AN200" s="59">
        <f ca="1">AVERAGE(OFFSET($AM$3,0,0,'Données projet'!$E$10+1,1))-AVERAGE(OFFSET($H$3,0,0,'Données projet'!$E$10+1,1))</f>
        <v>263.15518481854753</v>
      </c>
      <c r="AO200" s="59">
        <f t="shared" si="205"/>
        <v>210.80755370263819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275.99999999999972</v>
      </c>
      <c r="BE200" s="13">
        <f>BD200*VLOOKUP('Données projet'!$B$11,Paramètres!$A$1:$I$89,3,0)*VLOOKUP('Données projet'!$B$11,Paramètres!$A$1:$I$89,5,0)</f>
        <v>223.8911999999998</v>
      </c>
      <c r="BF200" s="13">
        <f t="shared" si="167"/>
        <v>54.95975389514858</v>
      </c>
      <c r="BG200" s="20">
        <f t="shared" si="168"/>
        <v>485.66541136738346</v>
      </c>
      <c r="BH200" s="59">
        <f t="shared" si="194"/>
        <v>778.99874470071677</v>
      </c>
      <c r="BI200" s="59">
        <f ca="1">AVERAGE(OFFSET($BH$3,0,0,'Données projet'!$E$11+1,1))-AVERAGE(OFFSET($H$3,0,0,'Données projet'!$E$11+1,1))</f>
        <v>203.21935660591021</v>
      </c>
      <c r="BJ200" s="59">
        <f t="shared" si="206"/>
        <v>180.54762778843178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3.6709099726186183E-2</v>
      </c>
      <c r="BQ200" s="21">
        <f>EXP(-LN(2)/25)*BQ199+(1-EXP(-LN(2)/25))/(LN(2)/25)*Calculateur!BL200*Calculateur!BN200*VLOOKUP('Données projet'!$B$11,Paramètres!$A$1:$I$89,3,0)*0.475*44/12</f>
        <v>5.6601071862260668E-2</v>
      </c>
      <c r="BR200" s="21">
        <f>EXP(-LN(2)/2)*BR199+(1-EXP(-LN(2)/2))/(LN(2)/2)*BL200*BO200*VLOOKUP('Données projet'!$B$11,Paramètres!$A$1:$I$89,3,0)*0.475*44/12</f>
        <v>6.6260120928654136E-25</v>
      </c>
      <c r="BS200" s="22">
        <f t="shared" si="169"/>
        <v>9.3310171588446844E-2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-5.6843418860808015E-13</v>
      </c>
      <c r="BZ200" s="13">
        <f>BY200*VLOOKUP('Données projet'!$B$12,Paramètres!$A$1:$I$89,3,0)*VLOOKUP('Données projet'!$B$12,Paramètres!$A$1:$I$89,5,0)</f>
        <v>-6.1186256061773743E-13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211.18501783767226</v>
      </c>
      <c r="CE200" s="59">
        <f t="shared" si="207"/>
        <v>147.98306963466246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-5.6843418860808015E-13</v>
      </c>
      <c r="CU200" s="17">
        <f>CT200*VLOOKUP('Données projet'!$B$13,Paramètres!$A$1:$I$89,3,0)*VLOOKUP('Données projet'!$B$13,Paramètres!$A$1:$I$89,5,0)</f>
        <v>-6.1186256061773743E-13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211.18501783767226</v>
      </c>
      <c r="CZ200" s="59">
        <f t="shared" si="208"/>
        <v>147.98306963466246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0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-1.3596945791505279E-13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182.25704762953387</v>
      </c>
      <c r="T201" s="59">
        <f t="shared" si="204"/>
        <v>265.61788177751134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0.17938232690959344</v>
      </c>
      <c r="AA201" s="21">
        <f>EXP(-LN(2)/25)*AA200+(1-EXP(-LN(2)/25))/(LN(2)/25)*Calculateur!V201*Calculateur!X201*VLOOKUP('Données projet'!$B$9,Paramètres!$A$1:$I$89,3,0)*0.475*44/12</f>
        <v>0.16249174632627883</v>
      </c>
      <c r="AB201" s="21">
        <f>EXP(-LN(2)/2)*AB200+(1-EXP(-LN(2)/2))/(LN(2)/2)*V201*Y201*VLOOKUP('Données projet'!$B$9,Paramètres!$A$1:$I$89,3,0)*0.475*44/12</f>
        <v>1.5250635137958974E-25</v>
      </c>
      <c r="AC201" s="22">
        <f t="shared" si="163"/>
        <v>0.34187407323587227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4.5474735088646412E-13</v>
      </c>
      <c r="AJ201" s="13">
        <f>AI201*VLOOKUP('Données projet'!$B$10,Paramètres!$A$1:$I$89,3,0)*VLOOKUP('Données projet'!$B$10,Paramètres!$A$1:$I$89,5,0)</f>
        <v>4.6111381379887462E-13</v>
      </c>
      <c r="AK201" s="13">
        <f t="shared" si="164"/>
        <v>5.7981965206434308E-12</v>
      </c>
      <c r="AL201" s="20">
        <f t="shared" si="165"/>
        <v>1.0901632165820347E-11</v>
      </c>
      <c r="AM201" s="59">
        <f t="shared" si="193"/>
        <v>293.33333333334423</v>
      </c>
      <c r="AN201" s="59">
        <f ca="1">AVERAGE(OFFSET($AM$3,0,0,'Données projet'!$E$10+1,1))-AVERAGE(OFFSET($H$3,0,0,'Données projet'!$E$10+1,1))</f>
        <v>263.15518481854753</v>
      </c>
      <c r="AO201" s="59">
        <f t="shared" si="205"/>
        <v>210.80755370263819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275.99999999999972</v>
      </c>
      <c r="BE201" s="13">
        <f>BD201*VLOOKUP('Données projet'!$B$11,Paramètres!$A$1:$I$89,3,0)*VLOOKUP('Données projet'!$B$11,Paramètres!$A$1:$I$89,5,0)</f>
        <v>223.8911999999998</v>
      </c>
      <c r="BF201" s="13">
        <f t="shared" si="167"/>
        <v>54.95975389514858</v>
      </c>
      <c r="BG201" s="20">
        <f t="shared" si="168"/>
        <v>485.66541136738346</v>
      </c>
      <c r="BH201" s="59">
        <f t="shared" si="194"/>
        <v>778.99874470071677</v>
      </c>
      <c r="BI201" s="59">
        <f ca="1">AVERAGE(OFFSET($BH$3,0,0,'Données projet'!$E$11+1,1))-AVERAGE(OFFSET($H$3,0,0,'Données projet'!$E$11+1,1))</f>
        <v>203.21935660591021</v>
      </c>
      <c r="BJ201" s="59">
        <f t="shared" si="206"/>
        <v>180.54762778843178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3.5989256670895642E-2</v>
      </c>
      <c r="BQ201" s="21">
        <f>EXP(-LN(2)/25)*BQ200+(1-EXP(-LN(2)/25))/(LN(2)/25)*Calculateur!BL201*Calculateur!BN201*VLOOKUP('Données projet'!$B$11,Paramètres!$A$1:$I$89,3,0)*0.475*44/12</f>
        <v>5.5053312575666147E-2</v>
      </c>
      <c r="BR201" s="21">
        <f>EXP(-LN(2)/2)*BR200+(1-EXP(-LN(2)/2))/(LN(2)/2)*BL201*BO201*VLOOKUP('Données projet'!$B$11,Paramètres!$A$1:$I$89,3,0)*0.475*44/12</f>
        <v>4.6852980830892017E-25</v>
      </c>
      <c r="BS201" s="22">
        <f t="shared" si="169"/>
        <v>9.1042569246561789E-2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-5.6843418860808015E-13</v>
      </c>
      <c r="BZ201" s="13">
        <f>BY201*VLOOKUP('Données projet'!$B$12,Paramètres!$A$1:$I$89,3,0)*VLOOKUP('Données projet'!$B$12,Paramètres!$A$1:$I$89,5,0)</f>
        <v>-6.1186256061773743E-13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211.18501783767226</v>
      </c>
      <c r="CE201" s="59">
        <f t="shared" si="207"/>
        <v>147.98306963466246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-5.6843418860808015E-13</v>
      </c>
      <c r="CU201" s="17">
        <f>CT201*VLOOKUP('Données projet'!$B$13,Paramètres!$A$1:$I$89,3,0)*VLOOKUP('Données projet'!$B$13,Paramètres!$A$1:$I$89,5,0)</f>
        <v>-6.1186256061773743E-13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211.18501783767226</v>
      </c>
      <c r="CZ201" s="59">
        <f t="shared" si="208"/>
        <v>147.98306963466246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0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-1.3596945791505279E-13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182.25704762953387</v>
      </c>
      <c r="T202" s="59">
        <f t="shared" si="204"/>
        <v>265.61788177751134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0.17586474889131215</v>
      </c>
      <c r="AA202" s="21">
        <f>EXP(-LN(2)/25)*AA201+(1-EXP(-LN(2)/25))/(LN(2)/25)*Calculateur!V202*Calculateur!X202*VLOOKUP('Données projet'!$B$9,Paramètres!$A$1:$I$89,3,0)*0.475*44/12</f>
        <v>0.15804840097791717</v>
      </c>
      <c r="AB202" s="21">
        <f>EXP(-LN(2)/2)*AB201+(1-EXP(-LN(2)/2))/(LN(2)/2)*V202*Y202*VLOOKUP('Données projet'!$B$9,Paramètres!$A$1:$I$89,3,0)*0.475*44/12</f>
        <v>1.0783827523452629E-25</v>
      </c>
      <c r="AC202" s="22">
        <f t="shared" si="163"/>
        <v>0.33391314986922932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4.5474735088646412E-13</v>
      </c>
      <c r="AJ202" s="13">
        <f>AI202*VLOOKUP('Données projet'!$B$10,Paramètres!$A$1:$I$89,3,0)*VLOOKUP('Données projet'!$B$10,Paramètres!$A$1:$I$89,5,0)</f>
        <v>4.6111381379887462E-13</v>
      </c>
      <c r="AK202" s="13">
        <f t="shared" si="164"/>
        <v>5.7981965206434308E-12</v>
      </c>
      <c r="AL202" s="20">
        <f t="shared" si="165"/>
        <v>1.0901632165820347E-11</v>
      </c>
      <c r="AM202" s="59">
        <f t="shared" si="193"/>
        <v>293.33333333334423</v>
      </c>
      <c r="AN202" s="59">
        <f ca="1">AVERAGE(OFFSET($AM$3,0,0,'Données projet'!$E$10+1,1))-AVERAGE(OFFSET($H$3,0,0,'Données projet'!$E$10+1,1))</f>
        <v>263.15518481854753</v>
      </c>
      <c r="AO202" s="59">
        <f t="shared" si="205"/>
        <v>210.80755370263819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275.99999999999972</v>
      </c>
      <c r="BE202" s="13">
        <f>BD202*VLOOKUP('Données projet'!$B$11,Paramètres!$A$1:$I$89,3,0)*VLOOKUP('Données projet'!$B$11,Paramètres!$A$1:$I$89,5,0)</f>
        <v>223.8911999999998</v>
      </c>
      <c r="BF202" s="13">
        <f t="shared" si="167"/>
        <v>54.95975389514858</v>
      </c>
      <c r="BG202" s="20">
        <f t="shared" si="168"/>
        <v>485.66541136738346</v>
      </c>
      <c r="BH202" s="59">
        <f t="shared" si="194"/>
        <v>778.99874470071677</v>
      </c>
      <c r="BI202" s="59">
        <f ca="1">AVERAGE(OFFSET($BH$3,0,0,'Données projet'!$E$11+1,1))-AVERAGE(OFFSET($H$3,0,0,'Données projet'!$E$11+1,1))</f>
        <v>203.21935660591021</v>
      </c>
      <c r="BJ202" s="59">
        <f t="shared" si="206"/>
        <v>180.54762778843178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3.5283529298858439E-2</v>
      </c>
      <c r="BQ202" s="21">
        <f>EXP(-LN(2)/25)*BQ201+(1-EXP(-LN(2)/25))/(LN(2)/25)*Calculateur!BL202*Calculateur!BN202*VLOOKUP('Données projet'!$B$11,Paramètres!$A$1:$I$89,3,0)*0.475*44/12</f>
        <v>5.3547876848156671E-2</v>
      </c>
      <c r="BR202" s="21">
        <f>EXP(-LN(2)/2)*BR201+(1-EXP(-LN(2)/2))/(LN(2)/2)*BL202*BO202*VLOOKUP('Données projet'!$B$11,Paramètres!$A$1:$I$89,3,0)*0.475*44/12</f>
        <v>3.3130060464327068E-25</v>
      </c>
      <c r="BS202" s="22">
        <f t="shared" si="169"/>
        <v>8.883140614701511E-2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-5.6843418860808015E-13</v>
      </c>
      <c r="BZ202" s="13">
        <f>BY202*VLOOKUP('Données projet'!$B$12,Paramètres!$A$1:$I$89,3,0)*VLOOKUP('Données projet'!$B$12,Paramètres!$A$1:$I$89,5,0)</f>
        <v>-6.1186256061773743E-13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211.18501783767226</v>
      </c>
      <c r="CE202" s="59">
        <f t="shared" si="207"/>
        <v>147.98306963466246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-5.6843418860808015E-13</v>
      </c>
      <c r="CU202" s="17">
        <f>CT202*VLOOKUP('Données projet'!$B$13,Paramètres!$A$1:$I$89,3,0)*VLOOKUP('Données projet'!$B$13,Paramètres!$A$1:$I$89,5,0)</f>
        <v>-6.1186256061773743E-13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211.18501783767226</v>
      </c>
      <c r="CZ202" s="59">
        <f t="shared" si="208"/>
        <v>147.98306963466246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0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-1.3596945791505279E-13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182.25704762953387</v>
      </c>
      <c r="T203" s="59">
        <f t="shared" si="204"/>
        <v>265.61788177751134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0.17241614843245862</v>
      </c>
      <c r="AA203" s="21">
        <f>EXP(-LN(2)/25)*AA202+(1-EXP(-LN(2)/25))/(LN(2)/25)*Calculateur!V203*Calculateur!X203*VLOOKUP('Données projet'!$B$9,Paramètres!$A$1:$I$89,3,0)*0.475*44/12</f>
        <v>0.15372655914177183</v>
      </c>
      <c r="AB203" s="21">
        <f>EXP(-LN(2)/2)*AB202+(1-EXP(-LN(2)/2))/(LN(2)/2)*V203*Y203*VLOOKUP('Données projet'!$B$9,Paramètres!$A$1:$I$89,3,0)*0.475*44/12</f>
        <v>7.6253175689794869E-26</v>
      </c>
      <c r="AC203" s="22">
        <f t="shared" si="163"/>
        <v>0.32614270757423047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4.5474735088646412E-13</v>
      </c>
      <c r="AJ203" s="13">
        <f>AI203*VLOOKUP('Données projet'!$B$10,Paramètres!$A$1:$I$89,3,0)*VLOOKUP('Données projet'!$B$10,Paramètres!$A$1:$I$89,5,0)</f>
        <v>4.6111381379887462E-13</v>
      </c>
      <c r="AK203" s="13">
        <f t="shared" si="164"/>
        <v>5.7981965206434308E-12</v>
      </c>
      <c r="AL203" s="20">
        <f t="shared" si="165"/>
        <v>1.0901632165820347E-11</v>
      </c>
      <c r="AM203" s="59">
        <f t="shared" si="193"/>
        <v>293.33333333334423</v>
      </c>
      <c r="AN203" s="59">
        <f ca="1">AVERAGE(OFFSET($AM$3,0,0,'Données projet'!$E$10+1,1))-AVERAGE(OFFSET($H$3,0,0,'Données projet'!$E$10+1,1))</f>
        <v>263.15518481854753</v>
      </c>
      <c r="AO203" s="59">
        <f t="shared" si="205"/>
        <v>210.80755370263819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275.99999999999972</v>
      </c>
      <c r="BE203" s="13">
        <f>BD203*VLOOKUP('Données projet'!$B$11,Paramètres!$A$1:$I$89,3,0)*VLOOKUP('Données projet'!$B$11,Paramètres!$A$1:$I$89,5,0)</f>
        <v>223.8911999999998</v>
      </c>
      <c r="BF203" s="13">
        <f t="shared" si="167"/>
        <v>54.95975389514858</v>
      </c>
      <c r="BG203" s="20">
        <f t="shared" si="168"/>
        <v>485.66541136738346</v>
      </c>
      <c r="BH203" s="59">
        <f t="shared" si="194"/>
        <v>778.99874470071677</v>
      </c>
      <c r="BI203" s="59">
        <f ca="1">AVERAGE(OFFSET($BH$3,0,0,'Données projet'!$E$11+1,1))-AVERAGE(OFFSET($H$3,0,0,'Données projet'!$E$11+1,1))</f>
        <v>203.21935660591021</v>
      </c>
      <c r="BJ203" s="59">
        <f t="shared" si="206"/>
        <v>180.54762778843178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3.4591640810135695E-2</v>
      </c>
      <c r="BQ203" s="21">
        <f>EXP(-LN(2)/25)*BQ202+(1-EXP(-LN(2)/25))/(LN(2)/25)*Calculateur!BL203*Calculateur!BN203*VLOOKUP('Données projet'!$B$11,Paramètres!$A$1:$I$89,3,0)*0.475*44/12</f>
        <v>5.2083607339783372E-2</v>
      </c>
      <c r="BR203" s="21">
        <f>EXP(-LN(2)/2)*BR202+(1-EXP(-LN(2)/2))/(LN(2)/2)*BL203*BO203*VLOOKUP('Données projet'!$B$11,Paramètres!$A$1:$I$89,3,0)*0.475*44/12</f>
        <v>2.3426490415446009E-25</v>
      </c>
      <c r="BS203" s="22">
        <f t="shared" si="169"/>
        <v>8.667524814991906E-2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-5.6843418860808015E-13</v>
      </c>
      <c r="BZ203" s="13">
        <f>BY203*VLOOKUP('Données projet'!$B$12,Paramètres!$A$1:$I$89,3,0)*VLOOKUP('Données projet'!$B$12,Paramètres!$A$1:$I$89,5,0)</f>
        <v>-6.1186256061773743E-13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211.18501783767226</v>
      </c>
      <c r="CE203" s="59">
        <f t="shared" si="207"/>
        <v>147.98306963466246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-5.6843418860808015E-13</v>
      </c>
      <c r="CU203" s="17">
        <f>CT203*VLOOKUP('Données projet'!$B$13,Paramètres!$A$1:$I$89,3,0)*VLOOKUP('Données projet'!$B$13,Paramètres!$A$1:$I$89,5,0)</f>
        <v>-6.1186256061773743E-13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211.18501783767226</v>
      </c>
      <c r="CZ203" s="59">
        <f t="shared" si="208"/>
        <v>147.98306963466246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0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1.4338352942213981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1.1736311550444201</v>
      </c>
      <c r="BA205" s="82">
        <f>EXP(LN('Données projet'!B88)/'Données projet'!A88)</f>
        <v>1.2472511258067986</v>
      </c>
      <c r="BV205" s="82">
        <f>EXP(LN('Données projet'!B114)/'Données projet'!A114)</f>
        <v>1.1608269964373037</v>
      </c>
      <c r="CQ205" s="82">
        <f>EXP(LN('Données projet'!B140)/'Données projet'!A140)</f>
        <v>1.1608269964373037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zoomScale="90" zoomScaleNormal="90" workbookViewId="0">
      <selection activeCell="A26" sqref="A2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3.4154199999999997</v>
      </c>
      <c r="C6" s="147">
        <f ca="1">IF(OR('Données projet'!B9="",'Données projet'!C9="",'Données projet'!C9=0%),0,Calculateur!S3)</f>
        <v>182.25704762953387</v>
      </c>
      <c r="D6" s="147">
        <f>IF(OR('Données projet'!B9="",'Données projet'!C9="",'Données projet'!C9=0%),0,Calculateur!T3)</f>
        <v>265.61788177751134</v>
      </c>
      <c r="E6" s="147">
        <f ca="1">MIN(C6,D6)</f>
        <v>182.25704762953387</v>
      </c>
      <c r="F6" s="147">
        <f ca="1">E6*B6</f>
        <v>622.48436561486255</v>
      </c>
      <c r="G6" s="147">
        <f ca="1">F6*(100%-'Données projet'!$C$24)*(100%-'Données projet'!$C$25)*(100%-'Données projet'!$C$26)*(100%-'Données projet'!$C$27)</f>
        <v>504.21233614803873</v>
      </c>
      <c r="H6" s="148">
        <f>IF(OR('Données projet'!B9="",'Données projet'!C9="",'Données projet'!C9=0%),0,AVERAGE(Calculateur!$AC$3:$AC$33)*B6)</f>
        <v>44.532566440955755</v>
      </c>
      <c r="I6" s="149">
        <f>H6*(100%-'Données projet'!$C$24)*(100%-'Données projet'!$C$25)*(100%-'Données projet'!$C$26)*(100%-'Données projet'!$C$27)</f>
        <v>36.071378817174164</v>
      </c>
      <c r="J6" s="150">
        <f>IF(OR('Données projet'!B9="",'Données projet'!C9="",'Données projet'!C9=0%),0,SUM(Calculateur!$V$3:$V$33)*VLOOKUP('Données projet'!$B$9,Paramètres!$A$1:$I$89,9,0)*B6)</f>
        <v>289.72456138307689</v>
      </c>
      <c r="K6" s="151">
        <f>J6*(100%-'Données projet'!$C$24)*(100%-'Données projet'!$C$25)*(100%-'Données projet'!$C$26)*(100%-'Données projet'!$C$27)</f>
        <v>234.6768947202923</v>
      </c>
      <c r="L6" s="152">
        <f ca="1">G6+I6+K6</f>
        <v>774.96060968550523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pubescent</v>
      </c>
      <c r="B7" s="154">
        <f>'Données projet'!D10</f>
        <v>0.32485999999999998</v>
      </c>
      <c r="C7" s="147">
        <f ca="1">IF(OR('Données projet'!B10="",'Données projet'!C10="",'Données projet'!C10=0%),0,Calculateur!AN3)</f>
        <v>263.15518481854753</v>
      </c>
      <c r="D7" s="147">
        <f>IF(OR('Données projet'!B10="",'Données projet'!C10="",'Données projet'!C10=0%),0,Calculateur!AO3)</f>
        <v>210.80755370263819</v>
      </c>
      <c r="E7" s="147">
        <f t="shared" ref="E7:E15" ca="1" si="0">MIN(C7,D7)</f>
        <v>210.80755370263819</v>
      </c>
      <c r="F7" s="147">
        <f t="shared" ref="F7:F15" ca="1" si="1">E7*B7</f>
        <v>68.482941895839033</v>
      </c>
      <c r="G7" s="147">
        <f ca="1">F7*(100%-'Données projet'!$C$24)*(100%-'Données projet'!$C$25)*(100%-'Données projet'!$C$26)*(100%-'Données projet'!$C$27)</f>
        <v>55.471182935629621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55.471182935629621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Bouleau verruqueux</v>
      </c>
      <c r="B8" s="154">
        <f>'Données projet'!D11</f>
        <v>0.32485999999999998</v>
      </c>
      <c r="C8" s="147">
        <f ca="1">IF(OR('Données projet'!B11="",'Données projet'!C11="",'Données projet'!C11=0%),0,Calculateur!BI3)</f>
        <v>203.21935660591021</v>
      </c>
      <c r="D8" s="147">
        <f>IF(OR('Données projet'!B11="",'Données projet'!C11="",'Données projet'!C11=0%),0,Calculateur!BJ3)</f>
        <v>180.54762778843178</v>
      </c>
      <c r="E8" s="147">
        <f t="shared" ca="1" si="0"/>
        <v>180.54762778843178</v>
      </c>
      <c r="F8" s="147">
        <f t="shared" ca="1" si="1"/>
        <v>58.652702363349945</v>
      </c>
      <c r="G8" s="147">
        <f ca="1">F8*(100%-'Données projet'!$C$24)*(100%-'Données projet'!$C$25)*(100%-'Données projet'!$C$26)*(100%-'Données projet'!$C$27)</f>
        <v>47.50868891431346</v>
      </c>
      <c r="H8" s="155">
        <f>IF(OR('Données projet'!B11="",'Données projet'!C11="",'Données projet'!C11=0%),0,AVERAGE(Calculateur!$BS$3:$BS$33)*B8)</f>
        <v>0.44606309386444976</v>
      </c>
      <c r="I8" s="149">
        <f>H8*(100%-'Données projet'!$C$24)*(100%-'Données projet'!$C$25)*(100%-'Données projet'!$C$26)*(100%-'Données projet'!$C$27)</f>
        <v>0.36131110603020433</v>
      </c>
      <c r="J8" s="150">
        <f>IF(OR('Données projet'!B11="",'Données projet'!C11="",'Données projet'!C11=0%),0,SUM(Calculateur!$BL$3:$BL$33)*VLOOKUP('Données projet'!$B$11,Paramètres!$A$1:$I$89,9,0)*B8)</f>
        <v>3.5734599999999999</v>
      </c>
      <c r="K8" s="151">
        <f>J8*(100%-'Données projet'!$C$24)*(100%-'Données projet'!$C$25)*(100%-'Données projet'!$C$26)*(100%-'Données projet'!$C$27)</f>
        <v>2.8945026</v>
      </c>
      <c r="L8" s="152">
        <f t="shared" ca="1" si="2"/>
        <v>50.76450262034367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Cormier</v>
      </c>
      <c r="B9" s="154">
        <f>'Données projet'!D12</f>
        <v>0.16242999999999999</v>
      </c>
      <c r="C9" s="147">
        <f ca="1">IF(OR('Données projet'!B12="",'Données projet'!C12="",'Données projet'!C12=0%),0,Calculateur!CD3)</f>
        <v>211.18501783767226</v>
      </c>
      <c r="D9" s="147">
        <f>IF(OR('Données projet'!B12="",'Données projet'!C12="",'Données projet'!C12=0%),0,Calculateur!CE3)</f>
        <v>147.98306963466246</v>
      </c>
      <c r="E9" s="147">
        <f t="shared" ca="1" si="0"/>
        <v>147.98306963466246</v>
      </c>
      <c r="F9" s="147">
        <f t="shared" ca="1" si="1"/>
        <v>24.03689000075822</v>
      </c>
      <c r="G9" s="147">
        <f ca="1">F9*(100%-'Données projet'!$C$24)*(100%-'Données projet'!$C$25)*(100%-'Données projet'!$C$26)*(100%-'Données projet'!$C$27)</f>
        <v>19.469880900614157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19.469880900614157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Cormier</v>
      </c>
      <c r="B10" s="154">
        <f>'Données projet'!D13</f>
        <v>0.16242999999999999</v>
      </c>
      <c r="C10" s="147">
        <f ca="1">IF(OR('Données projet'!B13="",'Données projet'!C13="",'Données projet'!C13=0%),0,Calculateur!CY3)</f>
        <v>211.18501783767226</v>
      </c>
      <c r="D10" s="147">
        <f>IF(OR('Données projet'!B13="",'Données projet'!C13="",'Données projet'!C13=0%),0,Calculateur!CZ3)</f>
        <v>147.98306963466246</v>
      </c>
      <c r="E10" s="147">
        <f t="shared" ca="1" si="0"/>
        <v>147.98306963466246</v>
      </c>
      <c r="F10" s="147">
        <f t="shared" ca="1" si="1"/>
        <v>24.03689000075822</v>
      </c>
      <c r="G10" s="147">
        <f ca="1">F10*(100%-'Données projet'!$C$24)*(100%-'Données projet'!$C$25)*(100%-'Données projet'!$C$26)*(100%-'Données projet'!$C$27)</f>
        <v>19.469880900614157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19.469880900614157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797.69378987556809</v>
      </c>
      <c r="G16" s="166">
        <f t="shared" ca="1" si="3"/>
        <v>646.13196979921008</v>
      </c>
      <c r="H16" s="167">
        <f t="shared" si="3"/>
        <v>44.978629534820207</v>
      </c>
      <c r="I16" s="167">
        <f t="shared" si="3"/>
        <v>36.432689923204371</v>
      </c>
      <c r="J16" s="168">
        <f t="shared" si="3"/>
        <v>293.2980213830769</v>
      </c>
      <c r="K16" s="168">
        <f t="shared" si="3"/>
        <v>237.57139732029231</v>
      </c>
      <c r="L16" s="169">
        <f t="shared" ca="1" si="3"/>
        <v>920.13605704270685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Bouleau verruqueux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Cormier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Cormier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16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7" zoomScale="80" zoomScaleNormal="80" workbookViewId="0">
      <selection activeCell="I25" sqref="I2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3355.9306377711337</v>
      </c>
      <c r="U10" s="178">
        <f>'Données projet'!D9</f>
        <v>3.4154199999999997</v>
      </c>
      <c r="V10" s="177">
        <f>U10*T10</f>
        <v>11461.912618856284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-5497.4948568803302</v>
      </c>
      <c r="U11" s="178">
        <f>'Données projet'!D10</f>
        <v>0.32485999999999998</v>
      </c>
      <c r="V11" s="177">
        <f t="shared" ref="V11" si="0">U11*T11</f>
        <v>-1785.9161792061441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Bouleau verruqueux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-5767.6031458478319</v>
      </c>
      <c r="U12" s="178">
        <f>'Données projet'!D11</f>
        <v>0.32485999999999998</v>
      </c>
      <c r="V12" s="177">
        <f t="shared" ref="V12:V19" si="1">U12*T12</f>
        <v>-1873.6635579601266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Cormier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-5826.3551777468974</v>
      </c>
      <c r="U13" s="178">
        <f>'Données projet'!D12</f>
        <v>0.16242999999999999</v>
      </c>
      <c r="V13" s="177">
        <f t="shared" si="1"/>
        <v>-946.37487152142853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Cormier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-5826.3551777468974</v>
      </c>
      <c r="U14" s="178">
        <f>'Données projet'!D13</f>
        <v>0.16242999999999999</v>
      </c>
      <c r="V14" s="177">
        <f t="shared" si="1"/>
        <v>-946.37487152142853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30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800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899.99999999999977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v>3300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1400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400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v>1400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-33011.032930580608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14</v>
      </c>
      <c r="B24" s="181">
        <f>'Données projet'!D37</f>
        <v>35.969230769230769</v>
      </c>
      <c r="C24" s="193">
        <v>10</v>
      </c>
      <c r="D24" s="182">
        <f t="shared" ref="D24:D42" si="2">B24*C24</f>
        <v>359.69230769230768</v>
      </c>
      <c r="E24" s="193"/>
      <c r="F24" s="233"/>
      <c r="H24" s="190">
        <v>4</v>
      </c>
      <c r="I24" s="191">
        <v>400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1054.9170612681685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19</v>
      </c>
      <c r="B25" s="181">
        <f>'Données projet'!D38</f>
        <v>54.907692307692301</v>
      </c>
      <c r="C25" s="193">
        <v>10</v>
      </c>
      <c r="D25" s="182">
        <f t="shared" si="2"/>
        <v>549.07692307692298</v>
      </c>
      <c r="E25" s="193"/>
      <c r="F25" s="233"/>
      <c r="H25" s="190">
        <v>5</v>
      </c>
      <c r="I25" s="191">
        <v>1400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-34065.949991848778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25</v>
      </c>
      <c r="B26" s="181">
        <f>'Données projet'!D39</f>
        <v>52.9</v>
      </c>
      <c r="C26" s="193">
        <v>35</v>
      </c>
      <c r="D26" s="182">
        <f t="shared" si="2"/>
        <v>1851.5</v>
      </c>
      <c r="E26" s="193"/>
      <c r="F26" s="233"/>
      <c r="G26" s="229"/>
      <c r="H26" s="190">
        <v>6</v>
      </c>
      <c r="I26" s="191">
        <v>60</v>
      </c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32</v>
      </c>
      <c r="B27" s="181">
        <f>'Données projet'!D40</f>
        <v>63.899999999999991</v>
      </c>
      <c r="C27" s="193">
        <v>35</v>
      </c>
      <c r="D27" s="182">
        <f t="shared" si="2"/>
        <v>2236.4999999999995</v>
      </c>
      <c r="E27" s="193"/>
      <c r="F27" s="233"/>
      <c r="G27" s="229"/>
      <c r="H27" s="190">
        <v>7</v>
      </c>
      <c r="I27" s="191">
        <v>60</v>
      </c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45</v>
      </c>
      <c r="B28" s="181">
        <f>'Données projet'!D41</f>
        <v>412.49230769230769</v>
      </c>
      <c r="C28" s="193">
        <v>45</v>
      </c>
      <c r="D28" s="182">
        <f t="shared" si="2"/>
        <v>18562.153846153848</v>
      </c>
      <c r="E28" s="193"/>
      <c r="F28" s="233"/>
      <c r="G28" s="205"/>
      <c r="H28" s="190">
        <v>8</v>
      </c>
      <c r="I28" s="191">
        <v>60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10</v>
      </c>
      <c r="I30" s="191">
        <v>60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v>60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v>60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v>350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v>60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v>60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v>350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v>60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60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24</v>
      </c>
      <c r="I44" s="191">
        <v>60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>
        <v>25</v>
      </c>
      <c r="I45" s="191">
        <v>350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6000</v>
      </c>
      <c r="F48" s="231"/>
      <c r="G48" s="203"/>
      <c r="H48" s="190"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60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60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v>60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v>350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/>
      <c r="D53" s="197" t="s">
        <v>132</v>
      </c>
      <c r="E53" s="193"/>
      <c r="F53" s="231"/>
      <c r="G53" s="205"/>
      <c r="H53" s="190">
        <v>33</v>
      </c>
      <c r="I53" s="191">
        <v>60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>
        <v>34</v>
      </c>
      <c r="I54" s="191">
        <v>60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35</v>
      </c>
      <c r="B55" s="181">
        <f>'Données projet'!D63</f>
        <v>60.602564102564102</v>
      </c>
      <c r="C55" s="191">
        <v>10</v>
      </c>
      <c r="D55" s="179">
        <f t="shared" ref="D55:D73" si="4">B55*C55</f>
        <v>606.02564102564099</v>
      </c>
      <c r="E55" s="193"/>
      <c r="F55" s="232"/>
      <c r="G55" s="205"/>
      <c r="H55" s="190">
        <v>35</v>
      </c>
      <c r="I55" s="191">
        <v>350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41</v>
      </c>
      <c r="B56" s="181">
        <f>'Données projet'!D64</f>
        <v>38.512820512820511</v>
      </c>
      <c r="C56" s="191">
        <v>15</v>
      </c>
      <c r="D56" s="179">
        <f t="shared" si="4"/>
        <v>577.69230769230762</v>
      </c>
      <c r="E56" s="193"/>
      <c r="F56" s="232"/>
      <c r="G56" s="205"/>
      <c r="H56" s="190">
        <v>36</v>
      </c>
      <c r="I56" s="191">
        <v>60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48</v>
      </c>
      <c r="B57" s="181">
        <f>'Données projet'!D65</f>
        <v>48.025641025641022</v>
      </c>
      <c r="C57" s="191">
        <v>15</v>
      </c>
      <c r="D57" s="179">
        <f t="shared" si="4"/>
        <v>720.38461538461536</v>
      </c>
      <c r="E57" s="193"/>
      <c r="F57" s="232"/>
      <c r="G57" s="205"/>
      <c r="H57" s="190">
        <v>37</v>
      </c>
      <c r="I57" s="191">
        <v>60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55</v>
      </c>
      <c r="B58" s="181">
        <f>'Données projet'!D66</f>
        <v>45.147435897435898</v>
      </c>
      <c r="C58" s="191">
        <v>15</v>
      </c>
      <c r="D58" s="179">
        <f t="shared" si="4"/>
        <v>677.21153846153845</v>
      </c>
      <c r="E58" s="193"/>
      <c r="F58" s="232"/>
      <c r="G58" s="205"/>
      <c r="H58" s="190">
        <v>38</v>
      </c>
      <c r="I58" s="191">
        <v>60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63</v>
      </c>
      <c r="B59" s="181">
        <f>'Données projet'!D67</f>
        <v>41.724358974358978</v>
      </c>
      <c r="C59" s="191">
        <v>25</v>
      </c>
      <c r="D59" s="179">
        <f t="shared" si="4"/>
        <v>1043.1089743589744</v>
      </c>
      <c r="E59" s="193"/>
      <c r="F59" s="232"/>
      <c r="G59" s="205"/>
      <c r="H59" s="190">
        <v>39</v>
      </c>
      <c r="I59" s="191">
        <v>60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71</v>
      </c>
      <c r="B60" s="181">
        <f>'Données projet'!D68</f>
        <v>39.935897435897431</v>
      </c>
      <c r="C60" s="191">
        <v>25</v>
      </c>
      <c r="D60" s="179">
        <f t="shared" si="4"/>
        <v>998.3974358974358</v>
      </c>
      <c r="E60" s="193"/>
      <c r="F60" s="232"/>
      <c r="G60" s="206"/>
      <c r="H60" s="190">
        <v>40</v>
      </c>
      <c r="I60" s="191">
        <v>60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80</v>
      </c>
      <c r="B61" s="181">
        <f>'Données projet'!D69</f>
        <v>45.608974358974358</v>
      </c>
      <c r="C61" s="191">
        <v>25</v>
      </c>
      <c r="D61" s="179">
        <f t="shared" si="4"/>
        <v>1140.2243589743589</v>
      </c>
      <c r="E61" s="193"/>
      <c r="F61" s="232"/>
      <c r="G61" s="206"/>
      <c r="H61" s="190">
        <v>41</v>
      </c>
      <c r="I61" s="191">
        <v>60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89</v>
      </c>
      <c r="B62" s="181">
        <f>'Données projet'!D70</f>
        <v>49.391025641025635</v>
      </c>
      <c r="C62" s="191">
        <v>25</v>
      </c>
      <c r="D62" s="179">
        <f t="shared" si="4"/>
        <v>1234.7756410256409</v>
      </c>
      <c r="E62" s="193"/>
      <c r="F62" s="232"/>
      <c r="G62" s="206"/>
      <c r="H62" s="190">
        <v>42</v>
      </c>
      <c r="I62" s="191">
        <v>60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99</v>
      </c>
      <c r="B63" s="181">
        <f>'Données projet'!D71</f>
        <v>48.019230769230766</v>
      </c>
      <c r="C63" s="191">
        <v>25</v>
      </c>
      <c r="D63" s="179">
        <f t="shared" si="4"/>
        <v>1200.4807692307691</v>
      </c>
      <c r="E63" s="193"/>
      <c r="F63" s="232"/>
      <c r="G63" s="206"/>
      <c r="H63" s="190">
        <v>43</v>
      </c>
      <c r="I63" s="191">
        <v>60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109</v>
      </c>
      <c r="B64" s="181">
        <f>'Données projet'!D72</f>
        <v>51.28846153846154</v>
      </c>
      <c r="C64" s="191">
        <v>25</v>
      </c>
      <c r="D64" s="179">
        <f t="shared" si="4"/>
        <v>1282.2115384615386</v>
      </c>
      <c r="E64" s="193"/>
      <c r="F64" s="232"/>
      <c r="G64" s="206"/>
      <c r="H64" s="190">
        <v>44</v>
      </c>
      <c r="I64" s="191">
        <v>350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119</v>
      </c>
      <c r="B65" s="181">
        <f>'Données projet'!D73</f>
        <v>150.02564102564102</v>
      </c>
      <c r="C65" s="191">
        <v>40</v>
      </c>
      <c r="D65" s="179">
        <f t="shared" si="4"/>
        <v>6001.0256410256407</v>
      </c>
      <c r="E65" s="193"/>
      <c r="F65" s="232"/>
      <c r="G65" s="206"/>
      <c r="H65" s="190">
        <v>45</v>
      </c>
      <c r="I65" s="191">
        <v>60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123</v>
      </c>
      <c r="B66" s="181">
        <f>'Données projet'!D74</f>
        <v>77.17307692307692</v>
      </c>
      <c r="C66" s="191">
        <v>40</v>
      </c>
      <c r="D66" s="179">
        <f t="shared" si="4"/>
        <v>3086.9230769230767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127</v>
      </c>
      <c r="B67" s="181">
        <f>'Données projet'!D75</f>
        <v>49.916666666666671</v>
      </c>
      <c r="C67" s="191">
        <v>40</v>
      </c>
      <c r="D67" s="179">
        <f t="shared" si="4"/>
        <v>1996.666666666667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131</v>
      </c>
      <c r="B68" s="181">
        <f>'Données projet'!D76</f>
        <v>110.91025641025641</v>
      </c>
      <c r="C68" s="191">
        <v>40</v>
      </c>
      <c r="D68" s="179">
        <f t="shared" si="4"/>
        <v>4436.4102564102559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Bouleau verruqueux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6000</v>
      </c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18</v>
      </c>
      <c r="C85" s="191">
        <v>8</v>
      </c>
      <c r="D85" s="179">
        <f>B85*C85</f>
        <v>144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30</v>
      </c>
      <c r="B86" s="181">
        <f>'Données projet'!D89</f>
        <v>26</v>
      </c>
      <c r="C86" s="191">
        <v>8</v>
      </c>
      <c r="D86" s="179">
        <f t="shared" ref="D86:D104" si="6">B86*C86</f>
        <v>208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40</v>
      </c>
      <c r="B87" s="181">
        <f>'Données projet'!D90</f>
        <v>31</v>
      </c>
      <c r="C87" s="191">
        <v>8</v>
      </c>
      <c r="D87" s="179">
        <f t="shared" si="6"/>
        <v>248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50</v>
      </c>
      <c r="B88" s="181">
        <f>'Données projet'!D91</f>
        <v>34</v>
      </c>
      <c r="C88" s="191">
        <v>8</v>
      </c>
      <c r="D88" s="179">
        <f t="shared" si="6"/>
        <v>272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60</v>
      </c>
      <c r="B89" s="181">
        <f>'Données projet'!D92</f>
        <v>34</v>
      </c>
      <c r="C89" s="191">
        <v>8</v>
      </c>
      <c r="D89" s="179">
        <f t="shared" si="6"/>
        <v>272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70</v>
      </c>
      <c r="B90" s="181">
        <f>'Données projet'!D93</f>
        <v>34</v>
      </c>
      <c r="C90" s="191">
        <v>8</v>
      </c>
      <c r="D90" s="179">
        <f t="shared" si="6"/>
        <v>272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80</v>
      </c>
      <c r="B91" s="181">
        <f>'Données projet'!D94</f>
        <v>33</v>
      </c>
      <c r="C91" s="191">
        <v>8</v>
      </c>
      <c r="D91" s="179">
        <f t="shared" si="6"/>
        <v>264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90</v>
      </c>
      <c r="B92" s="181">
        <f>'Données projet'!D95</f>
        <v>31</v>
      </c>
      <c r="C92" s="191">
        <v>8</v>
      </c>
      <c r="D92" s="179">
        <f t="shared" si="6"/>
        <v>248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Cormier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6000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30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44</v>
      </c>
      <c r="B117" s="181">
        <f>'Données projet'!D115</f>
        <v>64.416666666666657</v>
      </c>
      <c r="C117" s="191">
        <v>8</v>
      </c>
      <c r="D117" s="179">
        <f t="shared" ref="D117:D135" si="8">B117*C117</f>
        <v>515.33333333333326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51</v>
      </c>
      <c r="B118" s="181">
        <f>'Données projet'!D116</f>
        <v>37.685897435897431</v>
      </c>
      <c r="C118" s="191">
        <v>8</v>
      </c>
      <c r="D118" s="179">
        <f t="shared" si="8"/>
        <v>301.48717948717945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59</v>
      </c>
      <c r="B119" s="181">
        <f>'Données projet'!D117</f>
        <v>38.942307692307693</v>
      </c>
      <c r="C119" s="191">
        <v>8</v>
      </c>
      <c r="D119" s="179">
        <f t="shared" si="8"/>
        <v>311.53846153846155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67</v>
      </c>
      <c r="B120" s="181">
        <f>'Données projet'!D118</f>
        <v>31.993589743589741</v>
      </c>
      <c r="C120" s="191">
        <v>8</v>
      </c>
      <c r="D120" s="179">
        <f t="shared" si="8"/>
        <v>255.94871794871793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75</v>
      </c>
      <c r="B121" s="181">
        <f>'Données projet'!D119</f>
        <v>30.916666666666664</v>
      </c>
      <c r="C121" s="191">
        <v>8</v>
      </c>
      <c r="D121" s="179">
        <f t="shared" si="8"/>
        <v>247.33333333333331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84</v>
      </c>
      <c r="B122" s="181">
        <f>'Données projet'!D120</f>
        <v>35.083333333333329</v>
      </c>
      <c r="C122" s="191">
        <v>8</v>
      </c>
      <c r="D122" s="179">
        <f t="shared" si="8"/>
        <v>280.66666666666663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93</v>
      </c>
      <c r="B123" s="181">
        <f>'Données projet'!D121</f>
        <v>30.083333333333332</v>
      </c>
      <c r="C123" s="191">
        <v>8</v>
      </c>
      <c r="D123" s="179">
        <f t="shared" si="8"/>
        <v>240.66666666666666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103</v>
      </c>
      <c r="B124" s="181">
        <f>'Données projet'!D122</f>
        <v>39.512820512820511</v>
      </c>
      <c r="C124" s="191">
        <v>8</v>
      </c>
      <c r="D124" s="179">
        <f t="shared" si="8"/>
        <v>316.10256410256409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113</v>
      </c>
      <c r="B125" s="181">
        <f>'Données projet'!D123</f>
        <v>31.602564102564099</v>
      </c>
      <c r="C125" s="191">
        <v>8</v>
      </c>
      <c r="D125" s="179">
        <f t="shared" si="8"/>
        <v>252.82051282051279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125</v>
      </c>
      <c r="B126" s="181">
        <f>'Données projet'!D124</f>
        <v>48.160256410256409</v>
      </c>
      <c r="C126" s="191">
        <v>8</v>
      </c>
      <c r="D126" s="179">
        <f t="shared" si="8"/>
        <v>385.28205128205127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137</v>
      </c>
      <c r="B127" s="181">
        <f>'Données projet'!D125</f>
        <v>51.160256410256409</v>
      </c>
      <c r="C127" s="191">
        <v>8</v>
      </c>
      <c r="D127" s="179">
        <f t="shared" si="8"/>
        <v>409.28205128205127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149</v>
      </c>
      <c r="B128" s="181">
        <f>'Données projet'!D126</f>
        <v>120.50641025641026</v>
      </c>
      <c r="C128" s="191">
        <v>8</v>
      </c>
      <c r="D128" s="179">
        <f t="shared" si="8"/>
        <v>964.0512820512821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153</v>
      </c>
      <c r="B129" s="181">
        <f>'Données projet'!D127</f>
        <v>70.115384615384613</v>
      </c>
      <c r="C129" s="191">
        <v>8</v>
      </c>
      <c r="D129" s="179">
        <f t="shared" si="8"/>
        <v>560.92307692307691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157</v>
      </c>
      <c r="B130" s="181">
        <f>'Données projet'!D128</f>
        <v>45.71153846153846</v>
      </c>
      <c r="C130" s="191">
        <v>8</v>
      </c>
      <c r="D130" s="179">
        <f t="shared" si="8"/>
        <v>365.69230769230768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161</v>
      </c>
      <c r="B131" s="181">
        <f>'Données projet'!D129</f>
        <v>91.365384615384613</v>
      </c>
      <c r="C131" s="191">
        <v>8</v>
      </c>
      <c r="D131" s="179">
        <f t="shared" si="8"/>
        <v>730.92307692307691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Cormier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6000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30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44</v>
      </c>
      <c r="B148" s="175">
        <f>'Données projet'!D141</f>
        <v>64.416666666666657</v>
      </c>
      <c r="C148" s="191">
        <v>8</v>
      </c>
      <c r="D148" s="182">
        <f t="shared" ref="D148:D166" si="10">B148*C148</f>
        <v>515.33333333333326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51</v>
      </c>
      <c r="B149" s="175">
        <f>'Données projet'!D142</f>
        <v>37.685897435897431</v>
      </c>
      <c r="C149" s="191">
        <v>8</v>
      </c>
      <c r="D149" s="182">
        <f t="shared" si="10"/>
        <v>301.48717948717945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59</v>
      </c>
      <c r="B150" s="175">
        <f>'Données projet'!D143</f>
        <v>38.942307692307693</v>
      </c>
      <c r="C150" s="191">
        <v>8</v>
      </c>
      <c r="D150" s="182">
        <f t="shared" si="10"/>
        <v>311.53846153846155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67</v>
      </c>
      <c r="B151" s="175">
        <f>'Données projet'!D144</f>
        <v>31.993589743589741</v>
      </c>
      <c r="C151" s="191">
        <v>8</v>
      </c>
      <c r="D151" s="182">
        <f t="shared" si="10"/>
        <v>255.94871794871793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75</v>
      </c>
      <c r="B152" s="175">
        <f>'Données projet'!D145</f>
        <v>30.916666666666664</v>
      </c>
      <c r="C152" s="191">
        <v>8</v>
      </c>
      <c r="D152" s="182">
        <f t="shared" si="10"/>
        <v>247.33333333333331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84</v>
      </c>
      <c r="B153" s="175">
        <f>'Données projet'!D146</f>
        <v>35.083333333333329</v>
      </c>
      <c r="C153" s="191">
        <v>8</v>
      </c>
      <c r="D153" s="182">
        <f t="shared" si="10"/>
        <v>280.66666666666663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93</v>
      </c>
      <c r="B154" s="175">
        <f>'Données projet'!D147</f>
        <v>30.083333333333332</v>
      </c>
      <c r="C154" s="191">
        <v>8</v>
      </c>
      <c r="D154" s="182">
        <f t="shared" si="10"/>
        <v>240.66666666666666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103</v>
      </c>
      <c r="B155" s="175">
        <f>'Données projet'!D148</f>
        <v>39.512820512820511</v>
      </c>
      <c r="C155" s="191">
        <v>8</v>
      </c>
      <c r="D155" s="182">
        <f t="shared" si="10"/>
        <v>316.10256410256409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113</v>
      </c>
      <c r="B156" s="175">
        <f>'Données projet'!D149</f>
        <v>31.602564102564099</v>
      </c>
      <c r="C156" s="191">
        <v>8</v>
      </c>
      <c r="D156" s="182">
        <f t="shared" si="10"/>
        <v>252.82051282051279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125</v>
      </c>
      <c r="B157" s="175">
        <f>'Données projet'!D150</f>
        <v>48.160256410256409</v>
      </c>
      <c r="C157" s="191">
        <v>8</v>
      </c>
      <c r="D157" s="182">
        <f t="shared" si="10"/>
        <v>385.28205128205127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137</v>
      </c>
      <c r="B158" s="175">
        <f>'Données projet'!D151</f>
        <v>51.160256410256409</v>
      </c>
      <c r="C158" s="191">
        <v>8</v>
      </c>
      <c r="D158" s="182">
        <f t="shared" si="10"/>
        <v>409.28205128205127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149</v>
      </c>
      <c r="B159" s="175">
        <f>'Données projet'!D152</f>
        <v>120.50641025641026</v>
      </c>
      <c r="C159" s="191">
        <v>8</v>
      </c>
      <c r="D159" s="182">
        <f t="shared" si="10"/>
        <v>964.0512820512821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153</v>
      </c>
      <c r="B160" s="175">
        <f>'Données projet'!D153</f>
        <v>70.115384615384613</v>
      </c>
      <c r="C160" s="191">
        <v>8</v>
      </c>
      <c r="D160" s="182">
        <f t="shared" si="10"/>
        <v>560.92307692307691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157</v>
      </c>
      <c r="B161" s="175">
        <f>'Données projet'!D154</f>
        <v>45.71153846153846</v>
      </c>
      <c r="C161" s="191">
        <v>8</v>
      </c>
      <c r="D161" s="182">
        <f t="shared" si="10"/>
        <v>365.69230769230768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161</v>
      </c>
      <c r="B162" s="175">
        <f>'Données projet'!D155</f>
        <v>91.365384615384613</v>
      </c>
      <c r="C162" s="191">
        <v>8</v>
      </c>
      <c r="D162" s="182">
        <f t="shared" si="10"/>
        <v>730.92307692307691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Laurence DEGOUL SAINT JEAN</cp:lastModifiedBy>
  <cp:lastPrinted>2025-03-24T09:57:12Z</cp:lastPrinted>
  <dcterms:created xsi:type="dcterms:W3CDTF">2021-02-01T08:22:39Z</dcterms:created>
  <dcterms:modified xsi:type="dcterms:W3CDTF">2025-07-18T11:27:08Z</dcterms:modified>
</cp:coreProperties>
</file>