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ABZAC- GFA DE LA TOUR BEAULIEU-SWC-E11\Dossier déposé 03 06 2025\"/>
    </mc:Choice>
  </mc:AlternateContent>
  <xr:revisionPtr revIDLastSave="0" documentId="13_ncr:1_{EA7E009F-4F05-47E4-A23C-85C7F45C2BA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<sst xmlns="http://schemas.openxmlformats.org/spreadsheetml/2006/main" count="1170" uniqueCount="324">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</sst>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1" sqref="E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6.8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0.69</v>
      </c>
      <c r="D9" s="36">
        <f t="shared" ref="D9:D18" si="0">C9*$C$5</f>
        <v>4.6919999999999993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0.28000000000000003</v>
      </c>
      <c r="D10" s="36">
        <f t="shared" si="0"/>
        <v>1.9040000000000001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0.97</v>
      </c>
      <c r="D19" s="41">
        <f>SUM(D9:D18)</f>
        <v>6.5959999999999992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34</v>
      </c>
      <c r="C36" s="63">
        <v>1</v>
      </c>
      <c r="D36" s="63">
        <v>6</v>
      </c>
      <c r="E36" s="54"/>
      <c r="F36" s="54"/>
      <c r="G36" s="54">
        <v>1</v>
      </c>
      <c r="H36" s="54"/>
      <c r="I36" s="52">
        <f>IFERROR(B36/A36,"")</f>
        <v>6.8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99</v>
      </c>
      <c r="C37" s="63">
        <v>2</v>
      </c>
      <c r="D37" s="63">
        <v>28</v>
      </c>
      <c r="E37" s="54"/>
      <c r="F37" s="54">
        <v>0.4</v>
      </c>
      <c r="G37" s="54">
        <v>0.6</v>
      </c>
      <c r="H37" s="54"/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140</v>
      </c>
      <c r="C38" s="63">
        <v>3</v>
      </c>
      <c r="D38" s="63">
        <v>23</v>
      </c>
      <c r="E38" s="54">
        <v>0.4</v>
      </c>
      <c r="F38" s="54">
        <v>0.4</v>
      </c>
      <c r="G38" s="54">
        <v>0.2</v>
      </c>
      <c r="H38" s="5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180</v>
      </c>
      <c r="C39" s="63">
        <v>4</v>
      </c>
      <c r="D39" s="63">
        <v>18</v>
      </c>
      <c r="E39" s="54">
        <v>0.6</v>
      </c>
      <c r="F39" s="54">
        <v>0.2</v>
      </c>
      <c r="G39" s="54">
        <v>0.2</v>
      </c>
      <c r="H39" s="54"/>
      <c r="I39" s="52">
        <f t="shared" si="1"/>
        <v>12.6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214</v>
      </c>
      <c r="C40" s="63">
        <v>5</v>
      </c>
      <c r="D40" s="63">
        <v>14</v>
      </c>
      <c r="E40" s="54">
        <v>0.8</v>
      </c>
      <c r="F40" s="54">
        <v>0.2</v>
      </c>
      <c r="G40" s="54"/>
      <c r="H40" s="54"/>
      <c r="I40" s="52">
        <f t="shared" si="1"/>
        <v>10.4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243</v>
      </c>
      <c r="C41" s="63">
        <v>6</v>
      </c>
      <c r="D41" s="63">
        <v>11</v>
      </c>
      <c r="E41" s="54">
        <v>0.8</v>
      </c>
      <c r="F41" s="54">
        <v>0.2</v>
      </c>
      <c r="G41" s="54"/>
      <c r="H41" s="54"/>
      <c r="I41" s="56">
        <f t="shared" si="1"/>
        <v>8.6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267</v>
      </c>
      <c r="C42" s="63">
        <v>7</v>
      </c>
      <c r="D42" s="63">
        <v>9</v>
      </c>
      <c r="E42" s="54"/>
      <c r="F42" s="54"/>
      <c r="G42" s="54"/>
      <c r="H42" s="54"/>
      <c r="I42" s="56">
        <f t="shared" si="1"/>
        <v>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289</v>
      </c>
      <c r="C43" s="63">
        <v>8</v>
      </c>
      <c r="D43" s="63">
        <v>7</v>
      </c>
      <c r="E43" s="54"/>
      <c r="F43" s="54"/>
      <c r="G43" s="54"/>
      <c r="H43" s="54"/>
      <c r="I43" s="52">
        <f t="shared" si="1"/>
        <v>6.2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312</v>
      </c>
      <c r="C44" s="63">
        <v>9</v>
      </c>
      <c r="D44" s="63">
        <v>312</v>
      </c>
      <c r="E44" s="54"/>
      <c r="F44" s="54"/>
      <c r="G44" s="54"/>
      <c r="H44" s="54"/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>
        <v>0.2</v>
      </c>
      <c r="G64" s="54"/>
      <c r="H64" s="54">
        <v>0.8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5" sqref="C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Robinier faux-acacia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391.31970775590571</v>
      </c>
      <c r="T3" s="62">
        <f>IF('Données projet'!E9&gt;30,$R$33-$H$33,LOOKUP('Données projet'!$E$9,$A$3:$A$203,R3:R203)-LOOKUP('Données projet'!$E$9,$A$3:$A$203,$H$3:$H$203))</f>
        <v>552.37678344309143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499.92116338695428</v>
      </c>
      <c r="AO3" s="62">
        <f>IF('Données projet'!E10&gt;30,$AM$33-$H$33,LOOKUP('Données projet'!$E$10,$A$3:$A$203,AM3:AM203)-LOOKUP('Données projet'!$E$10,$A$3:$A$203,$H$3:$H$203))</f>
        <v>316.79403154855652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6.8</v>
      </c>
      <c r="N4" s="14">
        <f>IF('Données projet'!$A$36&gt;35,N3+M4-V3,IF(A4&lt;'Données projet'!$A$36,$K$205^A4,IF(A4='Données projet'!$A$36,'Données projet'!$B$36,N3+M4-V3)))</f>
        <v>2.0243974584998852</v>
      </c>
      <c r="O4" s="14">
        <f>N4*VLOOKUP('Données projet'!$B$9,Paramètres!$A$1:$I$89,3,0)*VLOOKUP('Données projet'!$B$9,Paramètres!$A$1:$I$89,5,0)</f>
        <v>1.8316748204506961</v>
      </c>
      <c r="P4" s="14">
        <f>EXP(-1.0587+0.8836*LN(O4)+0.284)</f>
        <v>0.78669228172688432</v>
      </c>
      <c r="Q4" s="22">
        <f t="shared" ref="Q4:Q34" si="2">(O4+P4)*0.475*44/12</f>
        <v>4.5603227029592857</v>
      </c>
      <c r="R4" s="62">
        <f t="shared" si="0"/>
        <v>125.53300008918131</v>
      </c>
      <c r="S4" s="62">
        <f ca="1">AVERAGE(OFFSET($R$3,0,0,'Données projet'!$E$9+1,1))-AVERAGE(OFFSET($H$3,0,0,'Données projet'!$E$9+1,1))</f>
        <v>391.31970775590571</v>
      </c>
      <c r="T4" s="62">
        <f>$T$3</f>
        <v>552.37678344309143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123.81366715839503</v>
      </c>
      <c r="AN4" s="62">
        <f ca="1">AVERAGE(OFFSET($AM$3,0,0,'Données projet'!$E$10+1,1))-AVERAGE(OFFSET($H$3,0,0,'Données projet'!$E$10+1,1))</f>
        <v>499.92116338695428</v>
      </c>
      <c r="AO4" s="62">
        <f>$AO$3</f>
        <v>316.79403154855652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6.8</v>
      </c>
      <c r="N5" s="14">
        <f>IF('Données projet'!$A$36&gt;35,N4+M5-V4,IF(A5&lt;'Données projet'!$A$36,$K$205^A5,IF(A5='Données projet'!$A$36,'Données projet'!$B$36,N4+M5-V4)))</f>
        <v>4.0981850699807945</v>
      </c>
      <c r="O5" s="14">
        <f>N5*VLOOKUP('Données projet'!$B$9,Paramètres!$A$1:$I$89,3,0)*VLOOKUP('Données projet'!$B$9,Paramètres!$A$1:$I$89,5,0)</f>
        <v>3.7080378513186227</v>
      </c>
      <c r="P5" s="14">
        <f t="shared" ref="P5:P68" si="33">EXP(-1.0587+0.8836*LN(O5)+0.284)</f>
        <v>1.4670598901857457</v>
      </c>
      <c r="Q5" s="22">
        <f t="shared" si="2"/>
        <v>9.0132952331201093</v>
      </c>
      <c r="R5" s="62">
        <f t="shared" si="0"/>
        <v>133.58338501234363</v>
      </c>
      <c r="S5" s="62">
        <f ca="1">AVERAGE(OFFSET($R$3,0,0,'Données projet'!$E$9+1,1))-AVERAGE(OFFSET($H$3,0,0,'Données projet'!$E$9+1,1))</f>
        <v>391.31970775590571</v>
      </c>
      <c r="T5" s="62">
        <f t="shared" ref="T5:T68" si="34">$T$3</f>
        <v>552.37678344309143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128.06370355598918</v>
      </c>
      <c r="AN5" s="62">
        <f ca="1">AVERAGE(OFFSET($AM$3,0,0,'Données projet'!$E$10+1,1))-AVERAGE(OFFSET($H$3,0,0,'Données projet'!$E$10+1,1))</f>
        <v>499.92116338695428</v>
      </c>
      <c r="AO5" s="62">
        <f t="shared" ref="AO5:AO68" si="36">$AO$3</f>
        <v>316.79403154855652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6.8</v>
      </c>
      <c r="N6" s="14">
        <f>IF('Données projet'!$A$36&gt;35,N5+M6-V5,IF(A6&lt;'Données projet'!$A$36,$K$205^A6,IF(A6='Données projet'!$A$36,'Données projet'!$B$36,N5+M6-V5)))</f>
        <v>8.2963554401312951</v>
      </c>
      <c r="O6" s="14">
        <f>N6*VLOOKUP('Données projet'!$B$9,Paramètres!$A$1:$I$89,3,0)*VLOOKUP('Données projet'!$B$9,Paramètres!$A$1:$I$89,5,0)</f>
        <v>7.5065424022307949</v>
      </c>
      <c r="P6" s="14">
        <f t="shared" si="33"/>
        <v>2.7358406474604431</v>
      </c>
      <c r="Q6" s="22">
        <f t="shared" si="2"/>
        <v>17.838817144878906</v>
      </c>
      <c r="R6" s="62">
        <f t="shared" si="0"/>
        <v>145.96511507777061</v>
      </c>
      <c r="S6" s="62">
        <f ca="1">AVERAGE(OFFSET($R$3,0,0,'Données projet'!$E$9+1,1))-AVERAGE(OFFSET($H$3,0,0,'Données projet'!$E$9+1,1))</f>
        <v>391.31970775590571</v>
      </c>
      <c r="T6" s="62">
        <f t="shared" si="34"/>
        <v>552.37678344309143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132.42302482389755</v>
      </c>
      <c r="AN6" s="62">
        <f ca="1">AVERAGE(OFFSET($AM$3,0,0,'Données projet'!$E$10+1,1))-AVERAGE(OFFSET($H$3,0,0,'Données projet'!$E$10+1,1))</f>
        <v>499.92116338695428</v>
      </c>
      <c r="AO6" s="62">
        <f t="shared" si="36"/>
        <v>316.79403154855652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6.8</v>
      </c>
      <c r="N7" s="14">
        <f>IF('Données projet'!$A$36&gt;35,N6+M7-V6,IF(A7&lt;'Données projet'!$A$36,$K$205^A7,IF(A7='Données projet'!$A$36,'Données projet'!$B$36,N6+M7-V6)))</f>
        <v>16.795120867813488</v>
      </c>
      <c r="O7" s="14">
        <f>N7*VLOOKUP('Données projet'!$B$9,Paramètres!$A$1:$I$89,3,0)*VLOOKUP('Données projet'!$B$9,Paramètres!$A$1:$I$89,5,0)</f>
        <v>15.196225361197643</v>
      </c>
      <c r="P7" s="14">
        <f t="shared" si="33"/>
        <v>5.1019212633160578</v>
      </c>
      <c r="Q7" s="22">
        <f t="shared" si="2"/>
        <v>35.352605371028027</v>
      </c>
      <c r="R7" s="62">
        <f t="shared" si="0"/>
        <v>166.99462201968814</v>
      </c>
      <c r="S7" s="62">
        <f ca="1">AVERAGE(OFFSET($R$3,0,0,'Données projet'!$E$9+1,1))-AVERAGE(OFFSET($H$3,0,0,'Données projet'!$E$9+1,1))</f>
        <v>391.31970775590571</v>
      </c>
      <c r="T7" s="62">
        <f t="shared" si="34"/>
        <v>552.37678344309143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136.92717112661157</v>
      </c>
      <c r="AN7" s="62">
        <f ca="1">AVERAGE(OFFSET($AM$3,0,0,'Données projet'!$E$10+1,1))-AVERAGE(OFFSET($H$3,0,0,'Données projet'!$E$10+1,1))</f>
        <v>499.92116338695428</v>
      </c>
      <c r="AO7" s="62">
        <f t="shared" si="36"/>
        <v>316.79403154855652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34</v>
      </c>
      <c r="L8" s="13">
        <f>VLOOKUP(A8,'Données projet'!$A$35:$I$55,9,0)</f>
        <v>6.8</v>
      </c>
      <c r="M8" s="13">
        <f t="array" ref="M8">INDEX(L:L,MIN(IF(ISNUMBER(L8:L204),ROW(L8:L204),"")))</f>
        <v>6.8</v>
      </c>
      <c r="N8" s="14">
        <f>IF('Données projet'!$A$36&gt;35,N7+M8-V7,IF(A8&lt;'Données projet'!$A$36,$K$205^A8,IF(A8='Données projet'!$A$36,'Données projet'!$B$36,N7+M8-V7)))</f>
        <v>34</v>
      </c>
      <c r="O8" s="14">
        <f>N8*VLOOKUP('Données projet'!$B$9,Paramètres!$A$1:$I$89,3,0)*VLOOKUP('Données projet'!$B$9,Paramètres!$A$1:$I$89,5,0)</f>
        <v>30.763199999999998</v>
      </c>
      <c r="P8" s="14">
        <f t="shared" si="33"/>
        <v>9.5142970411082253</v>
      </c>
      <c r="Q8" s="22">
        <f t="shared" si="2"/>
        <v>70.149974013263474</v>
      </c>
      <c r="R8" s="62">
        <f t="shared" si="0"/>
        <v>205.26792234101896</v>
      </c>
      <c r="S8" s="62">
        <f ca="1">AVERAGE(OFFSET($R$3,0,0,'Données projet'!$E$9+1,1))-AVERAGE(OFFSET($H$3,0,0,'Données projet'!$E$9+1,1))</f>
        <v>391.31970775590571</v>
      </c>
      <c r="T8" s="62">
        <f t="shared" si="34"/>
        <v>552.37678344309143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6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5.1222189140097312</v>
      </c>
      <c r="AC8" s="24">
        <f t="shared" si="3"/>
        <v>5.1222189140097312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141.61975616682096</v>
      </c>
      <c r="AN8" s="62">
        <f ca="1">AVERAGE(OFFSET($AM$3,0,0,'Données projet'!$E$10+1,1))-AVERAGE(OFFSET($H$3,0,0,'Données projet'!$E$10+1,1))</f>
        <v>499.92116338695428</v>
      </c>
      <c r="AO8" s="62">
        <f t="shared" si="36"/>
        <v>316.79403154855652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14.2</v>
      </c>
      <c r="N9" s="14">
        <f>IF('Données projet'!$A$36&gt;35,N8+M9-V8,IF(A9&lt;'Données projet'!$A$36,$K$205^A9,IF(A9='Données projet'!$A$36,'Données projet'!$B$36,N8+M9-V8)))</f>
        <v>42.2</v>
      </c>
      <c r="O9" s="14">
        <f>N9*VLOOKUP('Données projet'!$B$9,Paramètres!$A$1:$I$89,3,0)*VLOOKUP('Données projet'!$B$9,Paramètres!$A$1:$I$89,5,0)</f>
        <v>38.182560000000002</v>
      </c>
      <c r="P9" s="14">
        <f t="shared" si="33"/>
        <v>11.515638334288104</v>
      </c>
      <c r="Q9" s="22">
        <f t="shared" si="2"/>
        <v>86.557695432218452</v>
      </c>
      <c r="R9" s="62">
        <f t="shared" si="0"/>
        <v>225.11247861853212</v>
      </c>
      <c r="S9" s="62">
        <f ca="1">AVERAGE(OFFSET($R$3,0,0,'Données projet'!$E$9+1,1))-AVERAGE(OFFSET($H$3,0,0,'Données projet'!$E$9+1,1))</f>
        <v>391.31970775590571</v>
      </c>
      <c r="T9" s="62">
        <f t="shared" si="34"/>
        <v>552.37678344309143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3.6219557288182744</v>
      </c>
      <c r="AC9" s="24">
        <f t="shared" si="3"/>
        <v>3.6219557288182744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146.55435062961644</v>
      </c>
      <c r="AN9" s="62">
        <f ca="1">AVERAGE(OFFSET($AM$3,0,0,'Données projet'!$E$10+1,1))-AVERAGE(OFFSET($H$3,0,0,'Données projet'!$E$10+1,1))</f>
        <v>499.92116338695428</v>
      </c>
      <c r="AO9" s="62">
        <f t="shared" si="36"/>
        <v>316.79403154855652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14.2</v>
      </c>
      <c r="N10" s="14">
        <f>IF('Données projet'!$A$36&gt;35,N9+M10-V9,IF(A10&lt;'Données projet'!$A$36,$K$205^A10,IF(A10='Données projet'!$A$36,'Données projet'!$B$36,N9+M10-V9)))</f>
        <v>56.400000000000006</v>
      </c>
      <c r="O10" s="14">
        <f>N10*VLOOKUP('Données projet'!$B$9,Paramètres!$A$1:$I$89,3,0)*VLOOKUP('Données projet'!$B$9,Paramètres!$A$1:$I$89,5,0)</f>
        <v>51.030720000000009</v>
      </c>
      <c r="P10" s="14">
        <f t="shared" si="33"/>
        <v>14.879630660597618</v>
      </c>
      <c r="Q10" s="22">
        <f t="shared" si="2"/>
        <v>114.79386073387418</v>
      </c>
      <c r="R10" s="62">
        <f t="shared" si="0"/>
        <v>256.74706020063769</v>
      </c>
      <c r="S10" s="62">
        <f ca="1">AVERAGE(OFFSET($R$3,0,0,'Données projet'!$E$9+1,1))-AVERAGE(OFFSET($H$3,0,0,'Données projet'!$E$9+1,1))</f>
        <v>391.31970775590571</v>
      </c>
      <c r="T10" s="62">
        <f t="shared" si="34"/>
        <v>552.37678344309143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2.561109457004866</v>
      </c>
      <c r="AC10" s="24">
        <f t="shared" si="3"/>
        <v>2.561109457004866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151.79680547618636</v>
      </c>
      <c r="AN10" s="62">
        <f ca="1">AVERAGE(OFFSET($AM$3,0,0,'Données projet'!$E$10+1,1))-AVERAGE(OFFSET($H$3,0,0,'Données projet'!$E$10+1,1))</f>
        <v>499.92116338695428</v>
      </c>
      <c r="AO10" s="62">
        <f t="shared" si="36"/>
        <v>316.79403154855652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14.2</v>
      </c>
      <c r="N11" s="14">
        <f>IF('Données projet'!$A$36&gt;35,N10+M11-V10,IF(A11&lt;'Données projet'!$A$36,$K$205^A11,IF(A11='Données projet'!$A$36,'Données projet'!$B$36,N10+M11-V10)))</f>
        <v>70.600000000000009</v>
      </c>
      <c r="O11" s="14">
        <f>N11*VLOOKUP('Données projet'!$B$9,Paramètres!$A$1:$I$89,3,0)*VLOOKUP('Données projet'!$B$9,Paramètres!$A$1:$I$89,5,0)</f>
        <v>63.878880000000002</v>
      </c>
      <c r="P11" s="14">
        <f t="shared" si="33"/>
        <v>18.145367520913332</v>
      </c>
      <c r="Q11" s="22">
        <f t="shared" si="2"/>
        <v>142.85889776559074</v>
      </c>
      <c r="R11" s="62">
        <f t="shared" si="0"/>
        <v>288.1727614111349</v>
      </c>
      <c r="S11" s="62">
        <f ca="1">AVERAGE(OFFSET($R$3,0,0,'Données projet'!$E$9+1,1))-AVERAGE(OFFSET($H$3,0,0,'Données projet'!$E$9+1,1))</f>
        <v>391.31970775590571</v>
      </c>
      <c r="T11" s="62">
        <f t="shared" si="34"/>
        <v>552.37678344309143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1.8109778644091374</v>
      </c>
      <c r="AC11" s="24">
        <f t="shared" si="3"/>
        <v>1.8109778644091374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157.42811808779004</v>
      </c>
      <c r="AN11" s="62">
        <f ca="1">AVERAGE(OFFSET($AM$3,0,0,'Données projet'!$E$10+1,1))-AVERAGE(OFFSET($H$3,0,0,'Données projet'!$E$10+1,1))</f>
        <v>499.92116338695428</v>
      </c>
      <c r="AO11" s="62">
        <f t="shared" si="36"/>
        <v>316.79403154855652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14.2</v>
      </c>
      <c r="N12" s="14">
        <f>IF('Données projet'!$A$36&gt;35,N11+M12-V11,IF(A12&lt;'Données projet'!$A$36,$K$205^A12,IF(A12='Données projet'!$A$36,'Données projet'!$B$36,N11+M12-V11)))</f>
        <v>84.800000000000011</v>
      </c>
      <c r="O12" s="14">
        <f>N12*VLOOKUP('Données projet'!$B$9,Paramètres!$A$1:$I$89,3,0)*VLOOKUP('Données projet'!$B$9,Paramètres!$A$1:$I$89,5,0)</f>
        <v>76.727040000000017</v>
      </c>
      <c r="P12" s="14">
        <f t="shared" si="33"/>
        <v>21.334993267156719</v>
      </c>
      <c r="Q12" s="22">
        <f t="shared" si="2"/>
        <v>170.79137460696464</v>
      </c>
      <c r="R12" s="62">
        <f t="shared" si="0"/>
        <v>319.42880524418314</v>
      </c>
      <c r="S12" s="62">
        <f ca="1">AVERAGE(OFFSET($R$3,0,0,'Données projet'!$E$9+1,1))-AVERAGE(OFFSET($H$3,0,0,'Données projet'!$E$9+1,1))</f>
        <v>391.31970775590571</v>
      </c>
      <c r="T12" s="62">
        <f t="shared" si="34"/>
        <v>552.37678344309143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1.2805547285024332</v>
      </c>
      <c r="AC12" s="24">
        <f t="shared" si="3"/>
        <v>1.2805547285024332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163.54796843765274</v>
      </c>
      <c r="AN12" s="62">
        <f ca="1">AVERAGE(OFFSET($AM$3,0,0,'Données projet'!$E$10+1,1))-AVERAGE(OFFSET($H$3,0,0,'Données projet'!$E$10+1,1))</f>
        <v>499.92116338695428</v>
      </c>
      <c r="AO12" s="62">
        <f t="shared" si="36"/>
        <v>316.79403154855652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99</v>
      </c>
      <c r="L13" s="13">
        <f>VLOOKUP(A13,'Données projet'!$A$35:$I$55,9,0)</f>
        <v>14.2</v>
      </c>
      <c r="M13" s="13">
        <f t="array" ref="M13">INDEX(L:L,MIN(IF(ISNUMBER(L13:L209),ROW(L13:L209),"")))</f>
        <v>14.2</v>
      </c>
      <c r="N13" s="14">
        <f>IF('Données projet'!$A$36&gt;35,N12+M13-V12,IF(A13&lt;'Données projet'!$A$36,$K$205^A13,IF(A13='Données projet'!$A$36,'Données projet'!$B$36,N12+M13-V12)))</f>
        <v>99.000000000000014</v>
      </c>
      <c r="O13" s="14">
        <f>N13*VLOOKUP('Données projet'!$B$9,Paramètres!$A$1:$I$89,3,0)*VLOOKUP('Données projet'!$B$9,Paramètres!$A$1:$I$89,5,0)</f>
        <v>89.575200000000009</v>
      </c>
      <c r="P13" s="14">
        <f t="shared" si="33"/>
        <v>24.462745269668691</v>
      </c>
      <c r="Q13" s="22">
        <f t="shared" si="2"/>
        <v>198.61608801133966</v>
      </c>
      <c r="R13" s="62">
        <f t="shared" si="0"/>
        <v>350.54063200638564</v>
      </c>
      <c r="S13" s="62">
        <f ca="1">AVERAGE(OFFSET($R$3,0,0,'Données projet'!$E$9+1,1))-AVERAGE(OFFSET($H$3,0,0,'Données projet'!$E$9+1,1))</f>
        <v>391.31970775590571</v>
      </c>
      <c r="T13" s="62">
        <f t="shared" si="34"/>
        <v>552.37678344309143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28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0.12</v>
      </c>
      <c r="Y13" s="17">
        <f>IF(ISNA(VLOOKUP(A13,'Données projet'!$A$35:$I$55,7,0)),0%,VLOOKUP(A13,'Données projet'!$A$35:$I$55,7,0))</f>
        <v>0.6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3.347538816220077</v>
      </c>
      <c r="AB13" s="23">
        <f>EXP(-LN(2)/2)*AB12+(1-EXP(-LN(2)/2))/(LN(2)/2)*V13*Y13*VLOOKUP('Données projet'!$B$9,Paramètres!$A$1:$I$89,3,0)*0.475*44/12</f>
        <v>15.247701891431817</v>
      </c>
      <c r="AC13" s="24">
        <f t="shared" si="3"/>
        <v>18.595240707651893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170.27908233238728</v>
      </c>
      <c r="AN13" s="62">
        <f ca="1">AVERAGE(OFFSET($AM$3,0,0,'Données projet'!$E$10+1,1))-AVERAGE(OFFSET($H$3,0,0,'Données projet'!$E$10+1,1))</f>
        <v>499.92116338695428</v>
      </c>
      <c r="AO13" s="62">
        <f t="shared" si="36"/>
        <v>316.79403154855652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13.8</v>
      </c>
      <c r="N14" s="14">
        <f>IF('Données projet'!$A$36&gt;35,N13+M14-V13,IF(A14&lt;'Données projet'!$A$36,$K$205^A14,IF(A14='Données projet'!$A$36,'Données projet'!$B$36,N13+M14-V13)))</f>
        <v>84.800000000000011</v>
      </c>
      <c r="O14" s="14">
        <f>N14*VLOOKUP('Données projet'!$B$9,Paramètres!$A$1:$I$89,3,0)*VLOOKUP('Données projet'!$B$9,Paramètres!$A$1:$I$89,5,0)</f>
        <v>76.727040000000017</v>
      </c>
      <c r="P14" s="14">
        <f t="shared" si="33"/>
        <v>21.334993267156719</v>
      </c>
      <c r="Q14" s="22">
        <f t="shared" si="2"/>
        <v>170.79137460696464</v>
      </c>
      <c r="R14" s="62">
        <f t="shared" si="0"/>
        <v>325.96721071504032</v>
      </c>
      <c r="S14" s="62">
        <f ca="1">AVERAGE(OFFSET($R$3,0,0,'Données projet'!$E$9+1,1))-AVERAGE(OFFSET($H$3,0,0,'Données projet'!$E$9+1,1))</f>
        <v>391.31970775590571</v>
      </c>
      <c r="T14" s="62">
        <f t="shared" si="34"/>
        <v>552.37678344309143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3.2560001912511236</v>
      </c>
      <c r="AB14" s="23">
        <f>EXP(-LN(2)/2)*AB13+(1-EXP(-LN(2)/2))/(LN(2)/2)*V14*Y14*VLOOKUP('Données projet'!$B$9,Paramètres!$A$1:$I$89,3,0)*0.475*44/12</f>
        <v>10.781753404942386</v>
      </c>
      <c r="AC14" s="24">
        <f t="shared" si="3"/>
        <v>14.037753596193509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177.77261565596979</v>
      </c>
      <c r="AN14" s="62">
        <f ca="1">AVERAGE(OFFSET($AM$3,0,0,'Données projet'!$E$10+1,1))-AVERAGE(OFFSET($H$3,0,0,'Données projet'!$E$10+1,1))</f>
        <v>499.92116338695428</v>
      </c>
      <c r="AO14" s="62">
        <f t="shared" si="36"/>
        <v>316.79403154855652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13.8</v>
      </c>
      <c r="N15" s="14">
        <f>IF('Données projet'!$A$36&gt;35,N14+M15-V14,IF(A15&lt;'Données projet'!$A$36,$K$205^A15,IF(A15='Données projet'!$A$36,'Données projet'!$B$36,N14+M15-V14)))</f>
        <v>98.600000000000009</v>
      </c>
      <c r="O15" s="14">
        <f>N15*VLOOKUP('Données projet'!$B$9,Paramètres!$A$1:$I$89,3,0)*VLOOKUP('Données projet'!$B$9,Paramètres!$A$1:$I$89,5,0)</f>
        <v>89.213280000000012</v>
      </c>
      <c r="P15" s="14">
        <f t="shared" si="33"/>
        <v>24.375390230293569</v>
      </c>
      <c r="Q15" s="22">
        <f t="shared" si="2"/>
        <v>197.83360065109466</v>
      </c>
      <c r="R15" s="62">
        <f t="shared" si="0"/>
        <v>356.22552904591527</v>
      </c>
      <c r="S15" s="62">
        <f ca="1">AVERAGE(OFFSET($R$3,0,0,'Données projet'!$E$9+1,1))-AVERAGE(OFFSET($H$3,0,0,'Données projet'!$E$9+1,1))</f>
        <v>391.31970775590571</v>
      </c>
      <c r="T15" s="62">
        <f t="shared" si="34"/>
        <v>552.37678344309143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3.1669646947957535</v>
      </c>
      <c r="AB15" s="23">
        <f>EXP(-LN(2)/2)*AB14+(1-EXP(-LN(2)/2))/(LN(2)/2)*V15*Y15*VLOOKUP('Données projet'!$B$9,Paramètres!$A$1:$I$89,3,0)*0.475*44/12</f>
        <v>7.62385094571591</v>
      </c>
      <c r="AC15" s="24">
        <f t="shared" si="3"/>
        <v>10.790815640511664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186.21479912499538</v>
      </c>
      <c r="AN15" s="62">
        <f ca="1">AVERAGE(OFFSET($AM$3,0,0,'Données projet'!$E$10+1,1))-AVERAGE(OFFSET($H$3,0,0,'Données projet'!$E$10+1,1))</f>
        <v>499.92116338695428</v>
      </c>
      <c r="AO15" s="62">
        <f t="shared" si="36"/>
        <v>316.79403154855652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13.8</v>
      </c>
      <c r="N16" s="14">
        <f>IF('Données projet'!$A$36&gt;35,N15+M16-V15,IF(A16&lt;'Données projet'!$A$36,$K$205^A16,IF(A16='Données projet'!$A$36,'Données projet'!$B$36,N15+M16-V15)))</f>
        <v>112.4</v>
      </c>
      <c r="O16" s="14">
        <f>N16*VLOOKUP('Données projet'!$B$9,Paramètres!$A$1:$I$89,3,0)*VLOOKUP('Données projet'!$B$9,Paramètres!$A$1:$I$89,5,0)</f>
        <v>101.69951999999999</v>
      </c>
      <c r="P16" s="14">
        <f t="shared" si="33"/>
        <v>27.366486780557949</v>
      </c>
      <c r="Q16" s="22">
        <f t="shared" si="2"/>
        <v>224.78996180947172</v>
      </c>
      <c r="R16" s="62">
        <f t="shared" si="0"/>
        <v>386.36339330304338</v>
      </c>
      <c r="S16" s="62">
        <f ca="1">AVERAGE(OFFSET($R$3,0,0,'Données projet'!$E$9+1,1))-AVERAGE(OFFSET($H$3,0,0,'Données projet'!$E$9+1,1))</f>
        <v>391.31970775590571</v>
      </c>
      <c r="T16" s="62">
        <f t="shared" si="34"/>
        <v>552.37678344309143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3.0803638786731287</v>
      </c>
      <c r="AB16" s="23">
        <f>EXP(-LN(2)/2)*AB15+(1-EXP(-LN(2)/2))/(LN(2)/2)*V16*Y16*VLOOKUP('Données projet'!$B$9,Paramètres!$A$1:$I$89,3,0)*0.475*44/12</f>
        <v>5.3908767024711937</v>
      </c>
      <c r="AC16" s="24">
        <f t="shared" si="3"/>
        <v>8.4712405811443219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195.83513937200854</v>
      </c>
      <c r="AN16" s="62">
        <f ca="1">AVERAGE(OFFSET($AM$3,0,0,'Données projet'!$E$10+1,1))-AVERAGE(OFFSET($H$3,0,0,'Données projet'!$E$10+1,1))</f>
        <v>499.92116338695428</v>
      </c>
      <c r="AO16" s="62">
        <f t="shared" si="36"/>
        <v>316.79403154855652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13.8</v>
      </c>
      <c r="N17" s="14">
        <f>IF('Données projet'!$A$36&gt;35,N16+M17-V16,IF(A17&lt;'Données projet'!$A$36,$K$205^A17,IF(A17='Données projet'!$A$36,'Données projet'!$B$36,N16+M17-V16)))</f>
        <v>126.2</v>
      </c>
      <c r="O17" s="14">
        <f>N17*VLOOKUP('Données projet'!$B$9,Paramètres!$A$1:$I$89,3,0)*VLOOKUP('Données projet'!$B$9,Paramètres!$A$1:$I$89,5,0)</f>
        <v>114.18576</v>
      </c>
      <c r="P17" s="14">
        <f t="shared" si="33"/>
        <v>30.315028515433259</v>
      </c>
      <c r="Q17" s="22">
        <f t="shared" si="2"/>
        <v>251.67220666437959</v>
      </c>
      <c r="R17" s="62">
        <f t="shared" si="0"/>
        <v>416.39315211379039</v>
      </c>
      <c r="S17" s="62">
        <f ca="1">AVERAGE(OFFSET($R$3,0,0,'Données projet'!$E$9+1,1))-AVERAGE(OFFSET($H$3,0,0,'Données projet'!$E$9+1,1))</f>
        <v>391.31970775590571</v>
      </c>
      <c r="T17" s="62">
        <f t="shared" si="34"/>
        <v>552.37678344309143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2.9961311664215158</v>
      </c>
      <c r="AB17" s="23">
        <f>EXP(-LN(2)/2)*AB16+(1-EXP(-LN(2)/2))/(LN(2)/2)*V17*Y17*VLOOKUP('Données projet'!$B$9,Paramètres!$A$1:$I$89,3,0)*0.475*44/12</f>
        <v>3.8119254728579555</v>
      </c>
      <c r="AC17" s="24">
        <f t="shared" si="3"/>
        <v>6.8080566392794708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206.9165417460791</v>
      </c>
      <c r="AN17" s="62">
        <f ca="1">AVERAGE(OFFSET($AM$3,0,0,'Données projet'!$E$10+1,1))-AVERAGE(OFFSET($H$3,0,0,'Données projet'!$E$10+1,1))</f>
        <v>499.92116338695428</v>
      </c>
      <c r="AO17" s="62">
        <f t="shared" si="36"/>
        <v>316.79403154855652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140</v>
      </c>
      <c r="L18" s="13">
        <f>VLOOKUP(A18,'Données projet'!$A$35:$I$55,9,0)</f>
        <v>13.8</v>
      </c>
      <c r="M18" s="13">
        <f t="array" ref="M18">INDEX(L:L,MIN(IF(ISNUMBER(L18:L214),ROW(L18:L214),"")))</f>
        <v>13.8</v>
      </c>
      <c r="N18" s="14">
        <f>IF('Données projet'!$A$36&gt;35,N17+M18-V17,IF(A18&lt;'Données projet'!$A$36,$K$205^A18,IF(A18='Données projet'!$A$36,'Données projet'!$B$36,N17+M18-V17)))</f>
        <v>140</v>
      </c>
      <c r="O18" s="14">
        <f>N18*VLOOKUP('Données projet'!$B$9,Paramètres!$A$1:$I$89,3,0)*VLOOKUP('Données projet'!$B$9,Paramètres!$A$1:$I$89,5,0)</f>
        <v>126.67199999999998</v>
      </c>
      <c r="P18" s="14">
        <f t="shared" si="33"/>
        <v>33.226199426361347</v>
      </c>
      <c r="Q18" s="22">
        <f t="shared" si="2"/>
        <v>278.48936400091264</v>
      </c>
      <c r="R18" s="62">
        <f t="shared" si="0"/>
        <v>446.32442389889184</v>
      </c>
      <c r="S18" s="62">
        <f ca="1">AVERAGE(OFFSET($R$3,0,0,'Données projet'!$E$9+1,1))-AVERAGE(OFFSET($H$3,0,0,'Données projet'!$E$9+1,1))</f>
        <v>391.31970775590571</v>
      </c>
      <c r="T18" s="62">
        <f t="shared" si="34"/>
        <v>552.37678344309143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23</v>
      </c>
      <c r="W18" s="17">
        <f>IF(ISNA(VLOOKUP(A18,'Données projet'!$A$35:$I$55,5,0)),0%,VLOOKUP(A18,'Données projet'!$A$35:$I$55,5,0)*VLOOKUP('Données projet'!$B$9,Paramètres!$A$1:$I$89,7,0))</f>
        <v>0.12</v>
      </c>
      <c r="X18" s="17">
        <f>IF(ISNA(VLOOKUP(A18,'Données projet'!$A$35:$I$55,6,0)),0%,VLOOKUP(A18,'Données projet'!$A$35:$I$55,6,0)*VLOOKUP('Données projet'!$B$9,Paramètres!$A$1:$I$89,7,0))</f>
        <v>0.12</v>
      </c>
      <c r="Y18" s="17">
        <f>IF(ISNA(VLOOKUP(A18,'Données projet'!$A$35:$I$55,7,0)),0%,VLOOKUP(A18,'Données projet'!$A$35:$I$55,7,0))</f>
        <v>0.2</v>
      </c>
      <c r="Z18" s="23">
        <f>EXP(-LN(2)/35)*Z17+(1-EXP(-LN(2)/35))/(LN(2)/35)*V18*W18*VLOOKUP('Données projet'!$B$9,Paramètres!$A$1:$I$89,3,0)*0.475*44/12</f>
        <v>2.7606336943479004</v>
      </c>
      <c r="AA18" s="23">
        <f>EXP(-LN(2)/25)*AA17+(1-EXP(-LN(2)/25))/(LN(2)/25)*Calculateur!V18*Calculateur!X18*VLOOKUP('Données projet'!$B$9,Paramètres!$A$1:$I$89,3,0)*0.475*44/12</f>
        <v>5.6639658297253774</v>
      </c>
      <c r="AB18" s="23">
        <f>EXP(-LN(2)/2)*AB17+(1-EXP(-LN(2)/2))/(LN(2)/2)*V18*Y18*VLOOKUP('Données projet'!$B$9,Paramètres!$A$1:$I$89,3,0)*0.475*44/12</f>
        <v>6.6224728519763918</v>
      </c>
      <c r="AC18" s="24">
        <f t="shared" si="3"/>
        <v>15.04707237604967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219.80780618669371</v>
      </c>
      <c r="AN18" s="62">
        <f ca="1">AVERAGE(OFFSET($AM$3,0,0,'Données projet'!$E$10+1,1))-AVERAGE(OFFSET($H$3,0,0,'Données projet'!$E$10+1,1))</f>
        <v>499.92116338695428</v>
      </c>
      <c r="AO18" s="62">
        <f t="shared" si="36"/>
        <v>316.79403154855652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12.6</v>
      </c>
      <c r="N19" s="14">
        <f>IF('Données projet'!$A$36&gt;35,N18+M19-V18,IF(A19&lt;'Données projet'!$A$36,$K$205^A19,IF(A19='Données projet'!$A$36,'Données projet'!$B$36,N18+M19-V18)))</f>
        <v>129.6</v>
      </c>
      <c r="O19" s="14">
        <f>N19*VLOOKUP('Données projet'!$B$9,Paramètres!$A$1:$I$89,3,0)*VLOOKUP('Données projet'!$B$9,Paramètres!$A$1:$I$89,5,0)</f>
        <v>117.26208</v>
      </c>
      <c r="P19" s="14">
        <f t="shared" si="33"/>
        <v>31.035569170075775</v>
      </c>
      <c r="Q19" s="22">
        <f t="shared" si="2"/>
        <v>258.28507230454863</v>
      </c>
      <c r="R19" s="62">
        <f t="shared" si="0"/>
        <v>429.20142655060647</v>
      </c>
      <c r="S19" s="62">
        <f ca="1">AVERAGE(OFFSET($R$3,0,0,'Données projet'!$E$9+1,1))-AVERAGE(OFFSET($H$3,0,0,'Données projet'!$E$9+1,1))</f>
        <v>391.31970775590571</v>
      </c>
      <c r="T19" s="62">
        <f t="shared" si="34"/>
        <v>552.37678344309143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2.7064993514220284</v>
      </c>
      <c r="AA19" s="23">
        <f>EXP(-LN(2)/25)*AA18+(1-EXP(-LN(2)/25))/(LN(2)/25)*Calculateur!V19*Calculateur!X19*VLOOKUP('Données projet'!$B$9,Paramètres!$A$1:$I$89,3,0)*0.475*44/12</f>
        <v>5.5090843862565189</v>
      </c>
      <c r="AB19" s="23">
        <f>EXP(-LN(2)/2)*AB18+(1-EXP(-LN(2)/2))/(LN(2)/2)*V19*Y19*VLOOKUP('Données projet'!$B$9,Paramètres!$A$1:$I$89,3,0)*0.475*44/12</f>
        <v>4.6827954618563226</v>
      </c>
      <c r="AC19" s="24">
        <f t="shared" si="3"/>
        <v>12.898379199534869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234.93905375858239</v>
      </c>
      <c r="AN19" s="62">
        <f ca="1">AVERAGE(OFFSET($AM$3,0,0,'Données projet'!$E$10+1,1))-AVERAGE(OFFSET($H$3,0,0,'Données projet'!$E$10+1,1))</f>
        <v>499.92116338695428</v>
      </c>
      <c r="AO19" s="62">
        <f t="shared" si="36"/>
        <v>316.79403154855652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12.6</v>
      </c>
      <c r="N20" s="14">
        <f>IF('Données projet'!$A$36&gt;35,N19+M20-V19,IF(A20&lt;'Données projet'!$A$36,$K$205^A20,IF(A20='Données projet'!$A$36,'Données projet'!$B$36,N19+M20-V19)))</f>
        <v>142.19999999999999</v>
      </c>
      <c r="O20" s="14">
        <f>N20*VLOOKUP('Données projet'!$B$9,Paramètres!$A$1:$I$89,3,0)*VLOOKUP('Données projet'!$B$9,Paramètres!$A$1:$I$89,5,0)</f>
        <v>128.66255999999998</v>
      </c>
      <c r="P20" s="14">
        <f t="shared" si="33"/>
        <v>33.687130461083775</v>
      </c>
      <c r="Q20" s="22">
        <f t="shared" si="2"/>
        <v>282.75904421972086</v>
      </c>
      <c r="R20" s="62">
        <f t="shared" si="0"/>
        <v>456.72444206873627</v>
      </c>
      <c r="S20" s="62">
        <f ca="1">AVERAGE(OFFSET($R$3,0,0,'Données projet'!$E$9+1,1))-AVERAGE(OFFSET($H$3,0,0,'Données projet'!$E$9+1,1))</f>
        <v>391.31970775590571</v>
      </c>
      <c r="T20" s="62">
        <f t="shared" si="34"/>
        <v>552.37678344309143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2.6534265499422438</v>
      </c>
      <c r="AA20" s="23">
        <f>EXP(-LN(2)/25)*AA19+(1-EXP(-LN(2)/25))/(LN(2)/25)*Calculateur!V20*Calculateur!X20*VLOOKUP('Données projet'!$B$9,Paramètres!$A$1:$I$89,3,0)*0.475*44/12</f>
        <v>5.3584381840041777</v>
      </c>
      <c r="AB20" s="23">
        <f>EXP(-LN(2)/2)*AB19+(1-EXP(-LN(2)/2))/(LN(2)/2)*V20*Y20*VLOOKUP('Données projet'!$B$9,Paramètres!$A$1:$I$89,3,0)*0.475*44/12</f>
        <v>3.3112364259881968</v>
      </c>
      <c r="AC20" s="24">
        <f t="shared" si="3"/>
        <v>11.323101159934618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252.84077271642914</v>
      </c>
      <c r="AN20" s="62">
        <f ca="1">AVERAGE(OFFSET($AM$3,0,0,'Données projet'!$E$10+1,1))-AVERAGE(OFFSET($H$3,0,0,'Données projet'!$E$10+1,1))</f>
        <v>499.92116338695428</v>
      </c>
      <c r="AO20" s="62">
        <f t="shared" si="36"/>
        <v>316.79403154855652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12.6</v>
      </c>
      <c r="N21" s="14">
        <f>IF('Données projet'!$A$36&gt;35,N20+M21-V20,IF(A21&lt;'Données projet'!$A$36,$K$205^A21,IF(A21='Données projet'!$A$36,'Données projet'!$B$36,N20+M21-V20)))</f>
        <v>154.79999999999998</v>
      </c>
      <c r="O21" s="14">
        <f>N21*VLOOKUP('Données projet'!$B$9,Paramètres!$A$1:$I$89,3,0)*VLOOKUP('Données projet'!$B$9,Paramètres!$A$1:$I$89,5,0)</f>
        <v>140.06303999999997</v>
      </c>
      <c r="P21" s="14">
        <f t="shared" si="33"/>
        <v>36.31144669536954</v>
      </c>
      <c r="Q21" s="22">
        <f t="shared" si="2"/>
        <v>307.18556432776853</v>
      </c>
      <c r="R21" s="62">
        <f t="shared" si="0"/>
        <v>484.16831451294661</v>
      </c>
      <c r="S21" s="62">
        <f ca="1">AVERAGE(OFFSET($R$3,0,0,'Données projet'!$E$9+1,1))-AVERAGE(OFFSET($H$3,0,0,'Données projet'!$E$9+1,1))</f>
        <v>391.31970775590571</v>
      </c>
      <c r="T21" s="62">
        <f t="shared" si="34"/>
        <v>552.37678344309143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2.601394473728265</v>
      </c>
      <c r="AA21" s="23">
        <f>EXP(-LN(2)/25)*AA20+(1-EXP(-LN(2)/25))/(LN(2)/25)*Calculateur!V21*Calculateur!X21*VLOOKUP('Données projet'!$B$9,Paramètres!$A$1:$I$89,3,0)*0.475*44/12</f>
        <v>5.211911410074566</v>
      </c>
      <c r="AB21" s="23">
        <f>EXP(-LN(2)/2)*AB20+(1-EXP(-LN(2)/2))/(LN(2)/2)*V21*Y21*VLOOKUP('Données projet'!$B$9,Paramètres!$A$1:$I$89,3,0)*0.475*44/12</f>
        <v>2.3413977309281617</v>
      </c>
      <c r="AC21" s="24">
        <f t="shared" si="3"/>
        <v>10.154703614730993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274.16733521633716</v>
      </c>
      <c r="AN21" s="62">
        <f ca="1">AVERAGE(OFFSET($AM$3,0,0,'Données projet'!$E$10+1,1))-AVERAGE(OFFSET($H$3,0,0,'Données projet'!$E$10+1,1))</f>
        <v>499.92116338695428</v>
      </c>
      <c r="AO21" s="62">
        <f t="shared" si="36"/>
        <v>316.79403154855652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12.6</v>
      </c>
      <c r="N22" s="14">
        <f>IF('Données projet'!$A$36&gt;35,N21+M22-V21,IF(A22&lt;'Données projet'!$A$36,$K$205^A22,IF(A22='Données projet'!$A$36,'Données projet'!$B$36,N21+M22-V21)))</f>
        <v>167.39999999999998</v>
      </c>
      <c r="O22" s="14">
        <f>N22*VLOOKUP('Données projet'!$B$9,Paramètres!$A$1:$I$89,3,0)*VLOOKUP('Données projet'!$B$9,Paramètres!$A$1:$I$89,5,0)</f>
        <v>151.46351999999999</v>
      </c>
      <c r="P22" s="14">
        <f t="shared" si="33"/>
        <v>38.910987614777085</v>
      </c>
      <c r="Q22" s="22">
        <f t="shared" si="2"/>
        <v>331.56893409573678</v>
      </c>
      <c r="R22" s="62">
        <f t="shared" si="0"/>
        <v>511.53789512291036</v>
      </c>
      <c r="S22" s="62">
        <f ca="1">AVERAGE(OFFSET($R$3,0,0,'Données projet'!$E$9+1,1))-AVERAGE(OFFSET($H$3,0,0,'Données projet'!$E$9+1,1))</f>
        <v>391.31970775590571</v>
      </c>
      <c r="T22" s="62">
        <f t="shared" si="34"/>
        <v>552.37678344309143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2.5503827147924096</v>
      </c>
      <c r="AA22" s="23">
        <f>EXP(-LN(2)/25)*AA21+(1-EXP(-LN(2)/25))/(LN(2)/25)*Calculateur!V22*Calculateur!X22*VLOOKUP('Données projet'!$B$9,Paramètres!$A$1:$I$89,3,0)*0.475*44/12</f>
        <v>5.0693914184835682</v>
      </c>
      <c r="AB22" s="23">
        <f>EXP(-LN(2)/2)*AB21+(1-EXP(-LN(2)/2))/(LN(2)/2)*V22*Y22*VLOOKUP('Données projet'!$B$9,Paramètres!$A$1:$I$89,3,0)*0.475*44/12</f>
        <v>1.6556182129940986</v>
      </c>
      <c r="AC22" s="24">
        <f t="shared" si="3"/>
        <v>9.2753923462700776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299.72603632191687</v>
      </c>
      <c r="AN22" s="62">
        <f ca="1">AVERAGE(OFFSET($AM$3,0,0,'Données projet'!$E$10+1,1))-AVERAGE(OFFSET($H$3,0,0,'Données projet'!$E$10+1,1))</f>
        <v>499.92116338695428</v>
      </c>
      <c r="AO22" s="62">
        <f t="shared" si="36"/>
        <v>316.79403154855652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180</v>
      </c>
      <c r="L23" s="13">
        <f>VLOOKUP(A23,'Données projet'!$A$35:$I$55,9,0)</f>
        <v>12.6</v>
      </c>
      <c r="M23" s="13">
        <f t="array" ref="M23">INDEX(L:L,MIN(IF(ISNUMBER(L23:L219),ROW(L23:L219),"")))</f>
        <v>12.6</v>
      </c>
      <c r="N23" s="14">
        <f>IF('Données projet'!$A$36&gt;35,N22+M23-V22,IF(A23&lt;'Données projet'!$A$36,$K$205^A23,IF(A23='Données projet'!$A$36,'Données projet'!$B$36,N22+M23-V22)))</f>
        <v>179.99999999999997</v>
      </c>
      <c r="O23" s="14">
        <f>N23*VLOOKUP('Données projet'!$B$9,Paramètres!$A$1:$I$89,3,0)*VLOOKUP('Données projet'!$B$9,Paramètres!$A$1:$I$89,5,0)</f>
        <v>162.86399999999998</v>
      </c>
      <c r="P23" s="14">
        <f t="shared" si="33"/>
        <v>41.487830069509123</v>
      </c>
      <c r="Q23" s="22">
        <f t="shared" si="2"/>
        <v>355.91277070439497</v>
      </c>
      <c r="R23" s="62">
        <f t="shared" si="0"/>
        <v>538.83734131469873</v>
      </c>
      <c r="S23" s="62">
        <f ca="1">AVERAGE(OFFSET($R$3,0,0,'Données projet'!$E$9+1,1))-AVERAGE(OFFSET($H$3,0,0,'Données projet'!$E$9+1,1))</f>
        <v>391.31970775590571</v>
      </c>
      <c r="T23" s="62">
        <f t="shared" si="34"/>
        <v>552.37678344309143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18</v>
      </c>
      <c r="W23" s="17">
        <f>IF(ISNA(VLOOKUP(A23,'Données projet'!$A$35:$I$55,5,0)),0%,VLOOKUP(A23,'Données projet'!$A$35:$I$55,5,0)*VLOOKUP('Données projet'!$B$9,Paramètres!$A$1:$I$89,7,0))</f>
        <v>0.18</v>
      </c>
      <c r="X23" s="78">
        <f>IF(ISNA(VLOOKUP(A23,'Données projet'!$A$35:$I$55,6,0)),0%,VLOOKUP(A23,'Données projet'!$A$35:$I$55,6,0)*VLOOKUP('Données projet'!$B$9,Paramètres!$A$1:$I$89,7,0))</f>
        <v>0.06</v>
      </c>
      <c r="Y23" s="17">
        <f>IF(ISNA(VLOOKUP(A23,'Données projet'!$A$35:$I$55,7,0)),0%,VLOOKUP(A23,'Données projet'!$A$35:$I$55,7,0))</f>
        <v>0.2</v>
      </c>
      <c r="Z23" s="23">
        <f>EXP(-LN(2)/35)*Z22+(1-EXP(-LN(2)/35))/(LN(2)/35)*V23*W23*VLOOKUP('Données projet'!$B$9,Paramètres!$A$1:$I$89,3,0)*0.475*44/12</f>
        <v>5.7411151673957646</v>
      </c>
      <c r="AA23" s="23">
        <f>EXP(-LN(2)/25)*AA22+(1-EXP(-LN(2)/25))/(LN(2)/25)*Calculateur!V23*Calculateur!X23*VLOOKUP('Données projet'!$B$9,Paramètres!$A$1:$I$89,3,0)*0.475*44/12</f>
        <v>6.0067632630567367</v>
      </c>
      <c r="AB23" s="23">
        <f>EXP(-LN(2)/2)*AB22+(1-EXP(-LN(2)/2))/(LN(2)/2)*V23*Y23*VLOOKUP('Données projet'!$B$9,Paramètres!$A$1:$I$89,3,0)*0.475*44/12</f>
        <v>4.2440302138699195</v>
      </c>
      <c r="AC23" s="24">
        <f t="shared" si="3"/>
        <v>15.991908644322422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330.51295481465081</v>
      </c>
      <c r="AN23" s="62">
        <f ca="1">AVERAGE(OFFSET($AM$3,0,0,'Données projet'!$E$10+1,1))-AVERAGE(OFFSET($H$3,0,0,'Données projet'!$E$10+1,1))</f>
        <v>499.92116338695428</v>
      </c>
      <c r="AO23" s="62">
        <f t="shared" si="36"/>
        <v>316.79403154855652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10.4</v>
      </c>
      <c r="N24" s="14">
        <f>IF('Données projet'!$A$36&gt;35,N23+M24-V23,IF(A24&lt;'Données projet'!$A$36,$K$205^A24,IF(A24='Données projet'!$A$36,'Données projet'!$B$36,N23+M24-V23)))</f>
        <v>172.39999999999998</v>
      </c>
      <c r="O24" s="14">
        <f>N24*VLOOKUP('Données projet'!$B$9,Paramètres!$A$1:$I$89,3,0)*VLOOKUP('Données projet'!$B$9,Paramètres!$A$1:$I$89,5,0)</f>
        <v>155.98751999999996</v>
      </c>
      <c r="P24" s="14">
        <f t="shared" si="33"/>
        <v>39.936155927663087</v>
      </c>
      <c r="Q24" s="22">
        <f t="shared" si="2"/>
        <v>341.23373557401311</v>
      </c>
      <c r="R24" s="62">
        <f t="shared" si="0"/>
        <v>527.0838453720088</v>
      </c>
      <c r="S24" s="62">
        <f ca="1">AVERAGE(OFFSET($R$3,0,0,'Données projet'!$E$9+1,1))-AVERAGE(OFFSET($H$3,0,0,'Données projet'!$E$9+1,1))</f>
        <v>391.31970775590571</v>
      </c>
      <c r="T24" s="62">
        <f t="shared" si="34"/>
        <v>552.37678344309143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5.6285354006976185</v>
      </c>
      <c r="AA24" s="23">
        <f>EXP(-LN(2)/25)*AA23+(1-EXP(-LN(2)/25))/(LN(2)/25)*Calculateur!V24*Calculateur!X24*VLOOKUP('Données projet'!$B$9,Paramètres!$A$1:$I$89,3,0)*0.475*44/12</f>
        <v>5.8425080057464989</v>
      </c>
      <c r="AB24" s="23">
        <f>EXP(-LN(2)/2)*AB23+(1-EXP(-LN(2)/2))/(LN(2)/2)*V24*Y24*VLOOKUP('Données projet'!$B$9,Paramètres!$A$1:$I$89,3,0)*0.475*44/12</f>
        <v>3.0009825437880138</v>
      </c>
      <c r="AC24" s="24">
        <f t="shared" si="3"/>
        <v>14.472025950232132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67.136160000000004</v>
      </c>
      <c r="AK24" s="14">
        <f t="shared" si="35"/>
        <v>18.960545405756019</v>
      </c>
      <c r="AL24" s="22">
        <f t="shared" si="4"/>
        <v>149.95176191502506</v>
      </c>
      <c r="AM24" s="62">
        <f t="shared" si="5"/>
        <v>335.80187171302077</v>
      </c>
      <c r="AN24" s="62">
        <f ca="1">AVERAGE(OFFSET($AM$3,0,0,'Données projet'!$E$10+1,1))-AVERAGE(OFFSET($H$3,0,0,'Données projet'!$E$10+1,1))</f>
        <v>499.92116338695428</v>
      </c>
      <c r="AO24" s="62">
        <f t="shared" si="36"/>
        <v>316.79403154855652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10.4</v>
      </c>
      <c r="N25" s="14">
        <f>IF('Données projet'!$A$36&gt;35,N24+M25-V24,IF(A25&lt;'Données projet'!$A$36,$K$205^A25,IF(A25='Données projet'!$A$36,'Données projet'!$B$36,N24+M25-V24)))</f>
        <v>182.79999999999998</v>
      </c>
      <c r="O25" s="14">
        <f>N25*VLOOKUP('Données projet'!$B$9,Paramètres!$A$1:$I$89,3,0)*VLOOKUP('Données projet'!$B$9,Paramètres!$A$1:$I$89,5,0)</f>
        <v>165.39743999999999</v>
      </c>
      <c r="P25" s="14">
        <f t="shared" si="33"/>
        <v>42.057562385840804</v>
      </c>
      <c r="Q25" s="22">
        <f t="shared" si="2"/>
        <v>361.31746248867267</v>
      </c>
      <c r="R25" s="62">
        <f t="shared" si="0"/>
        <v>550.06356273305573</v>
      </c>
      <c r="S25" s="62">
        <f ca="1">AVERAGE(OFFSET($R$3,0,0,'Données projet'!$E$9+1,1))-AVERAGE(OFFSET($H$3,0,0,'Données projet'!$E$9+1,1))</f>
        <v>391.31970775590571</v>
      </c>
      <c r="T25" s="62">
        <f t="shared" si="34"/>
        <v>552.37678344309143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5.5181632545575452</v>
      </c>
      <c r="AA25" s="23">
        <f>EXP(-LN(2)/25)*AA24+(1-EXP(-LN(2)/25))/(LN(2)/25)*Calculateur!V25*Calculateur!X25*VLOOKUP('Données projet'!$B$9,Paramètres!$A$1:$I$89,3,0)*0.475*44/12</f>
        <v>5.6827443170852181</v>
      </c>
      <c r="AB25" s="23">
        <f>EXP(-LN(2)/2)*AB24+(1-EXP(-LN(2)/2))/(LN(2)/2)*V25*Y25*VLOOKUP('Données projet'!$B$9,Paramètres!$A$1:$I$89,3,0)*0.475*44/12</f>
        <v>2.1220151069349598</v>
      </c>
      <c r="AC25" s="24">
        <f t="shared" si="3"/>
        <v>13.322922678577722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73.650720000000007</v>
      </c>
      <c r="AK25" s="14">
        <f t="shared" si="35"/>
        <v>20.577360172493922</v>
      </c>
      <c r="AL25" s="22">
        <f t="shared" si="4"/>
        <v>164.11390630042692</v>
      </c>
      <c r="AM25" s="62">
        <f t="shared" si="5"/>
        <v>352.86000654480995</v>
      </c>
      <c r="AN25" s="62">
        <f ca="1">AVERAGE(OFFSET($AM$3,0,0,'Données projet'!$E$10+1,1))-AVERAGE(OFFSET($H$3,0,0,'Données projet'!$E$10+1,1))</f>
        <v>499.92116338695428</v>
      </c>
      <c r="AO25" s="62">
        <f t="shared" si="36"/>
        <v>316.79403154855652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10.4</v>
      </c>
      <c r="N26" s="14">
        <f>IF('Données projet'!$A$36&gt;35,N25+M26-V25,IF(A26&lt;'Données projet'!$A$36,$K$205^A26,IF(A26='Données projet'!$A$36,'Données projet'!$B$36,N25+M26-V25)))</f>
        <v>193.2</v>
      </c>
      <c r="O26" s="14">
        <f>N26*VLOOKUP('Données projet'!$B$9,Paramètres!$A$1:$I$89,3,0)*VLOOKUP('Données projet'!$B$9,Paramètres!$A$1:$I$89,5,0)</f>
        <v>174.80735999999999</v>
      </c>
      <c r="P26" s="14">
        <f t="shared" si="33"/>
        <v>44.164958649772579</v>
      </c>
      <c r="Q26" s="22">
        <f t="shared" si="2"/>
        <v>381.37678831502052</v>
      </c>
      <c r="R26" s="62">
        <f t="shared" si="0"/>
        <v>572.98984286908671</v>
      </c>
      <c r="S26" s="62">
        <f ca="1">AVERAGE(OFFSET($R$3,0,0,'Données projet'!$E$9+1,1))-AVERAGE(OFFSET($H$3,0,0,'Données projet'!$E$9+1,1))</f>
        <v>391.31970775590571</v>
      </c>
      <c r="T26" s="62">
        <f t="shared" si="34"/>
        <v>552.37678344309143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5.4099554388829167</v>
      </c>
      <c r="AA26" s="23">
        <f>EXP(-LN(2)/25)*AA25+(1-EXP(-LN(2)/25))/(LN(2)/25)*Calculateur!V26*Calculateur!X26*VLOOKUP('Données projet'!$B$9,Paramètres!$A$1:$I$89,3,0)*0.475*44/12</f>
        <v>5.5273493748919869</v>
      </c>
      <c r="AB26" s="23">
        <f>EXP(-LN(2)/2)*AB25+(1-EXP(-LN(2)/2))/(LN(2)/2)*V26*Y26*VLOOKUP('Données projet'!$B$9,Paramètres!$A$1:$I$89,3,0)*0.475*44/12</f>
        <v>1.5004912718940069</v>
      </c>
      <c r="AC26" s="24">
        <f t="shared" si="3"/>
        <v>12.437796085668911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80.165279999999996</v>
      </c>
      <c r="AK26" s="14">
        <f t="shared" si="35"/>
        <v>22.177591092468788</v>
      </c>
      <c r="AL26" s="22">
        <f t="shared" si="4"/>
        <v>178.24716715271646</v>
      </c>
      <c r="AM26" s="62">
        <f t="shared" si="5"/>
        <v>369.86022170678268</v>
      </c>
      <c r="AN26" s="62">
        <f ca="1">AVERAGE(OFFSET($AM$3,0,0,'Données projet'!$E$10+1,1))-AVERAGE(OFFSET($H$3,0,0,'Données projet'!$E$10+1,1))</f>
        <v>499.92116338695428</v>
      </c>
      <c r="AO26" s="62">
        <f t="shared" si="36"/>
        <v>316.79403154855652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10.4</v>
      </c>
      <c r="N27" s="14">
        <f>IF('Données projet'!$A$36&gt;35,N26+M27-V26,IF(A27&lt;'Données projet'!$A$36,$K$205^A27,IF(A27='Données projet'!$A$36,'Données projet'!$B$36,N26+M27-V26)))</f>
        <v>203.6</v>
      </c>
      <c r="O27" s="14">
        <f>N27*VLOOKUP('Données projet'!$B$9,Paramètres!$A$1:$I$89,3,0)*VLOOKUP('Données projet'!$B$9,Paramètres!$A$1:$I$89,5,0)</f>
        <v>184.21727999999999</v>
      </c>
      <c r="P27" s="14">
        <f t="shared" si="33"/>
        <v>46.25918487744358</v>
      </c>
      <c r="Q27" s="22">
        <f t="shared" si="2"/>
        <v>401.41317632821421</v>
      </c>
      <c r="R27" s="62">
        <f t="shared" si="0"/>
        <v>595.86465276731633</v>
      </c>
      <c r="S27" s="62">
        <f ca="1">AVERAGE(OFFSET($R$3,0,0,'Données projet'!$E$9+1,1))-AVERAGE(OFFSET($H$3,0,0,'Données projet'!$E$9+1,1))</f>
        <v>391.31970775590571</v>
      </c>
      <c r="T27" s="62">
        <f t="shared" si="34"/>
        <v>552.37678344309143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5.3038695124734172</v>
      </c>
      <c r="AA27" s="23">
        <f>EXP(-LN(2)/25)*AA26+(1-EXP(-LN(2)/25))/(LN(2)/25)*Calculateur!V27*Calculateur!X27*VLOOKUP('Données projet'!$B$9,Paramètres!$A$1:$I$89,3,0)*0.475*44/12</f>
        <v>5.3762037155648947</v>
      </c>
      <c r="AB27" s="23">
        <f>EXP(-LN(2)/2)*AB26+(1-EXP(-LN(2)/2))/(LN(2)/2)*V27*Y27*VLOOKUP('Données projet'!$B$9,Paramètres!$A$1:$I$89,3,0)*0.475*44/12</f>
        <v>1.0610075534674799</v>
      </c>
      <c r="AC27" s="24">
        <f t="shared" si="3"/>
        <v>11.741080781505792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86.679839999999999</v>
      </c>
      <c r="AK27" s="14">
        <f t="shared" si="35"/>
        <v>23.762739053789723</v>
      </c>
      <c r="AL27" s="22">
        <f t="shared" si="4"/>
        <v>192.35415851868379</v>
      </c>
      <c r="AM27" s="62">
        <f t="shared" si="5"/>
        <v>386.80563495778586</v>
      </c>
      <c r="AN27" s="62">
        <f ca="1">AVERAGE(OFFSET($AM$3,0,0,'Données projet'!$E$10+1,1))-AVERAGE(OFFSET($H$3,0,0,'Données projet'!$E$10+1,1))</f>
        <v>499.92116338695428</v>
      </c>
      <c r="AO27" s="62">
        <f t="shared" si="36"/>
        <v>316.79403154855652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214</v>
      </c>
      <c r="L28" s="13">
        <f>VLOOKUP(A28,'Données projet'!$A$35:$I$55,9,0)</f>
        <v>10.4</v>
      </c>
      <c r="M28" s="13">
        <f t="array" ref="M28">INDEX(L:L,MIN(IF(ISNUMBER(L28:L224),ROW(L28:L224),"")))</f>
        <v>10.4</v>
      </c>
      <c r="N28" s="14">
        <f>IF('Données projet'!$A$36&gt;35,N27+M28-V27,IF(A28&lt;'Données projet'!$A$36,$K$205^A28,IF(A28='Données projet'!$A$36,'Données projet'!$B$36,N27+M28-V27)))</f>
        <v>214</v>
      </c>
      <c r="O28" s="14">
        <f>N28*VLOOKUP('Données projet'!$B$9,Paramètres!$A$1:$I$89,3,0)*VLOOKUP('Données projet'!$B$9,Paramètres!$A$1:$I$89,5,0)</f>
        <v>193.62719999999999</v>
      </c>
      <c r="P28" s="14">
        <f t="shared" si="33"/>
        <v>48.340990547231193</v>
      </c>
      <c r="Q28" s="22">
        <f t="shared" si="2"/>
        <v>421.42793186976093</v>
      </c>
      <c r="R28" s="62">
        <f t="shared" si="0"/>
        <v>618.68979274303024</v>
      </c>
      <c r="S28" s="62">
        <f ca="1">AVERAGE(OFFSET($R$3,0,0,'Données projet'!$E$9+1,1))-AVERAGE(OFFSET($H$3,0,0,'Données projet'!$E$9+1,1))</f>
        <v>391.31970775590571</v>
      </c>
      <c r="T28" s="62">
        <f t="shared" si="34"/>
        <v>552.37678344309143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0.24</v>
      </c>
      <c r="X28" s="17">
        <f>IF(ISNA(VLOOKUP(A28,'Données projet'!$A$35:$I$55,6,0)),0%,VLOOKUP(A28,'Données projet'!$A$35:$I$55,6,0)*VLOOKUP('Données projet'!$B$9,Paramètres!$A$1:$I$89,7,0))</f>
        <v>0.06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8.5606353203635308</v>
      </c>
      <c r="AA28" s="23">
        <f>EXP(-LN(2)/25)*AA27+(1-EXP(-LN(2)/25))/(LN(2)/25)*Calculateur!V28*Calculateur!X28*VLOOKUP('Données projet'!$B$9,Paramètres!$A$1:$I$89,3,0)*0.475*44/12</f>
        <v>6.0660758462955258</v>
      </c>
      <c r="AB28" s="23">
        <f>EXP(-LN(2)/2)*AB27+(1-EXP(-LN(2)/2))/(LN(2)/2)*V28*Y28*VLOOKUP('Données projet'!$B$9,Paramètres!$A$1:$I$89,3,0)*0.475*44/12</f>
        <v>0.75024563594700344</v>
      </c>
      <c r="AC28" s="24">
        <f t="shared" si="3"/>
        <v>15.37695680260606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93.194400000000002</v>
      </c>
      <c r="AK28" s="14">
        <f t="shared" si="35"/>
        <v>25.33406653691528</v>
      </c>
      <c r="AL28" s="22">
        <f t="shared" si="4"/>
        <v>206.43707921846078</v>
      </c>
      <c r="AM28" s="62">
        <f t="shared" si="5"/>
        <v>403.69894009173004</v>
      </c>
      <c r="AN28" s="62">
        <f ca="1">AVERAGE(OFFSET($AM$3,0,0,'Données projet'!$E$10+1,1))-AVERAGE(OFFSET($H$3,0,0,'Données projet'!$E$10+1,1))</f>
        <v>499.92116338695428</v>
      </c>
      <c r="AO28" s="62">
        <f t="shared" si="36"/>
        <v>316.79403154855652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208.6</v>
      </c>
      <c r="O29" s="14">
        <f>N29*VLOOKUP('Données projet'!$B$9,Paramètres!$A$1:$I$89,3,0)*VLOOKUP('Données projet'!$B$9,Paramètres!$A$1:$I$89,5,0)</f>
        <v>188.74127999999999</v>
      </c>
      <c r="P29" s="14">
        <f t="shared" si="33"/>
        <v>47.261560168122358</v>
      </c>
      <c r="Q29" s="22">
        <f t="shared" si="2"/>
        <v>411.03827995947972</v>
      </c>
      <c r="R29" s="62">
        <f t="shared" si="0"/>
        <v>611.08297420313772</v>
      </c>
      <c r="S29" s="62">
        <f ca="1">AVERAGE(OFFSET($R$3,0,0,'Données projet'!$E$9+1,1))-AVERAGE(OFFSET($H$3,0,0,'Données projet'!$E$9+1,1))</f>
        <v>391.31970775590571</v>
      </c>
      <c r="T29" s="62">
        <f t="shared" si="34"/>
        <v>552.37678344309143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8.3927664832031699</v>
      </c>
      <c r="AA29" s="23">
        <f>EXP(-LN(2)/25)*AA28+(1-EXP(-LN(2)/25))/(LN(2)/25)*Calculateur!V29*Calculateur!X29*VLOOKUP('Données projet'!$B$9,Paramètres!$A$1:$I$89,3,0)*0.475*44/12</f>
        <v>5.9001986832775097</v>
      </c>
      <c r="AB29" s="23">
        <f>EXP(-LN(2)/2)*AB28+(1-EXP(-LN(2)/2))/(LN(2)/2)*V29*Y29*VLOOKUP('Données projet'!$B$9,Paramètres!$A$1:$I$89,3,0)*0.475*44/12</f>
        <v>0.53050377673373994</v>
      </c>
      <c r="AC29" s="24">
        <f t="shared" si="3"/>
        <v>14.82346894321442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369.65814653255097</v>
      </c>
      <c r="AN29" s="62">
        <f ca="1">AVERAGE(OFFSET($AM$3,0,0,'Données projet'!$E$10+1,1))-AVERAGE(OFFSET($H$3,0,0,'Données projet'!$E$10+1,1))</f>
        <v>499.92116338695428</v>
      </c>
      <c r="AO29" s="62">
        <f t="shared" si="36"/>
        <v>316.79403154855652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217.2</v>
      </c>
      <c r="O30" s="14">
        <f>N30*VLOOKUP('Données projet'!$B$9,Paramètres!$A$1:$I$89,3,0)*VLOOKUP('Données projet'!$B$9,Paramètres!$A$1:$I$89,5,0)</f>
        <v>196.52255999999997</v>
      </c>
      <c r="P30" s="14">
        <f t="shared" si="33"/>
        <v>48.979153257338155</v>
      </c>
      <c r="Q30" s="22">
        <f t="shared" si="2"/>
        <v>427.58215058986383</v>
      </c>
      <c r="R30" s="62">
        <f t="shared" si="0"/>
        <v>630.38260508949372</v>
      </c>
      <c r="S30" s="62">
        <f ca="1">AVERAGE(OFFSET($R$3,0,0,'Données projet'!$E$9+1,1))-AVERAGE(OFFSET($H$3,0,0,'Données projet'!$E$9+1,1))</f>
        <v>391.31970775590571</v>
      </c>
      <c r="T30" s="62">
        <f t="shared" si="34"/>
        <v>552.37678344309143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8.2281894515496425</v>
      </c>
      <c r="AA30" s="23">
        <f>EXP(-LN(2)/25)*AA29+(1-EXP(-LN(2)/25))/(LN(2)/25)*Calculateur!V30*Calculateur!X30*VLOOKUP('Données projet'!$B$9,Paramètres!$A$1:$I$89,3,0)*0.475*44/12</f>
        <v>5.7388574400053223</v>
      </c>
      <c r="AB30" s="23">
        <f>EXP(-LN(2)/2)*AB29+(1-EXP(-LN(2)/2))/(LN(2)/2)*V30*Y30*VLOOKUP('Données projet'!$B$9,Paramètres!$A$1:$I$89,3,0)*0.475*44/12</f>
        <v>0.37512281797350172</v>
      </c>
      <c r="AC30" s="24">
        <f t="shared" si="3"/>
        <v>14.342169709528466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390.45505823679542</v>
      </c>
      <c r="AN30" s="62">
        <f ca="1">AVERAGE(OFFSET($AM$3,0,0,'Données projet'!$E$10+1,1))-AVERAGE(OFFSET($H$3,0,0,'Données projet'!$E$10+1,1))</f>
        <v>499.92116338695428</v>
      </c>
      <c r="AO30" s="62">
        <f t="shared" si="36"/>
        <v>316.79403154855652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225.79999999999998</v>
      </c>
      <c r="O31" s="14">
        <f>N31*VLOOKUP('Données projet'!$B$9,Paramètres!$A$1:$I$89,3,0)*VLOOKUP('Données projet'!$B$9,Paramètres!$A$1:$I$89,5,0)</f>
        <v>204.30383999999995</v>
      </c>
      <c r="P31" s="14">
        <f t="shared" si="33"/>
        <v>50.688846269088558</v>
      </c>
      <c r="Q31" s="22">
        <f t="shared" si="2"/>
        <v>444.11226191866245</v>
      </c>
      <c r="R31" s="62">
        <f t="shared" si="0"/>
        <v>649.64187321785607</v>
      </c>
      <c r="S31" s="62">
        <f ca="1">AVERAGE(OFFSET($R$3,0,0,'Données projet'!$E$9+1,1))-AVERAGE(OFFSET($H$3,0,0,'Données projet'!$E$9+1,1))</f>
        <v>391.31970775590571</v>
      </c>
      <c r="T31" s="62">
        <f t="shared" si="34"/>
        <v>552.37678344309143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8.0668396751047649</v>
      </c>
      <c r="AA31" s="23">
        <f>EXP(-LN(2)/25)*AA30+(1-EXP(-LN(2)/25))/(LN(2)/25)*Calculateur!V31*Calculateur!X31*VLOOKUP('Données projet'!$B$9,Paramètres!$A$1:$I$89,3,0)*0.475*44/12</f>
        <v>5.5819280815149801</v>
      </c>
      <c r="AB31" s="23">
        <f>EXP(-LN(2)/2)*AB30+(1-EXP(-LN(2)/2))/(LN(2)/2)*V31*Y31*VLOOKUP('Données projet'!$B$9,Paramètres!$A$1:$I$89,3,0)*0.475*44/12</f>
        <v>0.26525188836686997</v>
      </c>
      <c r="AC31" s="24">
        <f t="shared" si="3"/>
        <v>13.914019644986613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411.1849043871382</v>
      </c>
      <c r="AN31" s="62">
        <f ca="1">AVERAGE(OFFSET($AM$3,0,0,'Données projet'!$E$10+1,1))-AVERAGE(OFFSET($H$3,0,0,'Données projet'!$E$10+1,1))</f>
        <v>499.92116338695428</v>
      </c>
      <c r="AO31" s="62">
        <f t="shared" si="36"/>
        <v>316.79403154855652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234.39999999999998</v>
      </c>
      <c r="O32" s="14">
        <f>N32*VLOOKUP('Données projet'!$B$9,Paramètres!$A$1:$I$89,3,0)*VLOOKUP('Données projet'!$B$9,Paramètres!$A$1:$I$89,5,0)</f>
        <v>212.08511999999996</v>
      </c>
      <c r="P32" s="14">
        <f t="shared" si="33"/>
        <v>52.390974537063087</v>
      </c>
      <c r="Q32" s="22">
        <f t="shared" si="2"/>
        <v>460.62919798538474</v>
      </c>
      <c r="R32" s="62">
        <f t="shared" si="0"/>
        <v>668.86182413822621</v>
      </c>
      <c r="S32" s="62">
        <f ca="1">AVERAGE(OFFSET($R$3,0,0,'Données projet'!$E$9+1,1))-AVERAGE(OFFSET($H$3,0,0,'Données projet'!$E$9+1,1))</f>
        <v>391.31970775590571</v>
      </c>
      <c r="T32" s="62">
        <f t="shared" si="34"/>
        <v>552.37678344309143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7.9086538693623245</v>
      </c>
      <c r="AA32" s="23">
        <f>EXP(-LN(2)/25)*AA31+(1-EXP(-LN(2)/25))/(LN(2)/25)*Calculateur!V32*Calculateur!X32*VLOOKUP('Données projet'!$B$9,Paramètres!$A$1:$I$89,3,0)*0.475*44/12</f>
        <v>5.4292899645851129</v>
      </c>
      <c r="AB32" s="23">
        <f>EXP(-LN(2)/2)*AB31+(1-EXP(-LN(2)/2))/(LN(2)/2)*V32*Y32*VLOOKUP('Données projet'!$B$9,Paramètres!$A$1:$I$89,3,0)*0.475*44/12</f>
        <v>0.18756140898675086</v>
      </c>
      <c r="AC32" s="24">
        <f t="shared" si="3"/>
        <v>13.525505242934189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431.85218726359784</v>
      </c>
      <c r="AN32" s="62">
        <f ca="1">AVERAGE(OFFSET($AM$3,0,0,'Données projet'!$E$10+1,1))-AVERAGE(OFFSET($H$3,0,0,'Données projet'!$E$10+1,1))</f>
        <v>499.92116338695428</v>
      </c>
      <c r="AO32" s="62">
        <f t="shared" si="36"/>
        <v>316.79403154855652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243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242.99999999999997</v>
      </c>
      <c r="O33" s="14">
        <f>N33*VLOOKUP('Données projet'!$B$9,Paramètres!$A$1:$I$89,3,0)*VLOOKUP('Données projet'!$B$9,Paramètres!$A$1:$I$89,5,0)</f>
        <v>219.86639999999997</v>
      </c>
      <c r="P33" s="14">
        <f t="shared" si="33"/>
        <v>54.085847394182416</v>
      </c>
      <c r="Q33" s="22">
        <f t="shared" si="2"/>
        <v>477.13349754486762</v>
      </c>
      <c r="R33" s="62">
        <f t="shared" si="0"/>
        <v>688.04345010975806</v>
      </c>
      <c r="S33" s="62">
        <f ca="1">AVERAGE(OFFSET($R$3,0,0,'Données projet'!$E$9+1,1))-AVERAGE(OFFSET($H$3,0,0,'Données projet'!$E$9+1,1))</f>
        <v>391.31970775590571</v>
      </c>
      <c r="T33" s="62">
        <f t="shared" si="34"/>
        <v>552.37678344309143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11</v>
      </c>
      <c r="W33" s="17">
        <f>IF(ISNA(VLOOKUP(A33,'Données projet'!$A$35:$I$55,5,0)),0%,VLOOKUP(A33,'Données projet'!$A$35:$I$55,5,0)*VLOOKUP('Données projet'!$B$9,Paramètres!$A$1:$I$89,7,0))</f>
        <v>0.24</v>
      </c>
      <c r="X33" s="17">
        <f>IF(ISNA(VLOOKUP(A33,'Données projet'!$A$35:$I$55,6,0)),0%,VLOOKUP(A33,'Données projet'!$A$35:$I$55,6,0)*VLOOKUP('Données projet'!$B$9,Paramètres!$A$1:$I$89,7,0))</f>
        <v>0.06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10.394176133206409</v>
      </c>
      <c r="AA33" s="23">
        <f>EXP(-LN(2)/25)*AA32+(1-EXP(-LN(2)/25))/(LN(2)/25)*Calculateur!V33*Calculateur!X33*VLOOKUP('Données projet'!$B$9,Paramètres!$A$1:$I$89,3,0)*0.475*44/12</f>
        <v>5.9383780124613841</v>
      </c>
      <c r="AB33" s="23">
        <f>EXP(-LN(2)/2)*AB32+(1-EXP(-LN(2)/2))/(LN(2)/2)*V33*Y33*VLOOKUP('Données projet'!$B$9,Paramètres!$A$1:$I$89,3,0)*0.475*44/12</f>
        <v>0.13262594418343499</v>
      </c>
      <c r="AC33" s="24">
        <f t="shared" si="3"/>
        <v>16.465180089851227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452.46069821522315</v>
      </c>
      <c r="AN33" s="62">
        <f ca="1">AVERAGE(OFFSET($AM$3,0,0,'Données projet'!$E$10+1,1))-AVERAGE(OFFSET($H$3,0,0,'Données projet'!$E$10+1,1))</f>
        <v>499.92116338695428</v>
      </c>
      <c r="AO33" s="62">
        <f t="shared" si="36"/>
        <v>316.79403154855652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2.3990694849577223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2.3990694849577223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238.99999999999997</v>
      </c>
      <c r="O34" s="14">
        <f>N34*VLOOKUP('Données projet'!$B$9,Paramètres!$A$1:$I$89,3,0)*VLOOKUP('Données projet'!$B$9,Paramètres!$A$1:$I$89,5,0)</f>
        <v>216.24719999999996</v>
      </c>
      <c r="P34" s="14">
        <f t="shared" si="33"/>
        <v>53.298418226645332</v>
      </c>
      <c r="Q34" s="22">
        <f t="shared" si="2"/>
        <v>469.45861841140714</v>
      </c>
      <c r="R34" s="62">
        <f t="shared" si="0"/>
        <v>681.79843236155648</v>
      </c>
      <c r="S34" s="62">
        <f ca="1">AVERAGE(OFFSET($R$3,0,0,'Données projet'!$E$9+1,1))-AVERAGE(OFFSET($H$3,0,0,'Données projet'!$E$9+1,1))</f>
        <v>391.31970775590571</v>
      </c>
      <c r="T34" s="62">
        <f t="shared" si="34"/>
        <v>552.37678344309143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10.190352679055668</v>
      </c>
      <c r="AA34" s="23">
        <f>EXP(-LN(2)/25)*AA33+(1-EXP(-LN(2)/25))/(LN(2)/25)*Calculateur!V34*Calculateur!X34*VLOOKUP('Données projet'!$B$9,Paramètres!$A$1:$I$89,3,0)*0.475*44/12</f>
        <v>5.7759927534248998</v>
      </c>
      <c r="AB34" s="23">
        <f>EXP(-LN(2)/2)*AB33+(1-EXP(-LN(2)/2))/(LN(2)/2)*V34*Y34*VLOOKUP('Données projet'!$B$9,Paramètres!$A$1:$I$89,3,0)*0.475*44/12</f>
        <v>9.378070449337543E-2</v>
      </c>
      <c r="AC34" s="24">
        <f t="shared" si="3"/>
        <v>16.060126136973942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93.91824000000004</v>
      </c>
      <c r="AK34" s="14">
        <f t="shared" si="35"/>
        <v>25.507853654186022</v>
      </c>
      <c r="AL34" s="22">
        <f t="shared" si="4"/>
        <v>208.00044644770739</v>
      </c>
      <c r="AM34" s="62">
        <f t="shared" si="5"/>
        <v>420.3402603978567</v>
      </c>
      <c r="AN34" s="62">
        <f ca="1">AVERAGE(OFFSET($AM$3,0,0,'Données projet'!$E$10+1,1))-AVERAGE(OFFSET($H$3,0,0,'Données projet'!$E$10+1,1))</f>
        <v>499.92116338695428</v>
      </c>
      <c r="AO34" s="62">
        <f t="shared" si="36"/>
        <v>316.79403154855652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2.3334668037299724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2.3334668037299724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245.99999999999997</v>
      </c>
      <c r="O35" s="14">
        <f>N35*VLOOKUP('Données projet'!$B$9,Paramètres!$A$1:$I$89,3,0)*VLOOKUP('Données projet'!$B$9,Paramètres!$A$1:$I$89,5,0)</f>
        <v>222.58079999999998</v>
      </c>
      <c r="P35" s="14">
        <f t="shared" si="33"/>
        <v>54.675428546153199</v>
      </c>
      <c r="Q35" s="22">
        <f t="shared" ref="Q35:Q66" si="53">(O35+P35)*0.475*44/12</f>
        <v>482.88793138455003</v>
      </c>
      <c r="R35" s="62">
        <f t="shared" si="0"/>
        <v>696.6328018216152</v>
      </c>
      <c r="S35" s="62">
        <f ca="1">AVERAGE(OFFSET($R$3,0,0,'Données projet'!$E$9+1,1))-AVERAGE(OFFSET($H$3,0,0,'Données projet'!$E$9+1,1))</f>
        <v>391.31970775590571</v>
      </c>
      <c r="T35" s="62">
        <f t="shared" si="34"/>
        <v>552.37678344309143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9.9905260785207908</v>
      </c>
      <c r="AA35" s="23">
        <f>EXP(-LN(2)/25)*AA34+(1-EXP(-LN(2)/25))/(LN(2)/25)*Calculateur!V35*Calculateur!X35*VLOOKUP('Données projet'!$B$9,Paramètres!$A$1:$I$89,3,0)*0.475*44/12</f>
        <v>5.6180479278362379</v>
      </c>
      <c r="AB35" s="23">
        <f>EXP(-LN(2)/2)*AB34+(1-EXP(-LN(2)/2))/(LN(2)/2)*V35*Y35*VLOOKUP('Données projet'!$B$9,Paramètres!$A$1:$I$89,3,0)*0.475*44/12</f>
        <v>6.6312972091717493E-2</v>
      </c>
      <c r="AC35" s="24">
        <f t="shared" si="3"/>
        <v>15.674886978448745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103.69008000000004</v>
      </c>
      <c r="AK35" s="14">
        <f t="shared" si="35"/>
        <v>27.83924565319537</v>
      </c>
      <c r="AL35" s="22">
        <f t="shared" si="4"/>
        <v>229.08024217931529</v>
      </c>
      <c r="AM35" s="62">
        <f t="shared" si="5"/>
        <v>442.82511261638047</v>
      </c>
      <c r="AN35" s="62">
        <f ca="1">AVERAGE(OFFSET($AM$3,0,0,'Données projet'!$E$10+1,1))-AVERAGE(OFFSET($H$3,0,0,'Données projet'!$E$10+1,1))</f>
        <v>499.92116338695428</v>
      </c>
      <c r="AO35" s="62">
        <f t="shared" si="36"/>
        <v>316.79403154855652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2.2696580312702901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2.2696580312702901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252.99999999999997</v>
      </c>
      <c r="O36" s="14">
        <f>N36*VLOOKUP('Données projet'!$B$9,Paramètres!$A$1:$I$89,3,0)*VLOOKUP('Données projet'!$B$9,Paramètres!$A$1:$I$89,5,0)</f>
        <v>228.91439999999997</v>
      </c>
      <c r="P36" s="14">
        <f t="shared" si="33"/>
        <v>56.047884834417424</v>
      </c>
      <c r="Q36" s="22">
        <f t="shared" si="53"/>
        <v>496.30931275327697</v>
      </c>
      <c r="R36" s="62">
        <f t="shared" si="0"/>
        <v>711.43486508844558</v>
      </c>
      <c r="S36" s="62">
        <f ca="1">AVERAGE(OFFSET($R$3,0,0,'Données projet'!$E$9+1,1))-AVERAGE(OFFSET($H$3,0,0,'Données projet'!$E$9+1,1))</f>
        <v>391.31970775590571</v>
      </c>
      <c r="T36" s="62">
        <f t="shared" si="34"/>
        <v>552.37678344309143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9.7946179557402111</v>
      </c>
      <c r="AA36" s="23">
        <f>EXP(-LN(2)/25)*AA35+(1-EXP(-LN(2)/25))/(LN(2)/25)*Calculateur!V36*Calculateur!X36*VLOOKUP('Données projet'!$B$9,Paramètres!$A$1:$I$89,3,0)*0.475*44/12</f>
        <v>5.464422111809256</v>
      </c>
      <c r="AB36" s="23">
        <f>EXP(-LN(2)/2)*AB35+(1-EXP(-LN(2)/2))/(LN(2)/2)*V36*Y36*VLOOKUP('Données projet'!$B$9,Paramètres!$A$1:$I$89,3,0)*0.475*44/12</f>
        <v>4.6890352246687715E-2</v>
      </c>
      <c r="AC36" s="24">
        <f t="shared" si="3"/>
        <v>15.305930419796155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113.46192000000002</v>
      </c>
      <c r="AK36" s="14">
        <f t="shared" si="35"/>
        <v>30.145163126535493</v>
      </c>
      <c r="AL36" s="22">
        <f t="shared" si="4"/>
        <v>250.11566977871598</v>
      </c>
      <c r="AM36" s="62">
        <f t="shared" si="5"/>
        <v>465.24122211388465</v>
      </c>
      <c r="AN36" s="62">
        <f ca="1">AVERAGE(OFFSET($AM$3,0,0,'Données projet'!$E$10+1,1))-AVERAGE(OFFSET($H$3,0,0,'Données projet'!$E$10+1,1))</f>
        <v>499.92116338695428</v>
      </c>
      <c r="AO36" s="62">
        <f t="shared" si="36"/>
        <v>316.79403154855652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2.2075941130490757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2.2075941130490757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260</v>
      </c>
      <c r="O37" s="14">
        <f>N37*VLOOKUP('Données projet'!$B$9,Paramètres!$A$1:$I$89,3,0)*VLOOKUP('Données projet'!$B$9,Paramètres!$A$1:$I$89,5,0)</f>
        <v>235.24799999999999</v>
      </c>
      <c r="P37" s="14">
        <f t="shared" si="33"/>
        <v>57.41592756883739</v>
      </c>
      <c r="Q37" s="22">
        <f t="shared" si="53"/>
        <v>509.72300718239177</v>
      </c>
      <c r="R37" s="62">
        <f t="shared" si="0"/>
        <v>726.20528967147413</v>
      </c>
      <c r="S37" s="62">
        <f ca="1">AVERAGE(OFFSET($R$3,0,0,'Données projet'!$E$9+1,1))-AVERAGE(OFFSET($H$3,0,0,'Données projet'!$E$9+1,1))</f>
        <v>391.31970775590571</v>
      </c>
      <c r="T37" s="62">
        <f t="shared" si="34"/>
        <v>552.37678344309143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9.6025514717552021</v>
      </c>
      <c r="AA37" s="23">
        <f>EXP(-LN(2)/25)*AA36+(1-EXP(-LN(2)/25))/(LN(2)/25)*Calculateur!V37*Calculateur!X37*VLOOKUP('Données projet'!$B$9,Paramètres!$A$1:$I$89,3,0)*0.475*44/12</f>
        <v>5.3149972018003622</v>
      </c>
      <c r="AB37" s="23">
        <f>EXP(-LN(2)/2)*AB36+(1-EXP(-LN(2)/2))/(LN(2)/2)*V37*Y37*VLOOKUP('Données projet'!$B$9,Paramètres!$A$1:$I$89,3,0)*0.475*44/12</f>
        <v>3.3156486045858746E-2</v>
      </c>
      <c r="AC37" s="24">
        <f t="shared" si="3"/>
        <v>14.950705159601425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123.23376000000005</v>
      </c>
      <c r="AK37" s="14">
        <f t="shared" si="35"/>
        <v>32.428049504876491</v>
      </c>
      <c r="AL37" s="22">
        <f t="shared" si="4"/>
        <v>271.11098488765998</v>
      </c>
      <c r="AM37" s="62">
        <f t="shared" si="5"/>
        <v>487.59326737674235</v>
      </c>
      <c r="AN37" s="62">
        <f ca="1">AVERAGE(OFFSET($AM$3,0,0,'Données projet'!$E$10+1,1))-AVERAGE(OFFSET($H$3,0,0,'Données projet'!$E$10+1,1))</f>
        <v>499.92116338695428</v>
      </c>
      <c r="AO37" s="62">
        <f t="shared" si="36"/>
        <v>316.79403154855652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2.1472273359354199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2.1472273359354199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267</v>
      </c>
      <c r="L38" s="13">
        <f>VLOOKUP(A38,'Données projet'!$A$35:$I$55,9,0)</f>
        <v>7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267</v>
      </c>
      <c r="O38" s="14">
        <f>N38*VLOOKUP('Données projet'!$B$9,Paramètres!$A$1:$I$89,3,0)*VLOOKUP('Données projet'!$B$9,Paramètres!$A$1:$I$89,5,0)</f>
        <v>241.58159999999998</v>
      </c>
      <c r="P38" s="14">
        <f t="shared" si="33"/>
        <v>58.779689232021951</v>
      </c>
      <c r="Q38" s="22">
        <f t="shared" si="53"/>
        <v>523.12924541243819</v>
      </c>
      <c r="R38" s="62">
        <f t="shared" si="0"/>
        <v>740.94472182045808</v>
      </c>
      <c r="S38" s="62">
        <f ca="1">AVERAGE(OFFSET($R$3,0,0,'Données projet'!$E$9+1,1))-AVERAGE(OFFSET($H$3,0,0,'Données projet'!$E$9+1,1))</f>
        <v>391.31970775590571</v>
      </c>
      <c r="T38" s="62">
        <f t="shared" si="34"/>
        <v>552.37678344309143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9.4142512943721517</v>
      </c>
      <c r="AA38" s="23">
        <f>EXP(-LN(2)/25)*AA37+(1-EXP(-LN(2)/25))/(LN(2)/25)*Calculateur!V38*Calculateur!X38*VLOOKUP('Données projet'!$B$9,Paramètres!$A$1:$I$89,3,0)*0.475*44/12</f>
        <v>5.169658323813576</v>
      </c>
      <c r="AB38" s="23">
        <f>EXP(-LN(2)/2)*AB37+(1-EXP(-LN(2)/2))/(LN(2)/2)*V38*Y38*VLOOKUP('Données projet'!$B$9,Paramètres!$A$1:$I$89,3,0)*0.475*44/12</f>
        <v>2.3445176123343858E-2</v>
      </c>
      <c r="AC38" s="24">
        <f t="shared" si="3"/>
        <v>14.607354794309073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133.00560000000004</v>
      </c>
      <c r="AK38" s="14">
        <f t="shared" si="35"/>
        <v>34.689938673073549</v>
      </c>
      <c r="AL38" s="22">
        <f t="shared" si="4"/>
        <v>292.06972985560316</v>
      </c>
      <c r="AM38" s="62">
        <f t="shared" si="5"/>
        <v>509.8852062636231</v>
      </c>
      <c r="AN38" s="62">
        <f ca="1">AVERAGE(OFFSET($AM$3,0,0,'Données projet'!$E$10+1,1))-AVERAGE(OFFSET($H$3,0,0,'Données projet'!$E$10+1,1))</f>
        <v>499.92116338695428</v>
      </c>
      <c r="AO38" s="62">
        <f t="shared" si="36"/>
        <v>316.79403154855652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2.0885112915164878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2.0885112915164878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6.2</v>
      </c>
      <c r="N39" s="14">
        <f>IF('Données projet'!$A$36&gt;35,N38+M39-V38,IF(A39&lt;'Données projet'!$A$36,$K$205^A39,IF(A39='Données projet'!$A$36,'Données projet'!$B$36,N38+M39-V38)))</f>
        <v>264.2</v>
      </c>
      <c r="O39" s="14">
        <f>N39*VLOOKUP('Données projet'!$B$9,Paramètres!$A$1:$I$89,3,0)*VLOOKUP('Données projet'!$B$9,Paramètres!$A$1:$I$89,5,0)</f>
        <v>239.04816</v>
      </c>
      <c r="P39" s="14">
        <f t="shared" si="33"/>
        <v>58.234690128947292</v>
      </c>
      <c r="Q39" s="22">
        <f t="shared" si="53"/>
        <v>517.76763064124987</v>
      </c>
      <c r="R39" s="62">
        <f t="shared" si="0"/>
        <v>736.89317303428879</v>
      </c>
      <c r="S39" s="62">
        <f ca="1">AVERAGE(OFFSET($R$3,0,0,'Données projet'!$E$9+1,1))-AVERAGE(OFFSET($H$3,0,0,'Données projet'!$E$9+1,1))</f>
        <v>391.31970775590571</v>
      </c>
      <c r="T39" s="62">
        <f t="shared" si="34"/>
        <v>552.37678344309143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9.2296435686158151</v>
      </c>
      <c r="AA39" s="23">
        <f>EXP(-LN(2)/25)*AA38+(1-EXP(-LN(2)/25))/(LN(2)/25)*Calculateur!V39*Calculateur!X39*VLOOKUP('Données projet'!$B$9,Paramètres!$A$1:$I$89,3,0)*0.475*44/12</f>
        <v>5.0282937450883782</v>
      </c>
      <c r="AB39" s="23">
        <f>EXP(-LN(2)/2)*AB38+(1-EXP(-LN(2)/2))/(LN(2)/2)*V39*Y39*VLOOKUP('Données projet'!$B$9,Paramètres!$A$1:$I$89,3,0)*0.475*44/12</f>
        <v>1.6578243022929373E-2</v>
      </c>
      <c r="AC39" s="24">
        <f t="shared" si="3"/>
        <v>14.274515556727122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117.80496000000004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478.57719055100893</v>
      </c>
      <c r="AN39" s="62">
        <f ca="1">AVERAGE(OFFSET($AM$3,0,0,'Données projet'!$E$10+1,1))-AVERAGE(OFFSET($H$3,0,0,'Données projet'!$E$10+1,1))</f>
        <v>499.92116338695428</v>
      </c>
      <c r="AO39" s="62">
        <f t="shared" si="36"/>
        <v>316.79403154855652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2.0314008404199342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2.0314008404199342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6.2</v>
      </c>
      <c r="N40" s="14">
        <f>IF('Données projet'!$A$36&gt;35,N39+M40-V39,IF(A40&lt;'Données projet'!$A$36,$K$205^A40,IF(A40='Données projet'!$A$36,'Données projet'!$B$36,N39+M40-V39)))</f>
        <v>270.39999999999998</v>
      </c>
      <c r="O40" s="14">
        <f>N40*VLOOKUP('Données projet'!$B$9,Paramètres!$A$1:$I$89,3,0)*VLOOKUP('Données projet'!$B$9,Paramètres!$A$1:$I$89,5,0)</f>
        <v>244.65791999999996</v>
      </c>
      <c r="P40" s="14">
        <f t="shared" si="33"/>
        <v>59.44058075210868</v>
      </c>
      <c r="Q40" s="22">
        <f t="shared" si="53"/>
        <v>529.6382221432558</v>
      </c>
      <c r="R40" s="62">
        <f t="shared" si="0"/>
        <v>750.05110380534256</v>
      </c>
      <c r="S40" s="62">
        <f ca="1">AVERAGE(OFFSET($R$3,0,0,'Données projet'!$E$9+1,1))-AVERAGE(OFFSET($H$3,0,0,'Données projet'!$E$9+1,1))</f>
        <v>391.31970775590571</v>
      </c>
      <c r="T40" s="62">
        <f t="shared" si="34"/>
        <v>552.37678344309143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9.0486558877619654</v>
      </c>
      <c r="AA40" s="23">
        <f>EXP(-LN(2)/25)*AA39+(1-EXP(-LN(2)/25))/(LN(2)/25)*Calculateur!V40*Calculateur!X40*VLOOKUP('Données projet'!$B$9,Paramètres!$A$1:$I$89,3,0)*0.475*44/12</f>
        <v>4.8907947882024612</v>
      </c>
      <c r="AB40" s="23">
        <f>EXP(-LN(2)/2)*AB39+(1-EXP(-LN(2)/2))/(LN(2)/2)*V40*Y40*VLOOKUP('Données projet'!$B$9,Paramètres!$A$1:$I$89,3,0)*0.475*44/12</f>
        <v>1.1722588061671929E-2</v>
      </c>
      <c r="AC40" s="24">
        <f t="shared" si="3"/>
        <v>13.951173264026098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127.93872000000003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501.61948333637878</v>
      </c>
      <c r="AN40" s="62">
        <f ca="1">AVERAGE(OFFSET($AM$3,0,0,'Données projet'!$E$10+1,1))-AVERAGE(OFFSET($H$3,0,0,'Données projet'!$E$10+1,1))</f>
        <v>499.92116338695428</v>
      </c>
      <c r="AO40" s="62">
        <f t="shared" si="36"/>
        <v>316.79403154855652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1.9758520776119237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1.9758520776119237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6.2</v>
      </c>
      <c r="N41" s="14">
        <f>IF('Données projet'!$A$36&gt;35,N40+M41-V40,IF(A41&lt;'Données projet'!$A$36,$K$205^A41,IF(A41='Données projet'!$A$36,'Données projet'!$B$36,N40+M41-V40)))</f>
        <v>276.59999999999997</v>
      </c>
      <c r="O41" s="14">
        <f>N41*VLOOKUP('Données projet'!$B$9,Paramètres!$A$1:$I$89,3,0)*VLOOKUP('Données projet'!$B$9,Paramètres!$A$1:$I$89,5,0)</f>
        <v>250.26767999999996</v>
      </c>
      <c r="P41" s="14">
        <f t="shared" si="33"/>
        <v>60.643256925083442</v>
      </c>
      <c r="Q41" s="22">
        <f t="shared" si="53"/>
        <v>541.50321514452014</v>
      </c>
      <c r="R41" s="62">
        <f t="shared" si="0"/>
        <v>763.18110361739605</v>
      </c>
      <c r="S41" s="62">
        <f ca="1">AVERAGE(OFFSET($R$3,0,0,'Données projet'!$E$9+1,1))-AVERAGE(OFFSET($H$3,0,0,'Données projet'!$E$9+1,1))</f>
        <v>391.31970775590571</v>
      </c>
      <c r="T41" s="62">
        <f t="shared" si="34"/>
        <v>552.37678344309143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8.8712172649380747</v>
      </c>
      <c r="AA41" s="23">
        <f>EXP(-LN(2)/25)*AA40+(1-EXP(-LN(2)/25))/(LN(2)/25)*Calculateur!V41*Calculateur!X41*VLOOKUP('Données projet'!$B$9,Paramètres!$A$1:$I$89,3,0)*0.475*44/12</f>
        <v>4.7570557475233448</v>
      </c>
      <c r="AB41" s="23">
        <f>EXP(-LN(2)/2)*AB40+(1-EXP(-LN(2)/2))/(LN(2)/2)*V41*Y41*VLOOKUP('Données projet'!$B$9,Paramètres!$A$1:$I$89,3,0)*0.475*44/12</f>
        <v>8.2891215114646866E-3</v>
      </c>
      <c r="AC41" s="24">
        <f t="shared" si="3"/>
        <v>13.636562133972886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138.07248000000001</v>
      </c>
      <c r="AK41" s="14">
        <f t="shared" si="35"/>
        <v>35.85508207677799</v>
      </c>
      <c r="AL41" s="22">
        <f t="shared" si="4"/>
        <v>302.9238372837217</v>
      </c>
      <c r="AM41" s="62">
        <f t="shared" si="5"/>
        <v>524.6017257565976</v>
      </c>
      <c r="AN41" s="62">
        <f ca="1">AVERAGE(OFFSET($AM$3,0,0,'Données projet'!$E$10+1,1))-AVERAGE(OFFSET($H$3,0,0,'Données projet'!$E$10+1,1))</f>
        <v>499.92116338695428</v>
      </c>
      <c r="AO41" s="62">
        <f t="shared" si="36"/>
        <v>316.79403154855652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1.9218222986440807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1.9218222986440807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6.2</v>
      </c>
      <c r="N42" s="14">
        <f>IF('Données projet'!$A$36&gt;35,N41+M42-V41,IF(A42&lt;'Données projet'!$A$36,$K$205^A42,IF(A42='Données projet'!$A$36,'Données projet'!$B$36,N41+M42-V41)))</f>
        <v>282.79999999999995</v>
      </c>
      <c r="O42" s="14">
        <f>N42*VLOOKUP('Données projet'!$B$9,Paramètres!$A$1:$I$89,3,0)*VLOOKUP('Données projet'!$B$9,Paramètres!$A$1:$I$89,5,0)</f>
        <v>255.87743999999998</v>
      </c>
      <c r="P42" s="14">
        <f t="shared" si="33"/>
        <v>61.842798995505326</v>
      </c>
      <c r="Q42" s="22">
        <f t="shared" si="53"/>
        <v>553.36274958383854</v>
      </c>
      <c r="R42" s="62">
        <f t="shared" si="0"/>
        <v>776.28369982746801</v>
      </c>
      <c r="S42" s="62">
        <f ca="1">AVERAGE(OFFSET($R$3,0,0,'Données projet'!$E$9+1,1))-AVERAGE(OFFSET($H$3,0,0,'Données projet'!$E$9+1,1))</f>
        <v>391.31970775590571</v>
      </c>
      <c r="T42" s="62">
        <f t="shared" si="34"/>
        <v>552.37678344309143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8.6972581052808877</v>
      </c>
      <c r="AA42" s="23">
        <f>EXP(-LN(2)/25)*AA41+(1-EXP(-LN(2)/25))/(LN(2)/25)*Calculateur!V42*Calculateur!X42*VLOOKUP('Données projet'!$B$9,Paramètres!$A$1:$I$89,3,0)*0.475*44/12</f>
        <v>4.6269738079446299</v>
      </c>
      <c r="AB42" s="23">
        <f>EXP(-LN(2)/2)*AB41+(1-EXP(-LN(2)/2))/(LN(2)/2)*V42*Y42*VLOOKUP('Données projet'!$B$9,Paramètres!$A$1:$I$89,3,0)*0.475*44/12</f>
        <v>5.8612940308359644E-3</v>
      </c>
      <c r="AC42" s="24">
        <f t="shared" si="3"/>
        <v>13.330093207256354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148.20624000000001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547.52738832189459</v>
      </c>
      <c r="AN42" s="62">
        <f ca="1">AVERAGE(OFFSET($AM$3,0,0,'Données projet'!$E$10+1,1))-AVERAGE(OFFSET($H$3,0,0,'Données projet'!$E$10+1,1))</f>
        <v>499.92116338695428</v>
      </c>
      <c r="AO42" s="62">
        <f t="shared" si="36"/>
        <v>316.79403154855652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1.8692699668234161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1.8692699668234161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289</v>
      </c>
      <c r="L43" s="13">
        <f>VLOOKUP(A43,'Données projet'!$A$35:$I$55,9,0)</f>
        <v>6.2</v>
      </c>
      <c r="M43" s="13">
        <f t="array" ref="M43">INDEX(L:L,MIN(IF(ISNUMBER(L43:L239),ROW(L43:L239),"")))</f>
        <v>6.2</v>
      </c>
      <c r="N43" s="14">
        <f>IF('Données projet'!$A$36&gt;35,N42+M43-V42,IF(A43&lt;'Données projet'!$A$36,$K$205^A43,IF(A43='Données projet'!$A$36,'Données projet'!$B$36,N42+M43-V42)))</f>
        <v>288.99999999999994</v>
      </c>
      <c r="O43" s="14">
        <f>N43*VLOOKUP('Données projet'!$B$9,Paramètres!$A$1:$I$89,3,0)*VLOOKUP('Données projet'!$B$9,Paramètres!$A$1:$I$89,5,0)</f>
        <v>261.48719999999992</v>
      </c>
      <c r="P43" s="14">
        <f t="shared" si="33"/>
        <v>63.039283586802391</v>
      </c>
      <c r="Q43" s="22">
        <f t="shared" si="53"/>
        <v>565.21695891368074</v>
      </c>
      <c r="R43" s="62">
        <f t="shared" si="0"/>
        <v>789.35940658541108</v>
      </c>
      <c r="S43" s="62">
        <f ca="1">AVERAGE(OFFSET($R$3,0,0,'Données projet'!$E$9+1,1))-AVERAGE(OFFSET($H$3,0,0,'Données projet'!$E$9+1,1))</f>
        <v>391.31970775590571</v>
      </c>
      <c r="T43" s="62">
        <f t="shared" si="34"/>
        <v>552.37678344309143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8.5267101786399682</v>
      </c>
      <c r="AA43" s="23">
        <f>EXP(-LN(2)/25)*AA42+(1-EXP(-LN(2)/25))/(LN(2)/25)*Calculateur!V43*Calculateur!X43*VLOOKUP('Données projet'!$B$9,Paramètres!$A$1:$I$89,3,0)*0.475*44/12</f>
        <v>4.5004489658444067</v>
      </c>
      <c r="AB43" s="23">
        <f>EXP(-LN(2)/2)*AB42+(1-EXP(-LN(2)/2))/(LN(2)/2)*V43*Y43*VLOOKUP('Données projet'!$B$9,Paramètres!$A$1:$I$89,3,0)*0.475*44/12</f>
        <v>4.1445607557323433E-3</v>
      </c>
      <c r="AC43" s="24">
        <f t="shared" si="3"/>
        <v>13.031303705240108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158.34</v>
      </c>
      <c r="AK43" s="14">
        <f t="shared" si="35"/>
        <v>40.467870812652819</v>
      </c>
      <c r="AL43" s="22">
        <f t="shared" si="4"/>
        <v>346.25704166537031</v>
      </c>
      <c r="AM43" s="62">
        <f t="shared" si="5"/>
        <v>570.39948933710059</v>
      </c>
      <c r="AN43" s="62">
        <f ca="1">AVERAGE(OFFSET($AM$3,0,0,'Données projet'!$E$10+1,1))-AVERAGE(OFFSET($H$3,0,0,'Données projet'!$E$10+1,1))</f>
        <v>499.92116338695428</v>
      </c>
      <c r="AO43" s="62">
        <f t="shared" si="36"/>
        <v>316.79403154855652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1.8181546812799945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1.8181546812799945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</v>
      </c>
      <c r="N44" s="14">
        <f>IF('Données projet'!$A$36&gt;35,N43+M44-V43,IF(A44&lt;'Données projet'!$A$36,$K$205^A44,IF(A44='Données projet'!$A$36,'Données projet'!$B$36,N43+M44-V43)))</f>
        <v>287.99999999999994</v>
      </c>
      <c r="O44" s="14">
        <f>N44*VLOOKUP('Données projet'!$B$9,Paramètres!$A$1:$I$89,3,0)*VLOOKUP('Données projet'!$B$9,Paramètres!$A$1:$I$89,5,0)</f>
        <v>260.58239999999995</v>
      </c>
      <c r="P44" s="14">
        <f t="shared" si="33"/>
        <v>62.846505929896907</v>
      </c>
      <c r="Q44" s="22">
        <f t="shared" si="53"/>
        <v>563.30534449457025</v>
      </c>
      <c r="R44" s="62">
        <f t="shared" si="0"/>
        <v>788.64809934488289</v>
      </c>
      <c r="S44" s="62">
        <f ca="1">AVERAGE(OFFSET($R$3,0,0,'Données projet'!$E$9+1,1))-AVERAGE(OFFSET($H$3,0,0,'Données projet'!$E$9+1,1))</f>
        <v>391.31970775590571</v>
      </c>
      <c r="T44" s="62">
        <f t="shared" si="34"/>
        <v>552.37678344309143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8.3595065928165138</v>
      </c>
      <c r="AA44" s="23">
        <f>EXP(-LN(2)/25)*AA43+(1-EXP(-LN(2)/25))/(LN(2)/25)*Calculateur!V44*Calculateur!X44*VLOOKUP('Données projet'!$B$9,Paramètres!$A$1:$I$89,3,0)*0.475*44/12</f>
        <v>4.3773839522050659</v>
      </c>
      <c r="AB44" s="23">
        <f>EXP(-LN(2)/2)*AB43+(1-EXP(-LN(2)/2))/(LN(2)/2)*V44*Y44*VLOOKUP('Données projet'!$B$9,Paramètres!$A$1:$I$89,3,0)*0.475*44/12</f>
        <v>2.9306470154179822E-3</v>
      </c>
      <c r="AC44" s="24">
        <f t="shared" si="3"/>
        <v>12.739821192036999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143.32032000000001</v>
      </c>
      <c r="AK44" s="14">
        <f t="shared" si="35"/>
        <v>37.056603420232349</v>
      </c>
      <c r="AL44" s="22">
        <f t="shared" si="4"/>
        <v>314.15647495690467</v>
      </c>
      <c r="AM44" s="62">
        <f t="shared" si="5"/>
        <v>539.49922980721726</v>
      </c>
      <c r="AN44" s="62">
        <f ca="1">AVERAGE(OFFSET($AM$3,0,0,'Données projet'!$E$10+1,1))-AVERAGE(OFFSET($H$3,0,0,'Données projet'!$E$10+1,1))</f>
        <v>499.92116338695428</v>
      </c>
      <c r="AO44" s="62">
        <f t="shared" si="36"/>
        <v>316.79403154855652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1.7684371459077939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1.7684371459077939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</v>
      </c>
      <c r="N45" s="14">
        <f>IF('Données projet'!$A$36&gt;35,N44+M45-V44,IF(A45&lt;'Données projet'!$A$36,$K$205^A45,IF(A45='Données projet'!$A$36,'Données projet'!$B$36,N44+M45-V44)))</f>
        <v>293.99999999999994</v>
      </c>
      <c r="O45" s="14">
        <f>N45*VLOOKUP('Données projet'!$B$9,Paramètres!$A$1:$I$89,3,0)*VLOOKUP('Données projet'!$B$9,Paramètres!$A$1:$I$89,5,0)</f>
        <v>266.01119999999992</v>
      </c>
      <c r="P45" s="14">
        <f t="shared" si="33"/>
        <v>64.00201337612566</v>
      </c>
      <c r="Q45" s="22">
        <f t="shared" si="53"/>
        <v>574.77301329675208</v>
      </c>
      <c r="R45" s="62">
        <f t="shared" si="0"/>
        <v>801.29525267958354</v>
      </c>
      <c r="S45" s="62">
        <f ca="1">AVERAGE(OFFSET($R$3,0,0,'Données projet'!$E$9+1,1))-AVERAGE(OFFSET($H$3,0,0,'Données projet'!$E$9+1,1))</f>
        <v>391.31970775590571</v>
      </c>
      <c r="T45" s="62">
        <f t="shared" si="34"/>
        <v>552.37678344309143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8.1955817673269387</v>
      </c>
      <c r="AA45" s="23">
        <f>EXP(-LN(2)/25)*AA44+(1-EXP(-LN(2)/25))/(LN(2)/25)*Calculateur!V45*Calculateur!X45*VLOOKUP('Données projet'!$B$9,Paramètres!$A$1:$I$89,3,0)*0.475*44/12</f>
        <v>4.257684157835401</v>
      </c>
      <c r="AB45" s="23">
        <f>EXP(-LN(2)/2)*AB44+(1-EXP(-LN(2)/2))/(LN(2)/2)*V45*Y45*VLOOKUP('Données projet'!$B$9,Paramètres!$A$1:$I$89,3,0)*0.475*44/12</f>
        <v>2.0722803778661716E-3</v>
      </c>
      <c r="AC45" s="24">
        <f t="shared" si="3"/>
        <v>12.455338205540206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153.63504</v>
      </c>
      <c r="AK45" s="14">
        <f t="shared" si="35"/>
        <v>39.403506785222667</v>
      </c>
      <c r="AL45" s="22">
        <f t="shared" si="4"/>
        <v>336.20880231759617</v>
      </c>
      <c r="AM45" s="62">
        <f t="shared" si="5"/>
        <v>562.73104170042757</v>
      </c>
      <c r="AN45" s="62">
        <f ca="1">AVERAGE(OFFSET($AM$3,0,0,'Données projet'!$E$10+1,1))-AVERAGE(OFFSET($H$3,0,0,'Données projet'!$E$10+1,1))</f>
        <v>499.92116338695428</v>
      </c>
      <c r="AO45" s="62">
        <f t="shared" si="36"/>
        <v>316.79403154855652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1.7200791391548775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1.7200791391548775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</v>
      </c>
      <c r="N46" s="14">
        <f>IF('Données projet'!$A$36&gt;35,N45+M46-V45,IF(A46&lt;'Données projet'!$A$36,$K$205^A46,IF(A46='Données projet'!$A$36,'Données projet'!$B$36,N45+M46-V45)))</f>
        <v>299.99999999999994</v>
      </c>
      <c r="O46" s="14">
        <f>N46*VLOOKUP('Données projet'!$B$9,Paramètres!$A$1:$I$89,3,0)*VLOOKUP('Données projet'!$B$9,Paramètres!$A$1:$I$89,5,0)</f>
        <v>271.43999999999994</v>
      </c>
      <c r="P46" s="14">
        <f t="shared" si="33"/>
        <v>65.154778959151173</v>
      </c>
      <c r="Q46" s="22">
        <f t="shared" si="53"/>
        <v>586.23590668718805</v>
      </c>
      <c r="R46" s="62">
        <f t="shared" si="0"/>
        <v>813.91716918283146</v>
      </c>
      <c r="S46" s="62">
        <f ca="1">AVERAGE(OFFSET($R$3,0,0,'Données projet'!$E$9+1,1))-AVERAGE(OFFSET($H$3,0,0,'Données projet'!$E$9+1,1))</f>
        <v>391.31970775590571</v>
      </c>
      <c r="T46" s="62">
        <f t="shared" si="34"/>
        <v>552.37678344309143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8.034871407680944</v>
      </c>
      <c r="AA46" s="23">
        <f>EXP(-LN(2)/25)*AA45+(1-EXP(-LN(2)/25))/(LN(2)/25)*Calculateur!V46*Calculateur!X46*VLOOKUP('Données projet'!$B$9,Paramètres!$A$1:$I$89,3,0)*0.475*44/12</f>
        <v>4.1412575606375128</v>
      </c>
      <c r="AB46" s="23">
        <f>EXP(-LN(2)/2)*AB45+(1-EXP(-LN(2)/2))/(LN(2)/2)*V46*Y46*VLOOKUP('Données projet'!$B$9,Paramètres!$A$1:$I$89,3,0)*0.475*44/12</f>
        <v>1.4653235077089911E-3</v>
      </c>
      <c r="AC46" s="24">
        <f t="shared" si="3"/>
        <v>12.177594291826166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163.94976</v>
      </c>
      <c r="AK46" s="14">
        <f t="shared" si="35"/>
        <v>41.732126457893308</v>
      </c>
      <c r="AL46" s="22">
        <f t="shared" si="4"/>
        <v>358.22928558083089</v>
      </c>
      <c r="AM46" s="62">
        <f t="shared" si="5"/>
        <v>585.91054807647424</v>
      </c>
      <c r="AN46" s="62">
        <f ca="1">AVERAGE(OFFSET($AM$3,0,0,'Données projet'!$E$10+1,1))-AVERAGE(OFFSET($H$3,0,0,'Données projet'!$E$10+1,1))</f>
        <v>499.92116338695428</v>
      </c>
      <c r="AO46" s="62">
        <f t="shared" si="36"/>
        <v>316.79403154855652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1.6730434846396567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1.6730434846396567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</v>
      </c>
      <c r="N47" s="14">
        <f>IF('Données projet'!$A$36&gt;35,N46+M47-V46,IF(A47&lt;'Données projet'!$A$36,$K$205^A47,IF(A47='Données projet'!$A$36,'Données projet'!$B$36,N46+M47-V46)))</f>
        <v>305.99999999999994</v>
      </c>
      <c r="O47" s="14">
        <f>N47*VLOOKUP('Données projet'!$B$9,Paramètres!$A$1:$I$89,3,0)*VLOOKUP('Données projet'!$B$9,Paramètres!$A$1:$I$89,5,0)</f>
        <v>276.86879999999996</v>
      </c>
      <c r="P47" s="14">
        <f t="shared" si="33"/>
        <v>66.30486383631866</v>
      </c>
      <c r="Q47" s="22">
        <f t="shared" si="53"/>
        <v>597.6941311815882</v>
      </c>
      <c r="R47" s="62">
        <f t="shared" si="0"/>
        <v>826.51431033022379</v>
      </c>
      <c r="S47" s="62">
        <f ca="1">AVERAGE(OFFSET($R$3,0,0,'Données projet'!$E$9+1,1))-AVERAGE(OFFSET($H$3,0,0,'Données projet'!$E$9+1,1))</f>
        <v>391.31970775590571</v>
      </c>
      <c r="T47" s="62">
        <f t="shared" si="34"/>
        <v>552.37678344309143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7.8773124801639671</v>
      </c>
      <c r="AA47" s="23">
        <f>EXP(-LN(2)/25)*AA46+(1-EXP(-LN(2)/25))/(LN(2)/25)*Calculateur!V47*Calculateur!X47*VLOOKUP('Données projet'!$B$9,Paramètres!$A$1:$I$89,3,0)*0.475*44/12</f>
        <v>4.0280146548626101</v>
      </c>
      <c r="AB47" s="23">
        <f>EXP(-LN(2)/2)*AB46+(1-EXP(-LN(2)/2))/(LN(2)/2)*V47*Y47*VLOOKUP('Données projet'!$B$9,Paramètres!$A$1:$I$89,3,0)*0.475*44/12</f>
        <v>1.0361401889330858E-3</v>
      </c>
      <c r="AC47" s="24">
        <f t="shared" si="3"/>
        <v>11.906363275215512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174.26447999999999</v>
      </c>
      <c r="AK47" s="14">
        <f t="shared" si="35"/>
        <v>44.043743683739521</v>
      </c>
      <c r="AL47" s="22">
        <f t="shared" si="4"/>
        <v>380.22015624917964</v>
      </c>
      <c r="AM47" s="62">
        <f t="shared" si="5"/>
        <v>609.04033539781517</v>
      </c>
      <c r="AN47" s="62">
        <f ca="1">AVERAGE(OFFSET($AM$3,0,0,'Données projet'!$E$10+1,1))-AVERAGE(OFFSET($H$3,0,0,'Données projet'!$E$10+1,1))</f>
        <v>499.92116338695428</v>
      </c>
      <c r="AO47" s="62">
        <f t="shared" si="36"/>
        <v>316.79403154855652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1.6272940225706523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1.6272940225706523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312</v>
      </c>
      <c r="L48" s="13">
        <f>VLOOKUP(A48,'Données projet'!$A$35:$I$55,9,0)</f>
        <v>6</v>
      </c>
      <c r="M48" s="13">
        <f t="array" ref="M48">INDEX(L:L,MIN(IF(ISNUMBER(L48:L244),ROW(L48:L244),"")))</f>
        <v>6</v>
      </c>
      <c r="N48" s="14">
        <f>IF('Données projet'!$A$36&gt;35,N47+M48-V47,IF(A48&lt;'Données projet'!$A$36,$K$205^A48,IF(A48='Données projet'!$A$36,'Données projet'!$B$36,N47+M48-V47)))</f>
        <v>311.99999999999994</v>
      </c>
      <c r="O48" s="14">
        <f>N48*VLOOKUP('Données projet'!$B$9,Paramètres!$A$1:$I$89,3,0)*VLOOKUP('Données projet'!$B$9,Paramètres!$A$1:$I$89,5,0)</f>
        <v>282.29759999999993</v>
      </c>
      <c r="P48" s="14">
        <f t="shared" si="33"/>
        <v>67.452326629470178</v>
      </c>
      <c r="Q48" s="22">
        <f t="shared" si="53"/>
        <v>609.14778887966042</v>
      </c>
      <c r="R48" s="62">
        <f t="shared" si="0"/>
        <v>839.08712702359492</v>
      </c>
      <c r="S48" s="62">
        <f ca="1">AVERAGE(OFFSET($R$3,0,0,'Données projet'!$E$9+1,1))-AVERAGE(OFFSET($H$3,0,0,'Données projet'!$E$9+1,1))</f>
        <v>391.31970775590571</v>
      </c>
      <c r="T48" s="62">
        <f t="shared" si="34"/>
        <v>552.37678344309143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312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7.7228431871141412</v>
      </c>
      <c r="AA48" s="23">
        <f>EXP(-LN(2)/25)*AA47+(1-EXP(-LN(2)/25))/(LN(2)/25)*Calculateur!V48*Calculateur!X48*VLOOKUP('Données projet'!$B$9,Paramètres!$A$1:$I$89,3,0)*0.475*44/12</f>
        <v>3.9178683823013074</v>
      </c>
      <c r="AB48" s="23">
        <f>EXP(-LN(2)/2)*AB47+(1-EXP(-LN(2)/2))/(LN(2)/2)*V48*Y48*VLOOKUP('Données projet'!$B$9,Paramètres!$A$1:$I$89,3,0)*0.475*44/12</f>
        <v>7.3266175385449555E-4</v>
      </c>
      <c r="AC48" s="24">
        <f t="shared" si="3"/>
        <v>11.641444231169302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184.57920000000001</v>
      </c>
      <c r="AK48" s="14">
        <f t="shared" si="35"/>
        <v>46.339479465836661</v>
      </c>
      <c r="AL48" s="22">
        <f t="shared" si="4"/>
        <v>402.18336673633218</v>
      </c>
      <c r="AM48" s="62">
        <f t="shared" si="5"/>
        <v>632.12270488026672</v>
      </c>
      <c r="AN48" s="62">
        <f ca="1">AVERAGE(OFFSET($AM$3,0,0,'Données projet'!$E$10+1,1))-AVERAGE(OFFSET($H$3,0,0,'Données projet'!$E$10+1,1))</f>
        <v>499.92116338695428</v>
      </c>
      <c r="AO48" s="62">
        <f t="shared" si="36"/>
        <v>316.79403154855652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1.5827955819477844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1.5827955819477844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-5.1431925385259088E-14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391.31970775590571</v>
      </c>
      <c r="T49" s="62">
        <f t="shared" si="34"/>
        <v>552.37678344309143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7.571402942684057</v>
      </c>
      <c r="AA49" s="23">
        <f>EXP(-LN(2)/25)*AA48+(1-EXP(-LN(2)/25))/(LN(2)/25)*Calculateur!V49*Calculateur!X49*VLOOKUP('Données projet'!$B$9,Paramètres!$A$1:$I$89,3,0)*0.475*44/12</f>
        <v>3.8107340653555344</v>
      </c>
      <c r="AB49" s="23">
        <f>EXP(-LN(2)/2)*AB48+(1-EXP(-LN(2)/2))/(LN(2)/2)*V49*Y49*VLOOKUP('Données projet'!$B$9,Paramètres!$A$1:$I$89,3,0)*0.475*44/12</f>
        <v>5.1807009446654291E-4</v>
      </c>
      <c r="AC49" s="24">
        <f t="shared" si="3"/>
        <v>11.382655078134059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169.19760000000002</v>
      </c>
      <c r="AK49" s="14">
        <f t="shared" si="35"/>
        <v>42.910263223432885</v>
      </c>
      <c r="AL49" s="22">
        <f t="shared" si="4"/>
        <v>369.42119511414558</v>
      </c>
      <c r="AM49" s="62">
        <f t="shared" si="5"/>
        <v>600.46027734687527</v>
      </c>
      <c r="AN49" s="62">
        <f ca="1">AVERAGE(OFFSET($AM$3,0,0,'Données projet'!$E$10+1,1))-AVERAGE(OFFSET($H$3,0,0,'Données projet'!$E$10+1,1))</f>
        <v>499.92116338695428</v>
      </c>
      <c r="AO49" s="62">
        <f t="shared" si="36"/>
        <v>316.79403154855652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1.53951395352382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1.53951395352382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-5.1431925385259088E-14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391.31970775590571</v>
      </c>
      <c r="T50" s="62">
        <f t="shared" si="34"/>
        <v>552.37678344309143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7.4229323490778185</v>
      </c>
      <c r="AA50" s="23">
        <f>EXP(-LN(2)/25)*AA49+(1-EXP(-LN(2)/25))/(LN(2)/25)*Calculateur!V50*Calculateur!X50*VLOOKUP('Données projet'!$B$9,Paramètres!$A$1:$I$89,3,0)*0.475*44/12</f>
        <v>3.7065293419405925</v>
      </c>
      <c r="AB50" s="23">
        <f>EXP(-LN(2)/2)*AB49+(1-EXP(-LN(2)/2))/(LN(2)/2)*V50*Y50*VLOOKUP('Données projet'!$B$9,Paramètres!$A$1:$I$89,3,0)*0.475*44/12</f>
        <v>3.6633087692724777E-4</v>
      </c>
      <c r="AC50" s="24">
        <f t="shared" si="3"/>
        <v>11.129828021895339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179.15040000000002</v>
      </c>
      <c r="AK50" s="14">
        <f t="shared" si="35"/>
        <v>45.133113803437304</v>
      </c>
      <c r="AL50" s="22">
        <f t="shared" si="4"/>
        <v>390.62711987431999</v>
      </c>
      <c r="AM50" s="62">
        <f t="shared" si="5"/>
        <v>622.74686809456375</v>
      </c>
      <c r="AN50" s="62">
        <f ca="1">AVERAGE(OFFSET($AM$3,0,0,'Données projet'!$E$10+1,1))-AVERAGE(OFFSET($H$3,0,0,'Données projet'!$E$10+1,1))</f>
        <v>499.92116338695428</v>
      </c>
      <c r="AO50" s="62">
        <f t="shared" si="36"/>
        <v>316.79403154855652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1.4974158635051911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1.4974158635051911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-5.1431925385259088E-14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391.31970775590571</v>
      </c>
      <c r="T51" s="62">
        <f t="shared" si="34"/>
        <v>552.37678344309143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7.2773731732540776</v>
      </c>
      <c r="AA51" s="23">
        <f>EXP(-LN(2)/25)*AA50+(1-EXP(-LN(2)/25))/(LN(2)/25)*Calculateur!V51*Calculateur!X51*VLOOKUP('Données projet'!$B$9,Paramètres!$A$1:$I$89,3,0)*0.475*44/12</f>
        <v>3.6051741021673203</v>
      </c>
      <c r="AB51" s="23">
        <f>EXP(-LN(2)/2)*AB50+(1-EXP(-LN(2)/2))/(LN(2)/2)*V51*Y51*VLOOKUP('Données projet'!$B$9,Paramètres!$A$1:$I$89,3,0)*0.475*44/12</f>
        <v>2.5903504723327146E-4</v>
      </c>
      <c r="AC51" s="24">
        <f t="shared" si="3"/>
        <v>10.882806310468631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189.10320000000002</v>
      </c>
      <c r="AK51" s="14">
        <f t="shared" si="35"/>
        <v>47.34162854278712</v>
      </c>
      <c r="AL51" s="22">
        <f t="shared" si="4"/>
        <v>411.80807637868764</v>
      </c>
      <c r="AM51" s="62">
        <f t="shared" si="5"/>
        <v>644.98974344756925</v>
      </c>
      <c r="AN51" s="62">
        <f ca="1">AVERAGE(OFFSET($AM$3,0,0,'Données projet'!$E$10+1,1))-AVERAGE(OFFSET($H$3,0,0,'Données projet'!$E$10+1,1))</f>
        <v>499.92116338695428</v>
      </c>
      <c r="AO51" s="62">
        <f t="shared" si="36"/>
        <v>316.79403154855652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1.4564689479719637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1.4564689479719637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-5.1431925385259088E-14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391.31970775590571</v>
      </c>
      <c r="T52" s="62">
        <f t="shared" si="34"/>
        <v>552.37678344309143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7.1346683240859097</v>
      </c>
      <c r="AA52" s="23">
        <f>EXP(-LN(2)/25)*AA51+(1-EXP(-LN(2)/25))/(LN(2)/25)*Calculateur!V52*Calculateur!X52*VLOOKUP('Données projet'!$B$9,Paramètres!$A$1:$I$89,3,0)*0.475*44/12</f>
        <v>3.5065904267556887</v>
      </c>
      <c r="AB52" s="23">
        <f>EXP(-LN(2)/2)*AB51+(1-EXP(-LN(2)/2))/(LN(2)/2)*V52*Y52*VLOOKUP('Données projet'!$B$9,Paramètres!$A$1:$I$89,3,0)*0.475*44/12</f>
        <v>1.8316543846362389E-4</v>
      </c>
      <c r="AC52" s="24">
        <f t="shared" si="3"/>
        <v>10.64144191628006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199.05600000000001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667.19069261048276</v>
      </c>
      <c r="AN52" s="62">
        <f ca="1">AVERAGE(OFFSET($AM$3,0,0,'Données projet'!$E$10+1,1))-AVERAGE(OFFSET($H$3,0,0,'Données projet'!$E$10+1,1))</f>
        <v>499.92116338695428</v>
      </c>
      <c r="AO52" s="62">
        <f t="shared" si="36"/>
        <v>316.79403154855652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1.4166417279972972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1.4166417279972972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-5.1431925385259088E-14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391.31970775590571</v>
      </c>
      <c r="T53" s="62">
        <f t="shared" si="34"/>
        <v>552.37678344309143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6.9947618299685663</v>
      </c>
      <c r="AA53" s="23">
        <f>EXP(-LN(2)/25)*AA52+(1-EXP(-LN(2)/25))/(LN(2)/25)*Calculateur!V53*Calculateur!X53*VLOOKUP('Données projet'!$B$9,Paramètres!$A$1:$I$89,3,0)*0.475*44/12</f>
        <v>3.4107025271324782</v>
      </c>
      <c r="AB53" s="23">
        <f>EXP(-LN(2)/2)*AB52+(1-EXP(-LN(2)/2))/(LN(2)/2)*V53*Y53*VLOOKUP('Données projet'!$B$9,Paramètres!$A$1:$I$89,3,0)*0.475*44/12</f>
        <v>1.2951752361663573E-4</v>
      </c>
      <c r="AC53" s="24">
        <f t="shared" si="3"/>
        <v>10.40559387462466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689.3513444777052</v>
      </c>
      <c r="AN53" s="62">
        <f ca="1">AVERAGE(OFFSET($AM$3,0,0,'Données projet'!$E$10+1,1))-AVERAGE(OFFSET($H$3,0,0,'Données projet'!$E$10+1,1))</f>
        <v>499.92116338695428</v>
      </c>
      <c r="AO53" s="62">
        <f t="shared" si="36"/>
        <v>316.79403154855652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1.3779035854472603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1.3779035854472603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-5.1431925385259088E-14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391.31970775590571</v>
      </c>
      <c r="T54" s="62">
        <f t="shared" si="34"/>
        <v>552.37678344309143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6.8575988168663287</v>
      </c>
      <c r="AA54" s="23">
        <f>EXP(-LN(2)/25)*AA53+(1-EXP(-LN(2)/25))/(LN(2)/25)*Calculateur!V54*Calculateur!X54*VLOOKUP('Données projet'!$B$9,Paramètres!$A$1:$I$89,3,0)*0.475*44/12</f>
        <v>3.3174366871669898</v>
      </c>
      <c r="AB54" s="23">
        <f>EXP(-LN(2)/2)*AB53+(1-EXP(-LN(2)/2))/(LN(2)/2)*V54*Y54*VLOOKUP('Données projet'!$B$9,Paramètres!$A$1:$I$89,3,0)*0.475*44/12</f>
        <v>9.1582719231811944E-5</v>
      </c>
      <c r="AC54" s="24">
        <f t="shared" si="3"/>
        <v>10.17512708675255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192.90336000000002</v>
      </c>
      <c r="AK54" s="14">
        <f t="shared" si="35"/>
        <v>48.181276881765257</v>
      </c>
      <c r="AL54" s="22">
        <f t="shared" si="4"/>
        <v>419.88907590240791</v>
      </c>
      <c r="AM54" s="62">
        <f t="shared" si="5"/>
        <v>656.1472407820097</v>
      </c>
      <c r="AN54" s="62">
        <f ca="1">AVERAGE(OFFSET($AM$3,0,0,'Données projet'!$E$10+1,1))-AVERAGE(OFFSET($H$3,0,0,'Données projet'!$E$10+1,1))</f>
        <v>499.92116338695428</v>
      </c>
      <c r="AO54" s="62">
        <f t="shared" si="36"/>
        <v>316.79403154855652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1.3402247394424047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1.3402247394424047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-5.1431925385259088E-14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391.31970775590571</v>
      </c>
      <c r="T55" s="62">
        <f t="shared" si="34"/>
        <v>552.37678344309143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6.7231254867898489</v>
      </c>
      <c r="AA55" s="23">
        <f>EXP(-LN(2)/25)*AA54+(1-EXP(-LN(2)/25))/(LN(2)/25)*Calculateur!V55*Calculateur!X55*VLOOKUP('Données projet'!$B$9,Paramètres!$A$1:$I$89,3,0)*0.475*44/12</f>
        <v>3.2267212064999953</v>
      </c>
      <c r="AB55" s="23">
        <f>EXP(-LN(2)/2)*AB54+(1-EXP(-LN(2)/2))/(LN(2)/2)*V55*Y55*VLOOKUP('Données projet'!$B$9,Paramètres!$A$1:$I$89,3,0)*0.475*44/12</f>
        <v>6.4758761808317864E-5</v>
      </c>
      <c r="AC55" s="24">
        <f t="shared" si="3"/>
        <v>9.9499114520516532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202.13232000000002</v>
      </c>
      <c r="AK55" s="14">
        <f t="shared" si="35"/>
        <v>50.212497488959627</v>
      </c>
      <c r="AL55" s="22">
        <f t="shared" si="4"/>
        <v>439.50055712660469</v>
      </c>
      <c r="AM55" s="62">
        <f t="shared" si="5"/>
        <v>676.74884857791812</v>
      </c>
      <c r="AN55" s="62">
        <f ca="1">AVERAGE(OFFSET($AM$3,0,0,'Données projet'!$E$10+1,1))-AVERAGE(OFFSET($H$3,0,0,'Données projet'!$E$10+1,1))</f>
        <v>499.92116338695428</v>
      </c>
      <c r="AO55" s="62">
        <f t="shared" si="36"/>
        <v>316.79403154855652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1.3035762234629962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1.3035762234629962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-5.1431925385259088E-14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391.31970775590571</v>
      </c>
      <c r="T56" s="62">
        <f t="shared" si="34"/>
        <v>552.37678344309143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6.5912890966955366</v>
      </c>
      <c r="AA56" s="23">
        <f>EXP(-LN(2)/25)*AA55+(1-EXP(-LN(2)/25))/(LN(2)/25)*Calculateur!V56*Calculateur!X56*VLOOKUP('Données projet'!$B$9,Paramètres!$A$1:$I$89,3,0)*0.475*44/12</f>
        <v>3.1384863454223595</v>
      </c>
      <c r="AB56" s="23">
        <f>EXP(-LN(2)/2)*AB55+(1-EXP(-LN(2)/2))/(LN(2)/2)*V56*Y56*VLOOKUP('Données projet'!$B$9,Paramètres!$A$1:$I$89,3,0)*0.475*44/12</f>
        <v>4.5791359615905972E-5</v>
      </c>
      <c r="AC56" s="24">
        <f t="shared" si="3"/>
        <v>9.7298212334775123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211.36127999999999</v>
      </c>
      <c r="AK56" s="14">
        <f t="shared" si="35"/>
        <v>52.232947669705631</v>
      </c>
      <c r="AL56" s="22">
        <f t="shared" si="4"/>
        <v>459.09327985807062</v>
      </c>
      <c r="AM56" s="62">
        <f t="shared" si="5"/>
        <v>697.31452139866781</v>
      </c>
      <c r="AN56" s="62">
        <f ca="1">AVERAGE(OFFSET($AM$3,0,0,'Données projet'!$E$10+1,1))-AVERAGE(OFFSET($H$3,0,0,'Données projet'!$E$10+1,1))</f>
        <v>499.92116338695428</v>
      </c>
      <c r="AO56" s="62">
        <f t="shared" si="36"/>
        <v>316.79403154855652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1.2679298630803064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1.2679298630803064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-5.1431925385259088E-14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391.31970775590571</v>
      </c>
      <c r="T57" s="62">
        <f t="shared" si="34"/>
        <v>552.37678344309143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6.4620379377987156</v>
      </c>
      <c r="AA57" s="23">
        <f>EXP(-LN(2)/25)*AA56+(1-EXP(-LN(2)/25))/(LN(2)/25)*Calculateur!V57*Calculateur!X57*VLOOKUP('Données projet'!$B$9,Paramètres!$A$1:$I$89,3,0)*0.475*44/12</f>
        <v>3.0526642712609613</v>
      </c>
      <c r="AB57" s="23">
        <f>EXP(-LN(2)/2)*AB56+(1-EXP(-LN(2)/2))/(LN(2)/2)*V57*Y57*VLOOKUP('Données projet'!$B$9,Paramètres!$A$1:$I$89,3,0)*0.475*44/12</f>
        <v>3.2379380904158932E-5</v>
      </c>
      <c r="AC57" s="24">
        <f t="shared" si="3"/>
        <v>9.5147345884405823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220.59023999999997</v>
      </c>
      <c r="AK57" s="14">
        <f t="shared" si="35"/>
        <v>54.24315145708789</v>
      </c>
      <c r="AL57" s="22">
        <f t="shared" si="4"/>
        <v>478.66815678776129</v>
      </c>
      <c r="AM57" s="62">
        <f t="shared" si="5"/>
        <v>717.84546990878368</v>
      </c>
      <c r="AN57" s="62">
        <f ca="1">AVERAGE(OFFSET($AM$3,0,0,'Données projet'!$E$10+1,1))-AVERAGE(OFFSET($H$3,0,0,'Données projet'!$E$10+1,1))</f>
        <v>499.92116338695428</v>
      </c>
      <c r="AO57" s="62">
        <f t="shared" si="36"/>
        <v>316.79403154855652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1.2332582542968418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1.2332582542968418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-5.1431925385259088E-14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391.31970775590571</v>
      </c>
      <c r="T58" s="62">
        <f t="shared" si="34"/>
        <v>552.37678344309143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6.3353213152924388</v>
      </c>
      <c r="AA58" s="23">
        <f>EXP(-LN(2)/25)*AA57+(1-EXP(-LN(2)/25))/(LN(2)/25)*Calculateur!V58*Calculateur!X58*VLOOKUP('Données projet'!$B$9,Paramètres!$A$1:$I$89,3,0)*0.475*44/12</f>
        <v>2.9691890062306934</v>
      </c>
      <c r="AB58" s="23">
        <f>EXP(-LN(2)/2)*AB57+(1-EXP(-LN(2)/2))/(LN(2)/2)*V58*Y58*VLOOKUP('Données projet'!$B$9,Paramètres!$A$1:$I$89,3,0)*0.475*44/12</f>
        <v>2.2895679807952986E-5</v>
      </c>
      <c r="AC58" s="24">
        <f t="shared" si="3"/>
        <v>9.3045332172029394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229.81919999999997</v>
      </c>
      <c r="AK58" s="14">
        <f t="shared" si="35"/>
        <v>56.243586554989342</v>
      </c>
      <c r="AL58" s="22">
        <f t="shared" si="4"/>
        <v>498.22601991660639</v>
      </c>
      <c r="AM58" s="62">
        <f t="shared" si="5"/>
        <v>738.34281891358955</v>
      </c>
      <c r="AN58" s="62">
        <f ca="1">AVERAGE(OFFSET($AM$3,0,0,'Données projet'!$E$10+1,1))-AVERAGE(OFFSET($H$3,0,0,'Données projet'!$E$10+1,1))</f>
        <v>499.92116338695428</v>
      </c>
      <c r="AO58" s="62">
        <f t="shared" si="36"/>
        <v>316.79403154855652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1.1995347424788616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1.1995347424788616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-5.1431925385259088E-14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391.31970775590571</v>
      </c>
      <c r="T59" s="62">
        <f t="shared" si="34"/>
        <v>552.37678344309143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6.2110895284640018</v>
      </c>
      <c r="AA59" s="23">
        <f>EXP(-LN(2)/25)*AA58+(1-EXP(-LN(2)/25))/(LN(2)/25)*Calculateur!V59*Calculateur!X59*VLOOKUP('Données projet'!$B$9,Paramètres!$A$1:$I$89,3,0)*0.475*44/12</f>
        <v>2.8879963767124512</v>
      </c>
      <c r="AB59" s="23">
        <f>EXP(-LN(2)/2)*AB58+(1-EXP(-LN(2)/2))/(LN(2)/2)*V59*Y59*VLOOKUP('Données projet'!$B$9,Paramètres!$A$1:$I$89,3,0)*0.475*44/12</f>
        <v>1.6189690452079466E-5</v>
      </c>
      <c r="AC59" s="24">
        <f t="shared" si="3"/>
        <v>9.0991020948669057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703.58892885664841</v>
      </c>
      <c r="AN59" s="62">
        <f ca="1">AVERAGE(OFFSET($AM$3,0,0,'Données projet'!$E$10+1,1))-AVERAGE(OFFSET($H$3,0,0,'Données projet'!$E$10+1,1))</f>
        <v>499.92116338695428</v>
      </c>
      <c r="AO59" s="62">
        <f t="shared" si="36"/>
        <v>316.79403154855652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1.1667334018649866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1.1667334018649866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-5.1431925385259088E-14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391.31970775590571</v>
      </c>
      <c r="T60" s="62">
        <f t="shared" si="34"/>
        <v>552.37678344309143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6.0892938512013624</v>
      </c>
      <c r="AA60" s="23">
        <f>EXP(-LN(2)/25)*AA59+(1-EXP(-LN(2)/25))/(LN(2)/25)*Calculateur!V60*Calculateur!X60*VLOOKUP('Données projet'!$B$9,Paramètres!$A$1:$I$89,3,0)*0.475*44/12</f>
        <v>2.8090239639181203</v>
      </c>
      <c r="AB60" s="23">
        <f>EXP(-LN(2)/2)*AB59+(1-EXP(-LN(2)/2))/(LN(2)/2)*V60*Y60*VLOOKUP('Données projet'!$B$9,Paramètres!$A$1:$I$89,3,0)*0.475*44/12</f>
        <v>1.1447839903976493E-5</v>
      </c>
      <c r="AC60" s="24">
        <f t="shared" si="3"/>
        <v>8.898329262959388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722.53349330211711</v>
      </c>
      <c r="AN60" s="62">
        <f ca="1">AVERAGE(OFFSET($AM$3,0,0,'Données projet'!$E$10+1,1))-AVERAGE(OFFSET($H$3,0,0,'Données projet'!$E$10+1,1))</f>
        <v>499.92116338695428</v>
      </c>
      <c r="AO60" s="62">
        <f t="shared" si="36"/>
        <v>316.79403154855652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1.1348290156351455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1.1348290156351455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-5.1431925385259088E-14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391.31970775590571</v>
      </c>
      <c r="T61" s="62">
        <f t="shared" si="34"/>
        <v>552.37678344309143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5.9698865128818159</v>
      </c>
      <c r="AA61" s="23">
        <f>EXP(-LN(2)/25)*AA60+(1-EXP(-LN(2)/25))/(LN(2)/25)*Calculateur!V61*Calculateur!X61*VLOOKUP('Données projet'!$B$9,Paramètres!$A$1:$I$89,3,0)*0.475*44/12</f>
        <v>2.7322110559046293</v>
      </c>
      <c r="AB61" s="23">
        <f>EXP(-LN(2)/2)*AB60+(1-EXP(-LN(2)/2))/(LN(2)/2)*V61*Y61*VLOOKUP('Données projet'!$B$9,Paramètres!$A$1:$I$89,3,0)*0.475*44/12</f>
        <v>8.094845226039733E-6</v>
      </c>
      <c r="AC61" s="24">
        <f t="shared" si="3"/>
        <v>8.7021056636316718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741.44793736432302</v>
      </c>
      <c r="AN61" s="62">
        <f ca="1">AVERAGE(OFFSET($AM$3,0,0,'Données projet'!$E$10+1,1))-AVERAGE(OFFSET($H$3,0,0,'Données projet'!$E$10+1,1))</f>
        <v>499.92116338695428</v>
      </c>
      <c r="AO61" s="62">
        <f t="shared" si="36"/>
        <v>316.79403154855652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1.1037970565245383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1.1037970565245383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-5.1431925385259088E-14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391.31970775590571</v>
      </c>
      <c r="T62" s="62">
        <f t="shared" si="34"/>
        <v>552.37678344309143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5.852820679635431</v>
      </c>
      <c r="AA62" s="23">
        <f>EXP(-LN(2)/25)*AA61+(1-EXP(-LN(2)/25))/(LN(2)/25)*Calculateur!V62*Calculateur!X62*VLOOKUP('Données projet'!$B$9,Paramètres!$A$1:$I$89,3,0)*0.475*44/12</f>
        <v>2.6574986009001824</v>
      </c>
      <c r="AB62" s="23">
        <f>EXP(-LN(2)/2)*AB61+(1-EXP(-LN(2)/2))/(LN(2)/2)*V62*Y62*VLOOKUP('Données projet'!$B$9,Paramètres!$A$1:$I$89,3,0)*0.475*44/12</f>
        <v>5.7239199519882465E-6</v>
      </c>
      <c r="AC62" s="24">
        <f t="shared" si="3"/>
        <v>8.5103250044555647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760.33312682429221</v>
      </c>
      <c r="AN62" s="62">
        <f ca="1">AVERAGE(OFFSET($AM$3,0,0,'Données projet'!$E$10+1,1))-AVERAGE(OFFSET($H$3,0,0,'Données projet'!$E$10+1,1))</f>
        <v>499.92116338695428</v>
      </c>
      <c r="AO62" s="62">
        <f t="shared" si="36"/>
        <v>316.79403154855652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1.0736136679677104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1.0736136679677104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-5.1431925385259088E-14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391.31970775590571</v>
      </c>
      <c r="T63" s="62">
        <f t="shared" si="34"/>
        <v>552.37678344309143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5.7380504359758993</v>
      </c>
      <c r="AA63" s="23">
        <f>EXP(-LN(2)/25)*AA62+(1-EXP(-LN(2)/25))/(LN(2)/25)*Calculateur!V63*Calculateur!X63*VLOOKUP('Données projet'!$B$9,Paramètres!$A$1:$I$89,3,0)*0.475*44/12</f>
        <v>2.5848291619067894</v>
      </c>
      <c r="AB63" s="23">
        <f>EXP(-LN(2)/2)*AB62+(1-EXP(-LN(2)/2))/(LN(2)/2)*V63*Y63*VLOOKUP('Données projet'!$B$9,Paramètres!$A$1:$I$89,3,0)*0.475*44/12</f>
        <v>4.0474226130198665E-6</v>
      </c>
      <c r="AC63" s="24">
        <f t="shared" si="3"/>
        <v>8.3228836453053017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779.18987805370762</v>
      </c>
      <c r="AN63" s="62">
        <f ca="1">AVERAGE(OFFSET($AM$3,0,0,'Données projet'!$E$10+1,1))-AVERAGE(OFFSET($H$3,0,0,'Données projet'!$E$10+1,1))</f>
        <v>499.92116338695428</v>
      </c>
      <c r="AO63" s="62">
        <f t="shared" si="36"/>
        <v>316.79403154855652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1.0442556457582444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1.0442556457582444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-5.1431925385259088E-14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391.31970775590571</v>
      </c>
      <c r="T64" s="62">
        <f t="shared" si="34"/>
        <v>552.37678344309143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5.625530766791595</v>
      </c>
      <c r="AA64" s="23">
        <f>EXP(-LN(2)/25)*AA63+(1-EXP(-LN(2)/25))/(LN(2)/25)*Calculateur!V64*Calculateur!X64*VLOOKUP('Données projet'!$B$9,Paramètres!$A$1:$I$89,3,0)*0.475*44/12</f>
        <v>2.5141468725441904</v>
      </c>
      <c r="AB64" s="23">
        <f>EXP(-LN(2)/2)*AB63+(1-EXP(-LN(2)/2))/(LN(2)/2)*V64*Y64*VLOOKUP('Données projet'!$B$9,Paramètres!$A$1:$I$89,3,0)*0.475*44/12</f>
        <v>2.8619599759941232E-6</v>
      </c>
      <c r="AC64" s="24">
        <f t="shared" si="3"/>
        <v>8.1396805012957607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229.63823999999994</v>
      </c>
      <c r="AK64" s="14">
        <f t="shared" si="35"/>
        <v>56.204453396569633</v>
      </c>
      <c r="AL64" s="22">
        <f t="shared" si="4"/>
        <v>497.84269099902531</v>
      </c>
      <c r="AM64" s="62">
        <f t="shared" si="5"/>
        <v>743.26387346228853</v>
      </c>
      <c r="AN64" s="62">
        <f ca="1">AVERAGE(OFFSET($AM$3,0,0,'Données projet'!$E$10+1,1))-AVERAGE(OFFSET($H$3,0,0,'Données projet'!$E$10+1,1))</f>
        <v>499.92116338695428</v>
      </c>
      <c r="AO64" s="62">
        <f t="shared" si="36"/>
        <v>316.79403154855652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1.0157004202099675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1.0157004202099675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-5.1431925385259088E-14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391.31970775590571</v>
      </c>
      <c r="T65" s="62">
        <f t="shared" si="34"/>
        <v>552.37678344309143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5.5152175396897736</v>
      </c>
      <c r="AA65" s="23">
        <f>EXP(-LN(2)/25)*AA64+(1-EXP(-LN(2)/25))/(LN(2)/25)*Calculateur!V65*Calculateur!X65*VLOOKUP('Données projet'!$B$9,Paramètres!$A$1:$I$89,3,0)*0.475*44/12</f>
        <v>2.4453973941012319</v>
      </c>
      <c r="AB65" s="23">
        <f>EXP(-LN(2)/2)*AB64+(1-EXP(-LN(2)/2))/(LN(2)/2)*V65*Y65*VLOOKUP('Données projet'!$B$9,Paramètres!$A$1:$I$89,3,0)*0.475*44/12</f>
        <v>2.0237113065099332E-6</v>
      </c>
      <c r="AC65" s="24">
        <f t="shared" si="3"/>
        <v>7.9606169575023111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237.60047999999995</v>
      </c>
      <c r="AK65" s="14">
        <f t="shared" si="35"/>
        <v>57.922960533442058</v>
      </c>
      <c r="AL65" s="22">
        <f t="shared" si="4"/>
        <v>514.70332559574479</v>
      </c>
      <c r="AM65" s="62">
        <f t="shared" si="5"/>
        <v>760.95567676108146</v>
      </c>
      <c r="AN65" s="62">
        <f ca="1">AVERAGE(OFFSET($AM$3,0,0,'Données projet'!$E$10+1,1))-AVERAGE(OFFSET($H$3,0,0,'Données projet'!$E$10+1,1))</f>
        <v>499.92116338695428</v>
      </c>
      <c r="AO65" s="62">
        <f t="shared" si="36"/>
        <v>316.79403154855652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0.9879260388059623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0.9879260388059623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-5.1431925385259088E-14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391.31970775590571</v>
      </c>
      <c r="T66" s="62">
        <f t="shared" si="34"/>
        <v>552.37678344309143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5.4070674876869935</v>
      </c>
      <c r="AA66" s="23">
        <f>EXP(-LN(2)/25)*AA65+(1-EXP(-LN(2)/25))/(LN(2)/25)*Calculateur!V66*Calculateur!X66*VLOOKUP('Données projet'!$B$9,Paramètres!$A$1:$I$89,3,0)*0.475*44/12</f>
        <v>2.3785278737616737</v>
      </c>
      <c r="AB66" s="23">
        <f>EXP(-LN(2)/2)*AB65+(1-EXP(-LN(2)/2))/(LN(2)/2)*V66*Y66*VLOOKUP('Données projet'!$B$9,Paramètres!$A$1:$I$89,3,0)*0.475*44/12</f>
        <v>1.4309799879970616E-6</v>
      </c>
      <c r="AC66" s="24">
        <f t="shared" si="3"/>
        <v>7.7855967924286551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245.56271999999998</v>
      </c>
      <c r="AK66" s="14">
        <f t="shared" si="35"/>
        <v>59.634776048276898</v>
      </c>
      <c r="AL66" s="22">
        <f t="shared" si="4"/>
        <v>531.55230561741564</v>
      </c>
      <c r="AM66" s="62">
        <f t="shared" si="5"/>
        <v>778.62140656605959</v>
      </c>
      <c r="AN66" s="62">
        <f ca="1">AVERAGE(OFFSET($AM$3,0,0,'Données projet'!$E$10+1,1))-AVERAGE(OFFSET($H$3,0,0,'Données projet'!$E$10+1,1))</f>
        <v>499.92116338695428</v>
      </c>
      <c r="AO66" s="62">
        <f t="shared" si="36"/>
        <v>316.79403154855652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0.9609111493220408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0.9609111493220408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-5.1431925385259088E-14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391.31970775590571</v>
      </c>
      <c r="T67" s="62">
        <f t="shared" si="34"/>
        <v>552.37678344309143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5.3010381922389698</v>
      </c>
      <c r="AA67" s="23">
        <f>EXP(-LN(2)/25)*AA66+(1-EXP(-LN(2)/25))/(LN(2)/25)*Calculateur!V67*Calculateur!X67*VLOOKUP('Données projet'!$B$9,Paramètres!$A$1:$I$89,3,0)*0.475*44/12</f>
        <v>2.3134869039723163</v>
      </c>
      <c r="AB67" s="23">
        <f>EXP(-LN(2)/2)*AB66+(1-EXP(-LN(2)/2))/(LN(2)/2)*V67*Y67*VLOOKUP('Données projet'!$B$9,Paramètres!$A$1:$I$89,3,0)*0.475*44/12</f>
        <v>1.0118556532549666E-6</v>
      </c>
      <c r="AC67" s="24">
        <f t="shared" si="3"/>
        <v>7.61452610806694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253.52495999999999</v>
      </c>
      <c r="AK67" s="14">
        <f t="shared" si="35"/>
        <v>61.340141798422209</v>
      </c>
      <c r="AL67" s="22">
        <f t="shared" si="4"/>
        <v>548.39005229891859</v>
      </c>
      <c r="AM67" s="62">
        <f t="shared" si="5"/>
        <v>796.26173424810838</v>
      </c>
      <c r="AN67" s="62">
        <f ca="1">AVERAGE(OFFSET($AM$3,0,0,'Données projet'!$E$10+1,1))-AVERAGE(OFFSET($H$3,0,0,'Données projet'!$E$10+1,1))</f>
        <v>499.92116338695428</v>
      </c>
      <c r="AO67" s="62">
        <f t="shared" si="36"/>
        <v>316.79403154855652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0.93463498341170848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0.93463498341170848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-5.1431925385259088E-14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391.31970775590571</v>
      </c>
      <c r="T68" s="62">
        <f t="shared" si="34"/>
        <v>552.37678344309143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5.1970880666031976</v>
      </c>
      <c r="AA68" s="23">
        <f>EXP(-LN(2)/25)*AA67+(1-EXP(-LN(2)/25))/(LN(2)/25)*Calculateur!V68*Calculateur!X68*VLOOKUP('Données projet'!$B$9,Paramètres!$A$1:$I$89,3,0)*0.475*44/12</f>
        <v>2.2502244829222047</v>
      </c>
      <c r="AB68" s="23">
        <f>EXP(-LN(2)/2)*AB67+(1-EXP(-LN(2)/2))/(LN(2)/2)*V68*Y68*VLOOKUP('Données projet'!$B$9,Paramètres!$A$1:$I$89,3,0)*0.475*44/12</f>
        <v>7.1548999399853081E-7</v>
      </c>
      <c r="AC68" s="24">
        <f t="shared" ref="AC68:AC131" si="57">SUM(Z68:AB68)</f>
        <v>7.4473132650153966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261.48719999999997</v>
      </c>
      <c r="AK68" s="14">
        <f t="shared" si="35"/>
        <v>63.039283586802391</v>
      </c>
      <c r="AL68" s="22">
        <f t="shared" ref="AL68:AL131" si="58">(AJ68+AK68)*0.475*44/12</f>
        <v>565.21695891368086</v>
      </c>
      <c r="AM68" s="62">
        <f t="shared" ref="AM68:AM131" si="59">AL68+(AD68+AE68)*44/12</f>
        <v>813.87729887735941</v>
      </c>
      <c r="AN68" s="62">
        <f ca="1">AVERAGE(OFFSET($AM$3,0,0,'Données projet'!$E$10+1,1))-AVERAGE(OFFSET($H$3,0,0,'Données projet'!$E$10+1,1))</f>
        <v>499.92116338695428</v>
      </c>
      <c r="AO68" s="62">
        <f t="shared" si="36"/>
        <v>316.79403154855652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0.90907734063999768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0.90907734063999768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-5.1431925385259088E-14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391.31970775590571</v>
      </c>
      <c r="T69" s="62">
        <f t="shared" ref="T69:T132" si="88">$T$3</f>
        <v>552.37678344309143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5.0951763395278267</v>
      </c>
      <c r="AA69" s="23">
        <f>EXP(-LN(2)/25)*AA68+(1-EXP(-LN(2)/25))/(LN(2)/25)*Calculateur!V69*Calculateur!X69*VLOOKUP('Données projet'!$B$9,Paramètres!$A$1:$I$89,3,0)*0.475*44/12</f>
        <v>2.1886919761025343</v>
      </c>
      <c r="AB69" s="23">
        <f>EXP(-LN(2)/2)*AB68+(1-EXP(-LN(2)/2))/(LN(2)/2)*V69*Y69*VLOOKUP('Données projet'!$B$9,Paramètres!$A$1:$I$89,3,0)*0.475*44/12</f>
        <v>5.0592782662748331E-7</v>
      </c>
      <c r="AC69" s="24">
        <f t="shared" si="57"/>
        <v>7.2838688215581877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776.7764462172014</v>
      </c>
      <c r="AN69" s="62">
        <f ca="1">AVERAGE(OFFSET($AM$3,0,0,'Données projet'!$E$10+1,1))-AVERAGE(OFFSET($H$3,0,0,'Données projet'!$E$10+1,1))</f>
        <v>499.92116338695428</v>
      </c>
      <c r="AO69" s="62">
        <f t="shared" ref="AO69:AO132" si="90">$AO$3</f>
        <v>316.79403154855652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0.88421857295389727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0.88421857295389727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-5.1431925385259088E-14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391.31970775590571</v>
      </c>
      <c r="T70" s="62">
        <f t="shared" si="88"/>
        <v>552.37678344309143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4.9952630392603883</v>
      </c>
      <c r="AA70" s="23">
        <f>EXP(-LN(2)/25)*AA69+(1-EXP(-LN(2)/25))/(LN(2)/25)*Calculateur!V70*Calculateur!X70*VLOOKUP('Données projet'!$B$9,Paramètres!$A$1:$I$89,3,0)*0.475*44/12</f>
        <v>2.1288420789177018</v>
      </c>
      <c r="AB70" s="23">
        <f>EXP(-LN(2)/2)*AB69+(1-EXP(-LN(2)/2))/(LN(2)/2)*V70*Y70*VLOOKUP('Données projet'!$B$9,Paramètres!$A$1:$I$89,3,0)*0.475*44/12</f>
        <v>3.577449969992654E-7</v>
      </c>
      <c r="AC70" s="24">
        <f t="shared" si="57"/>
        <v>7.1241054759230868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793.23063046816299</v>
      </c>
      <c r="AN70" s="62">
        <f ca="1">AVERAGE(OFFSET($AM$3,0,0,'Données projet'!$E$10+1,1))-AVERAGE(OFFSET($H$3,0,0,'Données projet'!$E$10+1,1))</f>
        <v>499.92116338695428</v>
      </c>
      <c r="AO70" s="62">
        <f t="shared" si="90"/>
        <v>316.79403154855652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0.8600395695774391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0.8600395695774391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-5.1431925385259088E-14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391.31970775590571</v>
      </c>
      <c r="T71" s="62">
        <f t="shared" si="88"/>
        <v>552.37678344309143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4.8973089778700984</v>
      </c>
      <c r="AA71" s="23">
        <f>EXP(-LN(2)/25)*AA70+(1-EXP(-LN(2)/25))/(LN(2)/25)*Calculateur!V71*Calculateur!X71*VLOOKUP('Données projet'!$B$9,Paramètres!$A$1:$I$89,3,0)*0.475*44/12</f>
        <v>2.0706287803187577</v>
      </c>
      <c r="AB71" s="23">
        <f>EXP(-LN(2)/2)*AB70+(1-EXP(-LN(2)/2))/(LN(2)/2)*V71*Y71*VLOOKUP('Données projet'!$B$9,Paramètres!$A$1:$I$89,3,0)*0.475*44/12</f>
        <v>2.5296391331374166E-7</v>
      </c>
      <c r="AC71" s="24">
        <f t="shared" si="57"/>
        <v>6.9679380111527696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809.66208565042405</v>
      </c>
      <c r="AN71" s="62">
        <f ca="1">AVERAGE(OFFSET($AM$3,0,0,'Données projet'!$E$10+1,1))-AVERAGE(OFFSET($H$3,0,0,'Données projet'!$E$10+1,1))</f>
        <v>499.92116338695428</v>
      </c>
      <c r="AO71" s="62">
        <f t="shared" si="90"/>
        <v>316.79403154855652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0.83652174231982868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0.83652174231982868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-5.1431925385259088E-14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391.31970775590571</v>
      </c>
      <c r="T72" s="62">
        <f t="shared" si="88"/>
        <v>552.37678344309143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4.8012757358775939</v>
      </c>
      <c r="AA72" s="23">
        <f>EXP(-LN(2)/25)*AA71+(1-EXP(-LN(2)/25))/(LN(2)/25)*Calculateur!V72*Calculateur!X72*VLOOKUP('Données projet'!$B$9,Paramètres!$A$1:$I$89,3,0)*0.475*44/12</f>
        <v>2.0140073274313064</v>
      </c>
      <c r="AB72" s="23">
        <f>EXP(-LN(2)/2)*AB71+(1-EXP(-LN(2)/2))/(LN(2)/2)*V72*Y72*VLOOKUP('Données projet'!$B$9,Paramètres!$A$1:$I$89,3,0)*0.475*44/12</f>
        <v>1.788724984996327E-7</v>
      </c>
      <c r="AC72" s="24">
        <f t="shared" si="57"/>
        <v>6.8152832421813985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826.07134561000134</v>
      </c>
      <c r="AN72" s="62">
        <f ca="1">AVERAGE(OFFSET($AM$3,0,0,'Données projet'!$E$10+1,1))-AVERAGE(OFFSET($H$3,0,0,'Données projet'!$E$10+1,1))</f>
        <v>499.92116338695428</v>
      </c>
      <c r="AO72" s="62">
        <f t="shared" si="90"/>
        <v>316.79403154855652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0.81364701128532646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0.81364701128532646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-5.1431925385259088E-14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391.31970775590571</v>
      </c>
      <c r="T73" s="62">
        <f t="shared" si="88"/>
        <v>552.37678344309143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4.7071256471860687</v>
      </c>
      <c r="AA73" s="23">
        <f>EXP(-LN(2)/25)*AA72+(1-EXP(-LN(2)/25))/(LN(2)/25)*Calculateur!V73*Calculateur!X73*VLOOKUP('Données projet'!$B$9,Paramètres!$A$1:$I$89,3,0)*0.475*44/12</f>
        <v>1.958934191150655</v>
      </c>
      <c r="AB73" s="23">
        <f>EXP(-LN(2)/2)*AB72+(1-EXP(-LN(2)/2))/(LN(2)/2)*V73*Y73*VLOOKUP('Données projet'!$B$9,Paramètres!$A$1:$I$89,3,0)*0.475*44/12</f>
        <v>1.2648195665687083E-7</v>
      </c>
      <c r="AC73" s="24">
        <f t="shared" si="57"/>
        <v>6.6660599648186798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842.45892224294175</v>
      </c>
      <c r="AN73" s="62">
        <f ca="1">AVERAGE(OFFSET($AM$3,0,0,'Données projet'!$E$10+1,1))-AVERAGE(OFFSET($H$3,0,0,'Données projet'!$E$10+1,1))</f>
        <v>499.92116338695428</v>
      </c>
      <c r="AO73" s="62">
        <f t="shared" si="90"/>
        <v>316.79403154855652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0.79139779097389251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0.79139779097389251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-5.1431925385259088E-14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391.31970775590571</v>
      </c>
      <c r="T74" s="62">
        <f t="shared" si="88"/>
        <v>552.37678344309143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4.6148217843079005</v>
      </c>
      <c r="AA74" s="23">
        <f>EXP(-LN(2)/25)*AA73+(1-EXP(-LN(2)/25))/(LN(2)/25)*Calculateur!V74*Calculateur!X74*VLOOKUP('Données projet'!$B$9,Paramètres!$A$1:$I$89,3,0)*0.475*44/12</f>
        <v>1.9053670326777685</v>
      </c>
      <c r="AB74" s="23">
        <f>EXP(-LN(2)/2)*AB73+(1-EXP(-LN(2)/2))/(LN(2)/2)*V74*Y74*VLOOKUP('Données projet'!$B$9,Paramètres!$A$1:$I$89,3,0)*0.475*44/12</f>
        <v>8.9436249249816351E-8</v>
      </c>
      <c r="AC74" s="24">
        <f t="shared" si="57"/>
        <v>6.520188906421919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254.79167999999996</v>
      </c>
      <c r="AK74" s="14">
        <f t="shared" si="89"/>
        <v>61.610870508448471</v>
      </c>
      <c r="AL74" s="22">
        <f t="shared" si="58"/>
        <v>551.067775468881</v>
      </c>
      <c r="AM74" s="62">
        <f t="shared" si="59"/>
        <v>804.18091737418047</v>
      </c>
      <c r="AN74" s="62">
        <f ca="1">AVERAGE(OFFSET($AM$3,0,0,'Données projet'!$E$10+1,1))-AVERAGE(OFFSET($H$3,0,0,'Données projet'!$E$10+1,1))</f>
        <v>499.92116338695428</v>
      </c>
      <c r="AO74" s="62">
        <f t="shared" si="90"/>
        <v>316.79403154855652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0.76975697676191035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0.76975697676191035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-5.1431925385259088E-14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391.31970775590571</v>
      </c>
      <c r="T75" s="62">
        <f t="shared" si="88"/>
        <v>552.37678344309143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4.5243279438809765</v>
      </c>
      <c r="AA75" s="23">
        <f>EXP(-LN(2)/25)*AA74+(1-EXP(-LN(2)/25))/(LN(2)/25)*Calculateur!V75*Calculateur!X75*VLOOKUP('Données projet'!$B$9,Paramètres!$A$1:$I$89,3,0)*0.475*44/12</f>
        <v>1.8532646709702976</v>
      </c>
      <c r="AB75" s="23">
        <f>EXP(-LN(2)/2)*AB74+(1-EXP(-LN(2)/2))/(LN(2)/2)*V75*Y75*VLOOKUP('Données projet'!$B$9,Paramètres!$A$1:$I$89,3,0)*0.475*44/12</f>
        <v>6.3240978328435414E-8</v>
      </c>
      <c r="AC75" s="24">
        <f t="shared" si="57"/>
        <v>6.3775926780922525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261.66816</v>
      </c>
      <c r="AK75" s="14">
        <f t="shared" si="89"/>
        <v>63.077829793082856</v>
      </c>
      <c r="AL75" s="22">
        <f t="shared" si="58"/>
        <v>565.5992655562859</v>
      </c>
      <c r="AM75" s="62">
        <f t="shared" si="59"/>
        <v>819.41013786398457</v>
      </c>
      <c r="AN75" s="62">
        <f ca="1">AVERAGE(OFFSET($AM$3,0,0,'Données projet'!$E$10+1,1))-AVERAGE(OFFSET($H$3,0,0,'Données projet'!$E$10+1,1))</f>
        <v>499.92116338695428</v>
      </c>
      <c r="AO75" s="62">
        <f t="shared" si="90"/>
        <v>316.79403154855652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0.74870793175259576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0.74870793175259576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-5.1431925385259088E-14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391.31970775590571</v>
      </c>
      <c r="T76" s="62">
        <f t="shared" si="88"/>
        <v>552.37678344309143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4.435608632469032</v>
      </c>
      <c r="AA76" s="23">
        <f>EXP(-LN(2)/25)*AA75+(1-EXP(-LN(2)/25))/(LN(2)/25)*Calculateur!V76*Calculateur!X76*VLOOKUP('Données projet'!$B$9,Paramètres!$A$1:$I$89,3,0)*0.475*44/12</f>
        <v>1.8025870510836615</v>
      </c>
      <c r="AB76" s="23">
        <f>EXP(-LN(2)/2)*AB75+(1-EXP(-LN(2)/2))/(LN(2)/2)*V76*Y76*VLOOKUP('Données projet'!$B$9,Paramètres!$A$1:$I$89,3,0)*0.475*44/12</f>
        <v>4.4718124624908176E-8</v>
      </c>
      <c r="AC76" s="24">
        <f t="shared" si="57"/>
        <v>6.238195728270818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268.54464000000002</v>
      </c>
      <c r="AK76" s="14">
        <f t="shared" si="89"/>
        <v>64.54030807605065</v>
      </c>
      <c r="AL76" s="22">
        <f t="shared" si="58"/>
        <v>580.12295123245474</v>
      </c>
      <c r="AM76" s="62">
        <f t="shared" si="59"/>
        <v>834.61944987996242</v>
      </c>
      <c r="AN76" s="62">
        <f ca="1">AVERAGE(OFFSET($AM$3,0,0,'Données projet'!$E$10+1,1))-AVERAGE(OFFSET($H$3,0,0,'Données projet'!$E$10+1,1))</f>
        <v>499.92116338695428</v>
      </c>
      <c r="AO76" s="62">
        <f t="shared" si="90"/>
        <v>316.79403154855652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0.72823447398598207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0.72823447398598207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-5.1431925385259088E-14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391.31970775590571</v>
      </c>
      <c r="T77" s="62">
        <f t="shared" si="88"/>
        <v>552.37678344309143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4.3486290526404385</v>
      </c>
      <c r="AA77" s="23">
        <f>EXP(-LN(2)/25)*AA76+(1-EXP(-LN(2)/25))/(LN(2)/25)*Calculateur!V77*Calculateur!X77*VLOOKUP('Données projet'!$B$9,Paramètres!$A$1:$I$89,3,0)*0.475*44/12</f>
        <v>1.7532952133778457</v>
      </c>
      <c r="AB77" s="23">
        <f>EXP(-LN(2)/2)*AB76+(1-EXP(-LN(2)/2))/(LN(2)/2)*V77*Y77*VLOOKUP('Données projet'!$B$9,Paramètres!$A$1:$I$89,3,0)*0.475*44/12</f>
        <v>3.1620489164217707E-8</v>
      </c>
      <c r="AC77" s="24">
        <f t="shared" si="57"/>
        <v>6.1019242976387735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275.42112000000003</v>
      </c>
      <c r="AK77" s="14">
        <f t="shared" si="89"/>
        <v>65.998433293601067</v>
      </c>
      <c r="AL77" s="22">
        <f t="shared" si="58"/>
        <v>594.63905531968851</v>
      </c>
      <c r="AM77" s="62">
        <f t="shared" si="59"/>
        <v>849.80928622284046</v>
      </c>
      <c r="AN77" s="62">
        <f ca="1">AVERAGE(OFFSET($AM$3,0,0,'Données projet'!$E$10+1,1))-AVERAGE(OFFSET($H$3,0,0,'Données projet'!$E$10+1,1))</f>
        <v>499.92116338695428</v>
      </c>
      <c r="AO77" s="62">
        <f t="shared" si="90"/>
        <v>316.79403154855652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0.7083208639986488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0.7083208639986488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-5.1431925385259088E-14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391.31970775590571</v>
      </c>
      <c r="T78" s="62">
        <f t="shared" si="88"/>
        <v>552.37678344309143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4.2633550893199788</v>
      </c>
      <c r="AA78" s="23">
        <f>EXP(-LN(2)/25)*AA77+(1-EXP(-LN(2)/25))/(LN(2)/25)*Calculateur!V78*Calculateur!X78*VLOOKUP('Données projet'!$B$9,Paramètres!$A$1:$I$89,3,0)*0.475*44/12</f>
        <v>1.7053512635662404</v>
      </c>
      <c r="AB78" s="23">
        <f>EXP(-LN(2)/2)*AB77+(1-EXP(-LN(2)/2))/(LN(2)/2)*V78*Y78*VLOOKUP('Données projet'!$B$9,Paramètres!$A$1:$I$89,3,0)*0.475*44/12</f>
        <v>2.2359062312454088E-8</v>
      </c>
      <c r="AC78" s="24">
        <f t="shared" si="57"/>
        <v>5.9687063752452811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282.29760000000005</v>
      </c>
      <c r="AK78" s="14">
        <f t="shared" si="89"/>
        <v>67.452326629470178</v>
      </c>
      <c r="AL78" s="22">
        <f t="shared" si="58"/>
        <v>609.14778887966054</v>
      </c>
      <c r="AM78" s="62">
        <f t="shared" si="59"/>
        <v>864.98006429006091</v>
      </c>
      <c r="AN78" s="62">
        <f ca="1">AVERAGE(OFFSET($AM$3,0,0,'Données projet'!$E$10+1,1))-AVERAGE(OFFSET($H$3,0,0,'Données projet'!$E$10+1,1))</f>
        <v>499.92116338695428</v>
      </c>
      <c r="AO78" s="62">
        <f t="shared" si="90"/>
        <v>316.79403154855652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0.68895179272363039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0.68895179272363039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-5.1431925385259088E-14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391.31970775590571</v>
      </c>
      <c r="T79" s="62">
        <f t="shared" si="88"/>
        <v>552.37678344309143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4.1797532964082516</v>
      </c>
      <c r="AA79" s="23">
        <f>EXP(-LN(2)/25)*AA78+(1-EXP(-LN(2)/25))/(LN(2)/25)*Calculateur!V79*Calculateur!X79*VLOOKUP('Données projet'!$B$9,Paramètres!$A$1:$I$89,3,0)*0.475*44/12</f>
        <v>1.6587183435834962</v>
      </c>
      <c r="AB79" s="23">
        <f>EXP(-LN(2)/2)*AB78+(1-EXP(-LN(2)/2))/(LN(2)/2)*V79*Y79*VLOOKUP('Données projet'!$B$9,Paramètres!$A$1:$I$89,3,0)*0.475*44/12</f>
        <v>1.5810244582108853E-8</v>
      </c>
      <c r="AC79" s="24">
        <f t="shared" si="57"/>
        <v>5.8384716558019925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825.90487037476953</v>
      </c>
      <c r="AN79" s="62">
        <f ca="1">AVERAGE(OFFSET($AM$3,0,0,'Données projet'!$E$10+1,1))-AVERAGE(OFFSET($H$3,0,0,'Données projet'!$E$10+1,1))</f>
        <v>499.92116338695428</v>
      </c>
      <c r="AO79" s="62">
        <f t="shared" si="90"/>
        <v>316.79403154855652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0.67011236972120258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0.67011236972120258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-5.1431925385259088E-14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391.31970775590571</v>
      </c>
      <c r="T80" s="62">
        <f t="shared" si="88"/>
        <v>552.37678344309143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4.097790883663464</v>
      </c>
      <c r="AA80" s="23">
        <f>EXP(-LN(2)/25)*AA79+(1-EXP(-LN(2)/25))/(LN(2)/25)*Calculateur!V80*Calculateur!X80*VLOOKUP('Données projet'!$B$9,Paramètres!$A$1:$I$89,3,0)*0.475*44/12</f>
        <v>1.613360603249999</v>
      </c>
      <c r="AB80" s="23">
        <f>EXP(-LN(2)/2)*AB79+(1-EXP(-LN(2)/2))/(LN(2)/2)*V80*Y80*VLOOKUP('Données projet'!$B$9,Paramètres!$A$1:$I$89,3,0)*0.475*44/12</f>
        <v>1.1179531156227044E-8</v>
      </c>
      <c r="AC80" s="24">
        <f t="shared" si="57"/>
        <v>5.7111514980929945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840.30170463439276</v>
      </c>
      <c r="AN80" s="62">
        <f ca="1">AVERAGE(OFFSET($AM$3,0,0,'Données projet'!$E$10+1,1))-AVERAGE(OFFSET($H$3,0,0,'Données projet'!$E$10+1,1))</f>
        <v>499.92116338695428</v>
      </c>
      <c r="AO80" s="62">
        <f t="shared" si="90"/>
        <v>316.79403154855652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0.65178811173149831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0.65178811173149831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-5.1431925385259088E-14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391.31970775590571</v>
      </c>
      <c r="T81" s="62">
        <f t="shared" si="88"/>
        <v>552.37678344309143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4.0174357038404667</v>
      </c>
      <c r="AA81" s="23">
        <f>EXP(-LN(2)/25)*AA80+(1-EXP(-LN(2)/25))/(LN(2)/25)*Calculateur!V81*Calculateur!X81*VLOOKUP('Données projet'!$B$9,Paramètres!$A$1:$I$89,3,0)*0.475*44/12</f>
        <v>1.5692431727111811</v>
      </c>
      <c r="AB81" s="23">
        <f>EXP(-LN(2)/2)*AB80+(1-EXP(-LN(2)/2))/(LN(2)/2)*V81*Y81*VLOOKUP('Données projet'!$B$9,Paramètres!$A$1:$I$89,3,0)*0.475*44/12</f>
        <v>7.9051222910544267E-9</v>
      </c>
      <c r="AC81" s="24">
        <f t="shared" si="57"/>
        <v>5.5866788844567701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854.68068521237251</v>
      </c>
      <c r="AN81" s="62">
        <f ca="1">AVERAGE(OFFSET($AM$3,0,0,'Données projet'!$E$10+1,1))-AVERAGE(OFFSET($H$3,0,0,'Données projet'!$E$10+1,1))</f>
        <v>499.92116338695428</v>
      </c>
      <c r="AO81" s="62">
        <f t="shared" si="90"/>
        <v>316.79403154855652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0.63396493154015332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0.63396493154015332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-5.1431925385259088E-14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391.31970775590571</v>
      </c>
      <c r="T82" s="62">
        <f t="shared" si="88"/>
        <v>552.37678344309143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3.9386562400819782</v>
      </c>
      <c r="AA82" s="23">
        <f>EXP(-LN(2)/25)*AA81+(1-EXP(-LN(2)/25))/(LN(2)/25)*Calculateur!V82*Calculateur!X82*VLOOKUP('Données projet'!$B$9,Paramètres!$A$1:$I$89,3,0)*0.475*44/12</f>
        <v>1.526332135630482</v>
      </c>
      <c r="AB82" s="23">
        <f>EXP(-LN(2)/2)*AB81+(1-EXP(-LN(2)/2))/(LN(2)/2)*V82*Y82*VLOOKUP('Données projet'!$B$9,Paramètres!$A$1:$I$89,3,0)*0.475*44/12</f>
        <v>5.5897655781135219E-9</v>
      </c>
      <c r="AC82" s="24">
        <f t="shared" si="57"/>
        <v>5.4649883813022262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869.04218218772735</v>
      </c>
      <c r="AN82" s="62">
        <f ca="1">AVERAGE(OFFSET($AM$3,0,0,'Données projet'!$E$10+1,1))-AVERAGE(OFFSET($H$3,0,0,'Données projet'!$E$10+1,1))</f>
        <v>499.92116338695428</v>
      </c>
      <c r="AO82" s="62">
        <f t="shared" si="90"/>
        <v>316.79403154855652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0.616629127148421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0.616629127148421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-5.1431925385259088E-14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391.31970775590571</v>
      </c>
      <c r="T83" s="62">
        <f t="shared" si="88"/>
        <v>552.37678344309143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3.8614215935570653</v>
      </c>
      <c r="AA83" s="23">
        <f>EXP(-LN(2)/25)*AA82+(1-EXP(-LN(2)/25))/(LN(2)/25)*Calculateur!V83*Calculateur!X83*VLOOKUP('Données projet'!$B$9,Paramètres!$A$1:$I$89,3,0)*0.475*44/12</f>
        <v>1.484594503115348</v>
      </c>
      <c r="AB83" s="23">
        <f>EXP(-LN(2)/2)*AB82+(1-EXP(-LN(2)/2))/(LN(2)/2)*V83*Y83*VLOOKUP('Données projet'!$B$9,Paramètres!$A$1:$I$89,3,0)*0.475*44/12</f>
        <v>3.9525611455272134E-9</v>
      </c>
      <c r="AC83" s="24">
        <f t="shared" si="57"/>
        <v>5.3460161006249738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883.38655365497175</v>
      </c>
      <c r="AN83" s="62">
        <f ca="1">AVERAGE(OFFSET($AM$3,0,0,'Données projet'!$E$10+1,1))-AVERAGE(OFFSET($H$3,0,0,'Données projet'!$E$10+1,1))</f>
        <v>499.92116338695428</v>
      </c>
      <c r="AO83" s="62">
        <f t="shared" si="90"/>
        <v>316.79403154855652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0.59976737123943091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0.59976737123943091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-5.1431925385259088E-14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391.31970775590571</v>
      </c>
      <c r="T84" s="62">
        <f t="shared" si="88"/>
        <v>552.37678344309143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3.7857014713420232</v>
      </c>
      <c r="AA84" s="23">
        <f>EXP(-LN(2)/25)*AA83+(1-EXP(-LN(2)/25))/(LN(2)/25)*Calculateur!V84*Calculateur!X84*VLOOKUP('Données projet'!$B$9,Paramètres!$A$1:$I$89,3,0)*0.475*44/12</f>
        <v>1.443998188356227</v>
      </c>
      <c r="AB84" s="23">
        <f>EXP(-LN(2)/2)*AB83+(1-EXP(-LN(2)/2))/(LN(2)/2)*V84*Y84*VLOOKUP('Données projet'!$B$9,Paramètres!$A$1:$I$89,3,0)*0.475*44/12</f>
        <v>2.794882789056761E-9</v>
      </c>
      <c r="AC84" s="24">
        <f t="shared" si="57"/>
        <v>5.2296996624931325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270.35424</v>
      </c>
      <c r="AK84" s="14">
        <f t="shared" si="89"/>
        <v>64.924442218534367</v>
      </c>
      <c r="AL84" s="22">
        <f t="shared" si="58"/>
        <v>583.94370486394735</v>
      </c>
      <c r="AM84" s="62">
        <f t="shared" si="59"/>
        <v>843.5139161263362</v>
      </c>
      <c r="AN84" s="62">
        <f ca="1">AVERAGE(OFFSET($AM$3,0,0,'Données projet'!$E$10+1,1))-AVERAGE(OFFSET($H$3,0,0,'Données projet'!$E$10+1,1))</f>
        <v>499.92116338695428</v>
      </c>
      <c r="AO84" s="62">
        <f t="shared" si="90"/>
        <v>316.79403154855652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0.58336670093249343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0.58336670093249343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-5.1431925385259088E-14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391.31970775590571</v>
      </c>
      <c r="T85" s="62">
        <f t="shared" si="88"/>
        <v>552.37678344309143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3.7114661745389039</v>
      </c>
      <c r="AA85" s="23">
        <f>EXP(-LN(2)/25)*AA84+(1-EXP(-LN(2)/25))/(LN(2)/25)*Calculateur!V85*Calculateur!X85*VLOOKUP('Données projet'!$B$9,Paramètres!$A$1:$I$89,3,0)*0.475*44/12</f>
        <v>1.4045119819590615</v>
      </c>
      <c r="AB85" s="23">
        <f>EXP(-LN(2)/2)*AB84+(1-EXP(-LN(2)/2))/(LN(2)/2)*V85*Y85*VLOOKUP('Données projet'!$B$9,Paramètres!$A$1:$I$89,3,0)*0.475*44/12</f>
        <v>1.9762805727636067E-9</v>
      </c>
      <c r="AC85" s="24">
        <f t="shared" si="57"/>
        <v>5.1159781584742454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276.50687999999997</v>
      </c>
      <c r="AK85" s="14">
        <f t="shared" si="89"/>
        <v>66.228273722513677</v>
      </c>
      <c r="AL85" s="22">
        <f t="shared" si="58"/>
        <v>596.93039273337797</v>
      </c>
      <c r="AM85" s="62">
        <f t="shared" si="59"/>
        <v>857.08631868066493</v>
      </c>
      <c r="AN85" s="62">
        <f ca="1">AVERAGE(OFFSET($AM$3,0,0,'Données projet'!$E$10+1,1))-AVERAGE(OFFSET($H$3,0,0,'Données projet'!$E$10+1,1))</f>
        <v>499.92116338695428</v>
      </c>
      <c r="AO85" s="62">
        <f t="shared" si="90"/>
        <v>316.79403154855652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0.56741450781757286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0.56741450781757286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-5.1431925385259088E-14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391.31970775590571</v>
      </c>
      <c r="T86" s="62">
        <f t="shared" si="88"/>
        <v>552.37678344309143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3.6386865866270335</v>
      </c>
      <c r="AA86" s="23">
        <f>EXP(-LN(2)/25)*AA85+(1-EXP(-LN(2)/25))/(LN(2)/25)*Calculateur!V86*Calculateur!X86*VLOOKUP('Données projet'!$B$9,Paramètres!$A$1:$I$89,3,0)*0.475*44/12</f>
        <v>1.3661055279523158</v>
      </c>
      <c r="AB86" s="23">
        <f>EXP(-LN(2)/2)*AB85+(1-EXP(-LN(2)/2))/(LN(2)/2)*V86*Y86*VLOOKUP('Données projet'!$B$9,Paramètres!$A$1:$I$89,3,0)*0.475*44/12</f>
        <v>1.3974413945283805E-9</v>
      </c>
      <c r="AC86" s="24">
        <f t="shared" si="57"/>
        <v>5.0047921159767901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282.65952000000004</v>
      </c>
      <c r="AK86" s="14">
        <f t="shared" si="89"/>
        <v>67.528732309967324</v>
      </c>
      <c r="AL86" s="22">
        <f t="shared" si="58"/>
        <v>609.91120610652649</v>
      </c>
      <c r="AM86" s="62">
        <f t="shared" si="59"/>
        <v>870.64268589839048</v>
      </c>
      <c r="AN86" s="62">
        <f ca="1">AVERAGE(OFFSET($AM$3,0,0,'Données projet'!$E$10+1,1))-AVERAGE(OFFSET($H$3,0,0,'Données projet'!$E$10+1,1))</f>
        <v>499.92116338695428</v>
      </c>
      <c r="AO86" s="62">
        <f t="shared" si="90"/>
        <v>316.79403154855652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0.55189852826226915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0.55189852826226915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-5.1431925385259088E-14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391.31970775590571</v>
      </c>
      <c r="T87" s="62">
        <f t="shared" si="88"/>
        <v>552.37678344309143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3.5673341620429495</v>
      </c>
      <c r="AA87" s="23">
        <f>EXP(-LN(2)/25)*AA86+(1-EXP(-LN(2)/25))/(LN(2)/25)*Calculateur!V87*Calculateur!X87*VLOOKUP('Données projet'!$B$9,Paramètres!$A$1:$I$89,3,0)*0.475*44/12</f>
        <v>1.3287493004500923</v>
      </c>
      <c r="AB87" s="23">
        <f>EXP(-LN(2)/2)*AB86+(1-EXP(-LN(2)/2))/(LN(2)/2)*V87*Y87*VLOOKUP('Données projet'!$B$9,Paramètres!$A$1:$I$89,3,0)*0.475*44/12</f>
        <v>9.8814028638180334E-10</v>
      </c>
      <c r="AC87" s="24">
        <f t="shared" si="57"/>
        <v>4.8960834634811823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288.81216000000006</v>
      </c>
      <c r="AK87" s="14">
        <f t="shared" si="89"/>
        <v>68.825899854238159</v>
      </c>
      <c r="AL87" s="22">
        <f t="shared" si="58"/>
        <v>622.88628757946492</v>
      </c>
      <c r="AM87" s="62">
        <f t="shared" si="59"/>
        <v>884.183336643448</v>
      </c>
      <c r="AN87" s="62">
        <f ca="1">AVERAGE(OFFSET($AM$3,0,0,'Données projet'!$E$10+1,1))-AVERAGE(OFFSET($H$3,0,0,'Données projet'!$E$10+1,1))</f>
        <v>499.92116338695428</v>
      </c>
      <c r="AO87" s="62">
        <f t="shared" si="90"/>
        <v>316.79403154855652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0.5368068339838552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0.5368068339838552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-5.1431925385259088E-14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391.31970775590571</v>
      </c>
      <c r="T88" s="62">
        <f t="shared" si="88"/>
        <v>552.37678344309143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3.4973809149842778</v>
      </c>
      <c r="AA88" s="23">
        <f>EXP(-LN(2)/25)*AA87+(1-EXP(-LN(2)/25))/(LN(2)/25)*Calculateur!V88*Calculateur!X88*VLOOKUP('Données projet'!$B$9,Paramètres!$A$1:$I$89,3,0)*0.475*44/12</f>
        <v>1.2924145809533958</v>
      </c>
      <c r="AB88" s="23">
        <f>EXP(-LN(2)/2)*AB87+(1-EXP(-LN(2)/2))/(LN(2)/2)*V88*Y88*VLOOKUP('Données projet'!$B$9,Paramètres!$A$1:$I$89,3,0)*0.475*44/12</f>
        <v>6.9872069726419024E-10</v>
      </c>
      <c r="AC88" s="24">
        <f t="shared" si="57"/>
        <v>4.7897954966363949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294.96480000000003</v>
      </c>
      <c r="AK88" s="14">
        <f t="shared" si="89"/>
        <v>70.119854541045001</v>
      </c>
      <c r="AL88" s="22">
        <f t="shared" si="58"/>
        <v>635.85577332565333</v>
      </c>
      <c r="AM88" s="62">
        <f t="shared" si="59"/>
        <v>897.70858029930787</v>
      </c>
      <c r="AN88" s="62">
        <f ca="1">AVERAGE(OFFSET($AM$3,0,0,'Données projet'!$E$10+1,1))-AVERAGE(OFFSET($H$3,0,0,'Données projet'!$E$10+1,1))</f>
        <v>499.92116338695428</v>
      </c>
      <c r="AO88" s="62">
        <f t="shared" si="90"/>
        <v>316.79403154855652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0.52212782287912218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0.52212782287912218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-5.1431925385259088E-14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391.31970775590571</v>
      </c>
      <c r="T89" s="62">
        <f t="shared" si="88"/>
        <v>552.37678344309143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3.428799408433159</v>
      </c>
      <c r="AA89" s="23">
        <f>EXP(-LN(2)/25)*AA88+(1-EXP(-LN(2)/25))/(LN(2)/25)*Calculateur!V89*Calculateur!X89*VLOOKUP('Données projet'!$B$9,Paramètres!$A$1:$I$89,3,0)*0.475*44/12</f>
        <v>1.2570734362720961</v>
      </c>
      <c r="AB89" s="23">
        <f>EXP(-LN(2)/2)*AB88+(1-EXP(-LN(2)/2))/(LN(2)/2)*V89*Y89*VLOOKUP('Données projet'!$B$9,Paramètres!$A$1:$I$89,3,0)*0.475*44/12</f>
        <v>4.9407014319090167E-10</v>
      </c>
      <c r="AC89" s="24">
        <f t="shared" si="57"/>
        <v>4.6858728451993255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275.42112000000003</v>
      </c>
      <c r="AK89" s="14">
        <f t="shared" si="89"/>
        <v>65.998433293601067</v>
      </c>
      <c r="AL89" s="22">
        <f t="shared" si="58"/>
        <v>594.63905531968851</v>
      </c>
      <c r="AM89" s="62">
        <f t="shared" si="59"/>
        <v>857.03797904577027</v>
      </c>
      <c r="AN89" s="62">
        <f ca="1">AVERAGE(OFFSET($AM$3,0,0,'Données projet'!$E$10+1,1))-AVERAGE(OFFSET($H$3,0,0,'Données projet'!$E$10+1,1))</f>
        <v>499.92116338695428</v>
      </c>
      <c r="AO89" s="62">
        <f t="shared" si="90"/>
        <v>316.79403154855652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0.50785021010498377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0.50785021010498377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-5.1431925385259088E-14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391.31970775590571</v>
      </c>
      <c r="T90" s="62">
        <f t="shared" si="88"/>
        <v>552.37678344309143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3.3615627433949191</v>
      </c>
      <c r="AA90" s="23">
        <f>EXP(-LN(2)/25)*AA89+(1-EXP(-LN(2)/25))/(LN(2)/25)*Calculateur!V90*Calculateur!X90*VLOOKUP('Données projet'!$B$9,Paramètres!$A$1:$I$89,3,0)*0.475*44/12</f>
        <v>1.2226986970506166</v>
      </c>
      <c r="AB90" s="23">
        <f>EXP(-LN(2)/2)*AB89+(1-EXP(-LN(2)/2))/(LN(2)/2)*V90*Y90*VLOOKUP('Données projet'!$B$9,Paramètres!$A$1:$I$89,3,0)*0.475*44/12</f>
        <v>3.4936034863209512E-10</v>
      </c>
      <c r="AC90" s="24">
        <f t="shared" si="57"/>
        <v>4.5842614407948963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281.21184</v>
      </c>
      <c r="AK90" s="14">
        <f t="shared" si="89"/>
        <v>67.22304110496664</v>
      </c>
      <c r="AL90" s="22">
        <f t="shared" si="58"/>
        <v>606.85741792448357</v>
      </c>
      <c r="AM90" s="62">
        <f t="shared" si="59"/>
        <v>869.79298449827206</v>
      </c>
      <c r="AN90" s="62">
        <f ca="1">AVERAGE(OFFSET($AM$3,0,0,'Données projet'!$E$10+1,1))-AVERAGE(OFFSET($H$3,0,0,'Données projet'!$E$10+1,1))</f>
        <v>499.92116338695428</v>
      </c>
      <c r="AO90" s="62">
        <f t="shared" si="90"/>
        <v>316.79403154855652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0.49396301940298115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0.49396301940298115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-5.1431925385259088E-14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391.31970775590571</v>
      </c>
      <c r="T91" s="62">
        <f t="shared" si="88"/>
        <v>552.37678344309143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3.295644548347763</v>
      </c>
      <c r="AA91" s="23">
        <f>EXP(-LN(2)/25)*AA90+(1-EXP(-LN(2)/25))/(LN(2)/25)*Calculateur!V91*Calculateur!X91*VLOOKUP('Données projet'!$B$9,Paramètres!$A$1:$I$89,3,0)*0.475*44/12</f>
        <v>1.1892639368808375</v>
      </c>
      <c r="AB91" s="23">
        <f>EXP(-LN(2)/2)*AB90+(1-EXP(-LN(2)/2))/(LN(2)/2)*V91*Y91*VLOOKUP('Données projet'!$B$9,Paramètres!$A$1:$I$89,3,0)*0.475*44/12</f>
        <v>2.4703507159545084E-10</v>
      </c>
      <c r="AC91" s="24">
        <f t="shared" si="57"/>
        <v>4.4849084854756356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287.00255999999996</v>
      </c>
      <c r="AK91" s="14">
        <f t="shared" si="89"/>
        <v>68.444716936118553</v>
      </c>
      <c r="AL91" s="22">
        <f t="shared" si="58"/>
        <v>619.07067399707296</v>
      </c>
      <c r="AM91" s="62">
        <f t="shared" si="59"/>
        <v>882.53357386491405</v>
      </c>
      <c r="AN91" s="62">
        <f ca="1">AVERAGE(OFFSET($AM$3,0,0,'Données projet'!$E$10+1,1))-AVERAGE(OFFSET($H$3,0,0,'Données projet'!$E$10+1,1))</f>
        <v>499.92116338695428</v>
      </c>
      <c r="AO91" s="62">
        <f t="shared" si="90"/>
        <v>316.79403154855652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0.4804555746610204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0.4804555746610204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-5.1431925385259088E-14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391.31970775590571</v>
      </c>
      <c r="T92" s="62">
        <f t="shared" si="88"/>
        <v>552.37678344309143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3.2310189688993525</v>
      </c>
      <c r="AA92" s="23">
        <f>EXP(-LN(2)/25)*AA91+(1-EXP(-LN(2)/25))/(LN(2)/25)*Calculateur!V92*Calculateur!X92*VLOOKUP('Données projet'!$B$9,Paramètres!$A$1:$I$89,3,0)*0.475*44/12</f>
        <v>1.1567434519861588</v>
      </c>
      <c r="AB92" s="23">
        <f>EXP(-LN(2)/2)*AB91+(1-EXP(-LN(2)/2))/(LN(2)/2)*V92*Y92*VLOOKUP('Données projet'!$B$9,Paramètres!$A$1:$I$89,3,0)*0.475*44/12</f>
        <v>1.7468017431604756E-10</v>
      </c>
      <c r="AC92" s="24">
        <f t="shared" si="57"/>
        <v>4.3877624210601915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292.79327999999992</v>
      </c>
      <c r="AK92" s="14">
        <f t="shared" si="89"/>
        <v>69.663526761731433</v>
      </c>
      <c r="AL92" s="22">
        <f t="shared" si="58"/>
        <v>631.27893844334869</v>
      </c>
      <c r="AM92" s="62">
        <f t="shared" si="59"/>
        <v>895.26002355153128</v>
      </c>
      <c r="AN92" s="62">
        <f ca="1">AVERAGE(OFFSET($AM$3,0,0,'Données projet'!$E$10+1,1))-AVERAGE(OFFSET($H$3,0,0,'Données projet'!$E$10+1,1))</f>
        <v>499.92116338695428</v>
      </c>
      <c r="AO92" s="62">
        <f t="shared" si="90"/>
        <v>316.79403154855652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0.46731749170585424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0.46731749170585424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-5.1431925385259088E-14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391.31970775590571</v>
      </c>
      <c r="T93" s="62">
        <f t="shared" si="88"/>
        <v>552.37678344309143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3.1676606576462141</v>
      </c>
      <c r="AA93" s="23">
        <f>EXP(-LN(2)/25)*AA92+(1-EXP(-LN(2)/25))/(LN(2)/25)*Calculateur!V93*Calculateur!X93*VLOOKUP('Données projet'!$B$9,Paramètres!$A$1:$I$89,3,0)*0.475*44/12</f>
        <v>1.125112241461103</v>
      </c>
      <c r="AB93" s="23">
        <f>EXP(-LN(2)/2)*AB92+(1-EXP(-LN(2)/2))/(LN(2)/2)*V93*Y93*VLOOKUP('Données projet'!$B$9,Paramètres!$A$1:$I$89,3,0)*0.475*44/12</f>
        <v>1.2351753579772542E-10</v>
      </c>
      <c r="AC93" s="24">
        <f t="shared" si="57"/>
        <v>4.292772899230834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298.58399999999995</v>
      </c>
      <c r="AK93" s="14">
        <f t="shared" si="89"/>
        <v>70.879533797607607</v>
      </c>
      <c r="AL93" s="22">
        <f t="shared" si="58"/>
        <v>643.48232136416652</v>
      </c>
      <c r="AM93" s="62">
        <f t="shared" si="59"/>
        <v>907.97260235725935</v>
      </c>
      <c r="AN93" s="62">
        <f ca="1">AVERAGE(OFFSET($AM$3,0,0,'Données projet'!$E$10+1,1))-AVERAGE(OFFSET($H$3,0,0,'Données projet'!$E$10+1,1))</f>
        <v>499.92116338695428</v>
      </c>
      <c r="AO93" s="62">
        <f t="shared" si="90"/>
        <v>316.79403154855652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0.45453867031999884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0.45453867031999884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-5.1431925385259088E-14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391.31970775590571</v>
      </c>
      <c r="T94" s="62">
        <f t="shared" si="88"/>
        <v>552.37678344309143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3.1055447642319955</v>
      </c>
      <c r="AA94" s="23">
        <f>EXP(-LN(2)/25)*AA93+(1-EXP(-LN(2)/25))/(LN(2)/25)*Calculateur!V94*Calculateur!X94*VLOOKUP('Données projet'!$B$9,Paramètres!$A$1:$I$89,3,0)*0.475*44/12</f>
        <v>1.0943459880512678</v>
      </c>
      <c r="AB94" s="23">
        <f>EXP(-LN(2)/2)*AB93+(1-EXP(-LN(2)/2))/(LN(2)/2)*V94*Y94*VLOOKUP('Données projet'!$B$9,Paramètres!$A$1:$I$89,3,0)*0.475*44/12</f>
        <v>8.734008715802378E-11</v>
      </c>
      <c r="AC94" s="24">
        <f t="shared" si="57"/>
        <v>4.1998907523706031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278.67839999999995</v>
      </c>
      <c r="AK94" s="14">
        <f t="shared" si="89"/>
        <v>66.687639951856809</v>
      </c>
      <c r="AL94" s="22">
        <f t="shared" si="58"/>
        <v>601.51251958281716</v>
      </c>
      <c r="AM94" s="62">
        <f t="shared" si="59"/>
        <v>866.50316305060835</v>
      </c>
      <c r="AN94" s="62">
        <f ca="1">AVERAGE(OFFSET($AM$3,0,0,'Données projet'!$E$10+1,1))-AVERAGE(OFFSET($H$3,0,0,'Données projet'!$E$10+1,1))</f>
        <v>499.92116338695428</v>
      </c>
      <c r="AO94" s="62">
        <f t="shared" si="90"/>
        <v>316.79403154855652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0.44210928647694864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0.44210928647694864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-5.1431925385259088E-14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391.31970775590571</v>
      </c>
      <c r="T95" s="62">
        <f t="shared" si="88"/>
        <v>552.37678344309143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3.0446469256006758</v>
      </c>
      <c r="AA95" s="23">
        <f>EXP(-LN(2)/25)*AA94+(1-EXP(-LN(2)/25))/(LN(2)/25)*Calculateur!V95*Calculateur!X95*VLOOKUP('Données projet'!$B$9,Paramètres!$A$1:$I$89,3,0)*0.475*44/12</f>
        <v>1.0644210394588516</v>
      </c>
      <c r="AB95" s="23">
        <f>EXP(-LN(2)/2)*AB94+(1-EXP(-LN(2)/2))/(LN(2)/2)*V95*Y95*VLOOKUP('Données projet'!$B$9,Paramètres!$A$1:$I$89,3,0)*0.475*44/12</f>
        <v>6.1758767898862709E-11</v>
      </c>
      <c r="AC95" s="24">
        <f t="shared" si="57"/>
        <v>4.1090679651212856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284.10719999999992</v>
      </c>
      <c r="AK95" s="14">
        <f t="shared" si="89"/>
        <v>67.834241327943715</v>
      </c>
      <c r="AL95" s="22">
        <f t="shared" si="58"/>
        <v>612.96467697950186</v>
      </c>
      <c r="AM95" s="62">
        <f t="shared" si="59"/>
        <v>878.44700275169839</v>
      </c>
      <c r="AN95" s="62">
        <f ca="1">AVERAGE(OFFSET($AM$3,0,0,'Données projet'!$E$10+1,1))-AVERAGE(OFFSET($H$3,0,0,'Données projet'!$E$10+1,1))</f>
        <v>499.92116338695428</v>
      </c>
      <c r="AO95" s="62">
        <f t="shared" si="90"/>
        <v>316.79403154855652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0.43001978478871955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0.43001978478871955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-5.1431925385259088E-14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391.31970775590571</v>
      </c>
      <c r="T96" s="62">
        <f t="shared" si="88"/>
        <v>552.37678344309143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2.9849432564409026</v>
      </c>
      <c r="AA96" s="23">
        <f>EXP(-LN(2)/25)*AA95+(1-EXP(-LN(2)/25))/(LN(2)/25)*Calculateur!V96*Calculateur!X96*VLOOKUP('Données projet'!$B$9,Paramètres!$A$1:$I$89,3,0)*0.475*44/12</f>
        <v>1.0353143901593795</v>
      </c>
      <c r="AB96" s="23">
        <f>EXP(-LN(2)/2)*AB95+(1-EXP(-LN(2)/2))/(LN(2)/2)*V96*Y96*VLOOKUP('Données projet'!$B$9,Paramètres!$A$1:$I$89,3,0)*0.475*44/12</f>
        <v>4.367004357901189E-11</v>
      </c>
      <c r="AC96" s="24">
        <f t="shared" si="57"/>
        <v>4.0202576466439517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289.53599999999994</v>
      </c>
      <c r="AK96" s="14">
        <f t="shared" si="89"/>
        <v>68.97829509904436</v>
      </c>
      <c r="AL96" s="22">
        <f t="shared" si="58"/>
        <v>624.41239729750214</v>
      </c>
      <c r="AM96" s="62">
        <f t="shared" si="59"/>
        <v>890.37787578535949</v>
      </c>
      <c r="AN96" s="62">
        <f ca="1">AVERAGE(OFFSET($AM$3,0,0,'Données projet'!$E$10+1,1))-AVERAGE(OFFSET($H$3,0,0,'Données projet'!$E$10+1,1))</f>
        <v>499.92116338695428</v>
      </c>
      <c r="AO96" s="62">
        <f t="shared" si="90"/>
        <v>316.79403154855652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0.41826087115991434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0.41826087115991434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-5.1431925385259088E-14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391.31970775590571</v>
      </c>
      <c r="T97" s="62">
        <f t="shared" si="88"/>
        <v>552.37678344309143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2.9264103398177101</v>
      </c>
      <c r="AA97" s="23">
        <f>EXP(-LN(2)/25)*AA96+(1-EXP(-LN(2)/25))/(LN(2)/25)*Calculateur!V97*Calculateur!X97*VLOOKUP('Données projet'!$B$9,Paramètres!$A$1:$I$89,3,0)*0.475*44/12</f>
        <v>1.0070036637156539</v>
      </c>
      <c r="AB97" s="23">
        <f>EXP(-LN(2)/2)*AB96+(1-EXP(-LN(2)/2))/(LN(2)/2)*V97*Y97*VLOOKUP('Données projet'!$B$9,Paramètres!$A$1:$I$89,3,0)*0.475*44/12</f>
        <v>3.0879383949431354E-11</v>
      </c>
      <c r="AC97" s="24">
        <f t="shared" si="57"/>
        <v>3.9334140035642431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294.96479999999997</v>
      </c>
      <c r="AK97" s="14">
        <f t="shared" si="89"/>
        <v>70.119854541045001</v>
      </c>
      <c r="AL97" s="22">
        <f t="shared" si="58"/>
        <v>635.85577332565333</v>
      </c>
      <c r="AM97" s="62">
        <f t="shared" si="59"/>
        <v>902.29602290972252</v>
      </c>
      <c r="AN97" s="62">
        <f ca="1">AVERAGE(OFFSET($AM$3,0,0,'Données projet'!$E$10+1,1))-AVERAGE(OFFSET($H$3,0,0,'Données projet'!$E$10+1,1))</f>
        <v>499.92116338695428</v>
      </c>
      <c r="AO97" s="62">
        <f t="shared" si="90"/>
        <v>316.79403154855652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0.40682350564266323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0.40682350564266323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-5.1431925385259088E-14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391.31970775590571</v>
      </c>
      <c r="T98" s="62">
        <f t="shared" si="88"/>
        <v>552.37678344309143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2.8690252179879447</v>
      </c>
      <c r="AA98" s="23">
        <f>EXP(-LN(2)/25)*AA97+(1-EXP(-LN(2)/25))/(LN(2)/25)*Calculateur!V98*Calculateur!X98*VLOOKUP('Données projet'!$B$9,Paramètres!$A$1:$I$89,3,0)*0.475*44/12</f>
        <v>0.97946709557532818</v>
      </c>
      <c r="AB98" s="23">
        <f>EXP(-LN(2)/2)*AB97+(1-EXP(-LN(2)/2))/(LN(2)/2)*V98*Y98*VLOOKUP('Données projet'!$B$9,Paramètres!$A$1:$I$89,3,0)*0.475*44/12</f>
        <v>2.1835021789505945E-11</v>
      </c>
      <c r="AC98" s="24">
        <f t="shared" si="57"/>
        <v>3.8484923135851079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300.39359999999994</v>
      </c>
      <c r="AK98" s="14">
        <f t="shared" si="89"/>
        <v>71.258970856492667</v>
      </c>
      <c r="AL98" s="22">
        <f t="shared" si="58"/>
        <v>647.29489424172459</v>
      </c>
      <c r="AM98" s="62">
        <f t="shared" si="59"/>
        <v>914.20167870491548</v>
      </c>
      <c r="AN98" s="62">
        <f ca="1">AVERAGE(OFFSET($AM$3,0,0,'Données projet'!$E$10+1,1))-AVERAGE(OFFSET($H$3,0,0,'Données projet'!$E$10+1,1))</f>
        <v>499.92116338695428</v>
      </c>
      <c r="AO98" s="62">
        <f t="shared" si="90"/>
        <v>316.79403154855652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0.39569889548694626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0.39569889548694626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-5.1431925385259088E-14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391.31970775590571</v>
      </c>
      <c r="T99" s="62">
        <f t="shared" si="88"/>
        <v>552.37678344309143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2.8127653833957926</v>
      </c>
      <c r="AA99" s="23">
        <f>EXP(-LN(2)/25)*AA98+(1-EXP(-LN(2)/25))/(LN(2)/25)*Calculateur!V99*Calculateur!X99*VLOOKUP('Données projet'!$B$9,Paramètres!$A$1:$I$89,3,0)*0.475*44/12</f>
        <v>0.95268351633888493</v>
      </c>
      <c r="AB99" s="23">
        <f>EXP(-LN(2)/2)*AB98+(1-EXP(-LN(2)/2))/(LN(2)/2)*V99*Y99*VLOOKUP('Données projet'!$B$9,Paramètres!$A$1:$I$89,3,0)*0.475*44/12</f>
        <v>1.5439691974715677E-11</v>
      </c>
      <c r="AC99" s="24">
        <f t="shared" si="57"/>
        <v>3.7654488997501172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280.30703999999997</v>
      </c>
      <c r="AK99" s="14">
        <f t="shared" si="89"/>
        <v>67.03189112007388</v>
      </c>
      <c r="AL99" s="22">
        <f t="shared" si="58"/>
        <v>604.94863836746197</v>
      </c>
      <c r="AM99" s="62">
        <f t="shared" si="59"/>
        <v>872.31386437263745</v>
      </c>
      <c r="AN99" s="62">
        <f ca="1">AVERAGE(OFFSET($AM$3,0,0,'Données projet'!$E$10+1,1))-AVERAGE(OFFSET($H$3,0,0,'Données projet'!$E$10+1,1))</f>
        <v>499.92116338695428</v>
      </c>
      <c r="AO99" s="62">
        <f t="shared" si="90"/>
        <v>316.79403154855652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0.38487848838095517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0.38487848838095517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-5.1431925385259088E-14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391.31970775590571</v>
      </c>
      <c r="T100" s="62">
        <f t="shared" si="88"/>
        <v>552.37678344309143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2.7576087698448819</v>
      </c>
      <c r="AA100" s="23">
        <f>EXP(-LN(2)/25)*AA99+(1-EXP(-LN(2)/25))/(LN(2)/25)*Calculateur!V100*Calculateur!X100*VLOOKUP('Données projet'!$B$9,Paramètres!$A$1:$I$89,3,0)*0.475*44/12</f>
        <v>0.92663233548514934</v>
      </c>
      <c r="AB100" s="23">
        <f>EXP(-LN(2)/2)*AB99+(1-EXP(-LN(2)/2))/(LN(2)/2)*V100*Y100*VLOOKUP('Données projet'!$B$9,Paramètres!$A$1:$I$89,3,0)*0.475*44/12</f>
        <v>1.0917510894752973E-11</v>
      </c>
      <c r="AC100" s="24">
        <f t="shared" si="57"/>
        <v>3.6842411053409485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285.55487999999997</v>
      </c>
      <c r="AK100" s="14">
        <f t="shared" si="89"/>
        <v>68.139569194998018</v>
      </c>
      <c r="AL100" s="22">
        <f t="shared" si="58"/>
        <v>616.01783234795482</v>
      </c>
      <c r="AM100" s="62">
        <f t="shared" si="59"/>
        <v>883.83354695928335</v>
      </c>
      <c r="AN100" s="62">
        <f ca="1">AVERAGE(OFFSET($AM$3,0,0,'Données projet'!$E$10+1,1))-AVERAGE(OFFSET($H$3,0,0,'Données projet'!$E$10+1,1))</f>
        <v>499.92116338695428</v>
      </c>
      <c r="AO100" s="62">
        <f t="shared" si="90"/>
        <v>316.79403154855652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0.37435396587629788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0.37435396587629788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-5.1431925385259088E-14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391.31970775590571</v>
      </c>
      <c r="T101" s="62">
        <f t="shared" si="88"/>
        <v>552.37678344309143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2.7035337438434923</v>
      </c>
      <c r="AA101" s="23">
        <f>EXP(-LN(2)/25)*AA100+(1-EXP(-LN(2)/25))/(LN(2)/25)*Calculateur!V101*Calculateur!X101*VLOOKUP('Données projet'!$B$9,Paramètres!$A$1:$I$89,3,0)*0.475*44/12</f>
        <v>0.90129352554183129</v>
      </c>
      <c r="AB101" s="23">
        <f>EXP(-LN(2)/2)*AB100+(1-EXP(-LN(2)/2))/(LN(2)/2)*V101*Y101*VLOOKUP('Données projet'!$B$9,Paramètres!$A$1:$I$89,3,0)*0.475*44/12</f>
        <v>7.7198459873578386E-12</v>
      </c>
      <c r="AC101" s="24">
        <f t="shared" si="57"/>
        <v>3.6048272693930437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290.80271999999997</v>
      </c>
      <c r="AK101" s="14">
        <f t="shared" si="89"/>
        <v>69.244880157128961</v>
      </c>
      <c r="AL101" s="22">
        <f t="shared" si="58"/>
        <v>627.08290360699959</v>
      </c>
      <c r="AM101" s="62">
        <f t="shared" si="59"/>
        <v>895.34129185430595</v>
      </c>
      <c r="AN101" s="62">
        <f ca="1">AVERAGE(OFFSET($AM$3,0,0,'Données projet'!$E$10+1,1))-AVERAGE(OFFSET($H$3,0,0,'Données projet'!$E$10+1,1))</f>
        <v>499.92116338695428</v>
      </c>
      <c r="AO101" s="62">
        <f t="shared" si="90"/>
        <v>316.79403154855652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0.36411723699299103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0.36411723699299103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-5.1431925385259088E-14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391.31970775590571</v>
      </c>
      <c r="T102" s="62">
        <f t="shared" si="88"/>
        <v>552.37678344309143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2.6505190961194809</v>
      </c>
      <c r="AA102" s="23">
        <f>EXP(-LN(2)/25)*AA101+(1-EXP(-LN(2)/25))/(LN(2)/25)*Calculateur!V102*Calculateur!X102*VLOOKUP('Données projet'!$B$9,Paramètres!$A$1:$I$89,3,0)*0.475*44/12</f>
        <v>0.87664760668892339</v>
      </c>
      <c r="AB102" s="23">
        <f>EXP(-LN(2)/2)*AB101+(1-EXP(-LN(2)/2))/(LN(2)/2)*V102*Y102*VLOOKUP('Données projet'!$B$9,Paramètres!$A$1:$I$89,3,0)*0.475*44/12</f>
        <v>5.4587554473764863E-12</v>
      </c>
      <c r="AC102" s="24">
        <f t="shared" si="57"/>
        <v>3.5271667028138629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296.05055999999996</v>
      </c>
      <c r="AK102" s="14">
        <f t="shared" si="89"/>
        <v>70.34787165092402</v>
      </c>
      <c r="AL102" s="22">
        <f t="shared" si="58"/>
        <v>638.14393512535923</v>
      </c>
      <c r="AM102" s="62">
        <f t="shared" si="59"/>
        <v>906.8373176107292</v>
      </c>
      <c r="AN102" s="62">
        <f ca="1">AVERAGE(OFFSET($AM$3,0,0,'Données projet'!$E$10+1,1))-AVERAGE(OFFSET($H$3,0,0,'Données projet'!$E$10+1,1))</f>
        <v>499.92116338695428</v>
      </c>
      <c r="AO102" s="62">
        <f t="shared" si="90"/>
        <v>316.79403154855652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0.3541604319993244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0.3541604319993244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-5.1431925385259088E-14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391.31970775590571</v>
      </c>
      <c r="T103" s="62">
        <f t="shared" si="88"/>
        <v>552.37678344309143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2.5985440333015948</v>
      </c>
      <c r="AA103" s="23">
        <f>EXP(-LN(2)/25)*AA102+(1-EXP(-LN(2)/25))/(LN(2)/25)*Calculateur!V103*Calculateur!X103*VLOOKUP('Données projet'!$B$9,Paramètres!$A$1:$I$89,3,0)*0.475*44/12</f>
        <v>0.85267563178312078</v>
      </c>
      <c r="AB103" s="23">
        <f>EXP(-LN(2)/2)*AB102+(1-EXP(-LN(2)/2))/(LN(2)/2)*V103*Y103*VLOOKUP('Données projet'!$B$9,Paramètres!$A$1:$I$89,3,0)*0.475*44/12</f>
        <v>3.8599229936789193E-12</v>
      </c>
      <c r="AC103" s="24">
        <f t="shared" si="57"/>
        <v>3.4512196650885754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301.29840000000002</v>
      </c>
      <c r="AK103" s="14">
        <f t="shared" si="89"/>
        <v>71.448589534990518</v>
      </c>
      <c r="AL103" s="22">
        <f t="shared" si="58"/>
        <v>649.2010067734418</v>
      </c>
      <c r="AM103" s="62">
        <f t="shared" si="59"/>
        <v>918.32183731934651</v>
      </c>
      <c r="AN103" s="62">
        <f ca="1">AVERAGE(OFFSET($AM$3,0,0,'Données projet'!$E$10+1,1))-AVERAGE(OFFSET($H$3,0,0,'Données projet'!$E$10+1,1))</f>
        <v>499.92116338695428</v>
      </c>
      <c r="AO103" s="62">
        <f t="shared" si="90"/>
        <v>316.79403154855652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0.34447589636181519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0.34447589636181519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-5.1431925385259088E-14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391.31970775590571</v>
      </c>
      <c r="T104" s="62">
        <f t="shared" si="88"/>
        <v>552.37678344309143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2.5475881697639093</v>
      </c>
      <c r="AA104" s="23">
        <f>EXP(-LN(2)/25)*AA103+(1-EXP(-LN(2)/25))/(LN(2)/25)*Calculateur!V104*Calculateur!X104*VLOOKUP('Données projet'!$B$9,Paramètres!$A$1:$I$89,3,0)*0.475*44/12</f>
        <v>0.82935917179174867</v>
      </c>
      <c r="AB104" s="23">
        <f>EXP(-LN(2)/2)*AB103+(1-EXP(-LN(2)/2))/(LN(2)/2)*V104*Y104*VLOOKUP('Données projet'!$B$9,Paramètres!$A$1:$I$89,3,0)*0.475*44/12</f>
        <v>2.7293777236882431E-12</v>
      </c>
      <c r="AC104" s="24">
        <f t="shared" si="57"/>
        <v>3.3769473415583873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281.75471999999996</v>
      </c>
      <c r="AK104" s="14">
        <f t="shared" si="89"/>
        <v>67.337696723120317</v>
      </c>
      <c r="AL104" s="22">
        <f t="shared" si="58"/>
        <v>608.00262579276773</v>
      </c>
      <c r="AM104" s="62">
        <f t="shared" si="59"/>
        <v>877.54348913098738</v>
      </c>
      <c r="AN104" s="62">
        <f ca="1">AVERAGE(OFFSET($AM$3,0,0,'Données projet'!$E$10+1,1))-AVERAGE(OFFSET($H$3,0,0,'Données projet'!$E$10+1,1))</f>
        <v>499.92116338695428</v>
      </c>
      <c r="AO104" s="62">
        <f t="shared" si="90"/>
        <v>316.79403154855652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0.33505618486060129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0.33505618486060129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-5.1431925385259088E-14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391.31970775590571</v>
      </c>
      <c r="T105" s="62">
        <f t="shared" si="88"/>
        <v>552.37678344309143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2.4976315196301901</v>
      </c>
      <c r="AA105" s="23">
        <f>EXP(-LN(2)/25)*AA104+(1-EXP(-LN(2)/25))/(LN(2)/25)*Calculateur!V105*Calculateur!X105*VLOOKUP('Données projet'!$B$9,Paramètres!$A$1:$I$89,3,0)*0.475*44/12</f>
        <v>0.80668030162500004</v>
      </c>
      <c r="AB105" s="23">
        <f>EXP(-LN(2)/2)*AB104+(1-EXP(-LN(2)/2))/(LN(2)/2)*V105*Y105*VLOOKUP('Données projet'!$B$9,Paramètres!$A$1:$I$89,3,0)*0.475*44/12</f>
        <v>1.9299614968394597E-12</v>
      </c>
      <c r="AC105" s="24">
        <f t="shared" si="57"/>
        <v>3.3043118212571203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286.64063999999996</v>
      </c>
      <c r="AK105" s="14">
        <f t="shared" si="89"/>
        <v>68.368446832003599</v>
      </c>
      <c r="AL105" s="22">
        <f t="shared" si="58"/>
        <v>618.30749289907283</v>
      </c>
      <c r="AM105" s="62">
        <f t="shared" si="59"/>
        <v>888.26110239971354</v>
      </c>
      <c r="AN105" s="62">
        <f ca="1">AVERAGE(OFFSET($AM$3,0,0,'Données projet'!$E$10+1,1))-AVERAGE(OFFSET($H$3,0,0,'Données projet'!$E$10+1,1))</f>
        <v>499.92116338695428</v>
      </c>
      <c r="AO105" s="62">
        <f t="shared" si="90"/>
        <v>316.79403154855652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0.32589405586574915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0.32589405586574915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-5.1431925385259088E-14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391.31970775590571</v>
      </c>
      <c r="T106" s="62">
        <f t="shared" si="88"/>
        <v>552.37678344309143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2.4486544889350452</v>
      </c>
      <c r="AA106" s="23">
        <f>EXP(-LN(2)/25)*AA105+(1-EXP(-LN(2)/25))/(LN(2)/25)*Calculateur!V106*Calculateur!X106*VLOOKUP('Données projet'!$B$9,Paramètres!$A$1:$I$89,3,0)*0.475*44/12</f>
        <v>0.78462158635559109</v>
      </c>
      <c r="AB106" s="23">
        <f>EXP(-LN(2)/2)*AB105+(1-EXP(-LN(2)/2))/(LN(2)/2)*V106*Y106*VLOOKUP('Données projet'!$B$9,Paramètres!$A$1:$I$89,3,0)*0.475*44/12</f>
        <v>1.3646888618441216E-12</v>
      </c>
      <c r="AC106" s="24">
        <f t="shared" si="57"/>
        <v>3.2332760752920011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291.5265599999999</v>
      </c>
      <c r="AK106" s="14">
        <f t="shared" si="89"/>
        <v>69.397153761857183</v>
      </c>
      <c r="AL106" s="22">
        <f t="shared" si="58"/>
        <v>628.60880146856778</v>
      </c>
      <c r="AM106" s="62">
        <f t="shared" si="59"/>
        <v>898.96799690847376</v>
      </c>
      <c r="AN106" s="62">
        <f ca="1">AVERAGE(OFFSET($AM$3,0,0,'Données projet'!$E$10+1,1))-AVERAGE(OFFSET($H$3,0,0,'Données projet'!$E$10+1,1))</f>
        <v>499.92116338695428</v>
      </c>
      <c r="AO106" s="62">
        <f t="shared" si="90"/>
        <v>316.79403154855652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0.31698246577007666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0.31698246577007666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-5.1431925385259088E-14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391.31970775590571</v>
      </c>
      <c r="T107" s="62">
        <f t="shared" si="88"/>
        <v>552.37678344309143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2.4006378679387934</v>
      </c>
      <c r="AA107" s="23">
        <f>EXP(-LN(2)/25)*AA106+(1-EXP(-LN(2)/25))/(LN(2)/25)*Calculateur!V107*Calculateur!X107*VLOOKUP('Données projet'!$B$9,Paramètres!$A$1:$I$89,3,0)*0.475*44/12</f>
        <v>0.76316606781524154</v>
      </c>
      <c r="AB107" s="23">
        <f>EXP(-LN(2)/2)*AB106+(1-EXP(-LN(2)/2))/(LN(2)/2)*V107*Y107*VLOOKUP('Données projet'!$B$9,Paramètres!$A$1:$I$89,3,0)*0.475*44/12</f>
        <v>9.6498074841972983E-13</v>
      </c>
      <c r="AC107" s="24">
        <f t="shared" si="57"/>
        <v>3.1638039357549999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296.4124799999999</v>
      </c>
      <c r="AK107" s="14">
        <f t="shared" si="89"/>
        <v>70.423855708154704</v>
      </c>
      <c r="AL107" s="22">
        <f t="shared" si="58"/>
        <v>638.90661802503598</v>
      </c>
      <c r="AM107" s="62">
        <f t="shared" si="59"/>
        <v>909.6643633949152</v>
      </c>
      <c r="AN107" s="62">
        <f ca="1">AVERAGE(OFFSET($AM$3,0,0,'Données projet'!$E$10+1,1))-AVERAGE(OFFSET($H$3,0,0,'Données projet'!$E$10+1,1))</f>
        <v>499.92116338695428</v>
      </c>
      <c r="AO107" s="62">
        <f t="shared" si="90"/>
        <v>316.79403154855652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0.3083145635742105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0.3083145635742105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-5.1431925385259088E-14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391.31970775590571</v>
      </c>
      <c r="T108" s="62">
        <f t="shared" si="88"/>
        <v>552.37678344309143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2.3535628235930308</v>
      </c>
      <c r="AA108" s="23">
        <f>EXP(-LN(2)/25)*AA107+(1-EXP(-LN(2)/25))/(LN(2)/25)*Calculateur!V108*Calculateur!X108*VLOOKUP('Données projet'!$B$9,Paramètres!$A$1:$I$89,3,0)*0.475*44/12</f>
        <v>0.74229725155767445</v>
      </c>
      <c r="AB108" s="23">
        <f>EXP(-LN(2)/2)*AB107+(1-EXP(-LN(2)/2))/(LN(2)/2)*V108*Y108*VLOOKUP('Données projet'!$B$9,Paramètres!$A$1:$I$89,3,0)*0.475*44/12</f>
        <v>6.8234443092206078E-13</v>
      </c>
      <c r="AC108" s="24">
        <f t="shared" si="57"/>
        <v>3.0958600751513878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301.2983999999999</v>
      </c>
      <c r="AK108" s="14">
        <f t="shared" si="89"/>
        <v>71.448589534990518</v>
      </c>
      <c r="AL108" s="22">
        <f t="shared" si="58"/>
        <v>649.20100677344158</v>
      </c>
      <c r="AM108" s="62">
        <f t="shared" si="59"/>
        <v>920.35038812303333</v>
      </c>
      <c r="AN108" s="62">
        <f ca="1">AVERAGE(OFFSET($AM$3,0,0,'Données projet'!$E$10+1,1))-AVERAGE(OFFSET($H$3,0,0,'Données projet'!$E$10+1,1))</f>
        <v>499.92116338695428</v>
      </c>
      <c r="AO108" s="62">
        <f t="shared" si="90"/>
        <v>316.79403154855652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0.29988368561971546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0.29988368561971546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-5.1431925385259088E-14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391.31970775590571</v>
      </c>
      <c r="T109" s="62">
        <f t="shared" si="88"/>
        <v>552.37678344309143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2.3074108921539471</v>
      </c>
      <c r="AA109" s="23">
        <f>EXP(-LN(2)/25)*AA108+(1-EXP(-LN(2)/25))/(LN(2)/25)*Calculateur!V109*Calculateur!X109*VLOOKUP('Données projet'!$B$9,Paramètres!$A$1:$I$89,3,0)*0.475*44/12</f>
        <v>0.72199909417811392</v>
      </c>
      <c r="AB109" s="23">
        <f>EXP(-LN(2)/2)*AB108+(1-EXP(-LN(2)/2))/(LN(2)/2)*V109*Y109*VLOOKUP('Données projet'!$B$9,Paramètres!$A$1:$I$89,3,0)*0.475*44/12</f>
        <v>4.8249037420986491E-13</v>
      </c>
      <c r="AC109" s="24">
        <f t="shared" si="57"/>
        <v>3.0294099863325434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282.29759999999987</v>
      </c>
      <c r="AK109" s="14">
        <f t="shared" si="89"/>
        <v>67.452326629470178</v>
      </c>
      <c r="AL109" s="22">
        <f t="shared" si="58"/>
        <v>609.14778887966042</v>
      </c>
      <c r="AM109" s="62">
        <f t="shared" si="59"/>
        <v>880.68201220028345</v>
      </c>
      <c r="AN109" s="62">
        <f ca="1">AVERAGE(OFFSET($AM$3,0,0,'Données projet'!$E$10+1,1))-AVERAGE(OFFSET($H$3,0,0,'Données projet'!$E$10+1,1))</f>
        <v>499.92116338695428</v>
      </c>
      <c r="AO109" s="62">
        <f t="shared" si="90"/>
        <v>316.79403154855652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0.29168335046624672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0.29168335046624672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-5.1431925385259088E-14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391.31970775590571</v>
      </c>
      <c r="T110" s="62">
        <f t="shared" si="88"/>
        <v>552.37678344309143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2.2621639719404851</v>
      </c>
      <c r="AA110" s="23">
        <f>EXP(-LN(2)/25)*AA109+(1-EXP(-LN(2)/25))/(LN(2)/25)*Calculateur!V110*Calculateur!X110*VLOOKUP('Données projet'!$B$9,Paramètres!$A$1:$I$89,3,0)*0.475*44/12</f>
        <v>0.70225599097953118</v>
      </c>
      <c r="AB110" s="23">
        <f>EXP(-LN(2)/2)*AB109+(1-EXP(-LN(2)/2))/(LN(2)/2)*V110*Y110*VLOOKUP('Données projet'!$B$9,Paramètres!$A$1:$I$89,3,0)*0.475*44/12</f>
        <v>3.4117221546103039E-13</v>
      </c>
      <c r="AC110" s="24">
        <f t="shared" si="57"/>
        <v>2.9644199629203571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286.82159999999988</v>
      </c>
      <c r="AK110" s="14">
        <f t="shared" si="89"/>
        <v>68.406583284351413</v>
      </c>
      <c r="AL110" s="22">
        <f t="shared" si="58"/>
        <v>618.68908588691181</v>
      </c>
      <c r="AM110" s="62">
        <f t="shared" si="59"/>
        <v>890.60147503074643</v>
      </c>
      <c r="AN110" s="62">
        <f ca="1">AVERAGE(OFFSET($AM$3,0,0,'Données projet'!$E$10+1,1))-AVERAGE(OFFSET($H$3,0,0,'Données projet'!$E$10+1,1))</f>
        <v>499.92116338695428</v>
      </c>
      <c r="AO110" s="62">
        <f t="shared" si="90"/>
        <v>316.79403154855652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0.28370725390878643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0.28370725390878643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-5.1431925385259088E-14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391.31970775590571</v>
      </c>
      <c r="T111" s="62">
        <f t="shared" si="88"/>
        <v>552.37678344309143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2.2178043162345129</v>
      </c>
      <c r="AA111" s="23">
        <f>EXP(-LN(2)/25)*AA110+(1-EXP(-LN(2)/25))/(LN(2)/25)*Calculateur!V111*Calculateur!X111*VLOOKUP('Données projet'!$B$9,Paramètres!$A$1:$I$89,3,0)*0.475*44/12</f>
        <v>0.68305276397615833</v>
      </c>
      <c r="AB111" s="23">
        <f>EXP(-LN(2)/2)*AB110+(1-EXP(-LN(2)/2))/(LN(2)/2)*V111*Y111*VLOOKUP('Données projet'!$B$9,Paramètres!$A$1:$I$89,3,0)*0.475*44/12</f>
        <v>2.4124518710493246E-13</v>
      </c>
      <c r="AC111" s="24">
        <f t="shared" si="57"/>
        <v>2.9008570802109124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291.34559999999993</v>
      </c>
      <c r="AK111" s="14">
        <f t="shared" si="89"/>
        <v>69.359089490698707</v>
      </c>
      <c r="AL111" s="22">
        <f t="shared" si="58"/>
        <v>628.22733419630015</v>
      </c>
      <c r="AM111" s="62">
        <f t="shared" si="59"/>
        <v>900.51132883176592</v>
      </c>
      <c r="AN111" s="62">
        <f ca="1">AVERAGE(OFFSET($AM$3,0,0,'Données projet'!$E$10+1,1))-AVERAGE(OFFSET($H$3,0,0,'Données projet'!$E$10+1,1))</f>
        <v>499.92116338695428</v>
      </c>
      <c r="AO111" s="62">
        <f t="shared" si="90"/>
        <v>316.79403154855652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0.27594926413113458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0.27594926413113458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-5.1431925385259088E-14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391.31970775590571</v>
      </c>
      <c r="T112" s="62">
        <f t="shared" si="88"/>
        <v>552.37678344309143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2.1743145263202162</v>
      </c>
      <c r="AA112" s="23">
        <f>EXP(-LN(2)/25)*AA111+(1-EXP(-LN(2)/25))/(LN(2)/25)*Calculateur!V112*Calculateur!X112*VLOOKUP('Données projet'!$B$9,Paramètres!$A$1:$I$89,3,0)*0.475*44/12</f>
        <v>0.6643746502250466</v>
      </c>
      <c r="AB112" s="23">
        <f>EXP(-LN(2)/2)*AB111+(1-EXP(-LN(2)/2))/(LN(2)/2)*V112*Y112*VLOOKUP('Données projet'!$B$9,Paramètres!$A$1:$I$89,3,0)*0.475*44/12</f>
        <v>1.705861077305152E-13</v>
      </c>
      <c r="AC112" s="24">
        <f t="shared" si="57"/>
        <v>2.8386891765454334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295.86959999999988</v>
      </c>
      <c r="AK112" s="14">
        <f t="shared" si="89"/>
        <v>70.309875568291218</v>
      </c>
      <c r="AL112" s="22">
        <f t="shared" si="58"/>
        <v>637.76258661477357</v>
      </c>
      <c r="AM112" s="62">
        <f t="shared" si="59"/>
        <v>910.41174021737584</v>
      </c>
      <c r="AN112" s="62">
        <f ca="1">AVERAGE(OFFSET($AM$3,0,0,'Données projet'!$E$10+1,1))-AVERAGE(OFFSET($H$3,0,0,'Données projet'!$E$10+1,1))</f>
        <v>499.92116338695428</v>
      </c>
      <c r="AO112" s="62">
        <f t="shared" si="90"/>
        <v>316.79403154855652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0.2684034169919276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0.2684034169919276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-5.1431925385259088E-14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391.31970775590571</v>
      </c>
      <c r="T113" s="62">
        <f t="shared" si="88"/>
        <v>552.37678344309143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2.1316775446599863</v>
      </c>
      <c r="AA113" s="23">
        <f>EXP(-LN(2)/25)*AA112+(1-EXP(-LN(2)/25))/(LN(2)/25)*Calculateur!V113*Calculateur!X113*VLOOKUP('Données projet'!$B$9,Paramètres!$A$1:$I$89,3,0)*0.475*44/12</f>
        <v>0.64620729047669834</v>
      </c>
      <c r="AB113" s="23">
        <f>EXP(-LN(2)/2)*AB112+(1-EXP(-LN(2)/2))/(LN(2)/2)*V113*Y113*VLOOKUP('Données projet'!$B$9,Paramètres!$A$1:$I$89,3,0)*0.475*44/12</f>
        <v>1.2062259355246623E-13</v>
      </c>
      <c r="AC113" s="24">
        <f t="shared" si="57"/>
        <v>2.7778848351368053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300.39359999999988</v>
      </c>
      <c r="AK113" s="14">
        <f t="shared" si="89"/>
        <v>71.258970856492667</v>
      </c>
      <c r="AL113" s="22">
        <f t="shared" si="58"/>
        <v>647.29489424172459</v>
      </c>
      <c r="AM113" s="62">
        <f t="shared" si="59"/>
        <v>920.30287211975701</v>
      </c>
      <c r="AN113" s="62">
        <f ca="1">AVERAGE(OFFSET($AM$3,0,0,'Données projet'!$E$10+1,1))-AVERAGE(OFFSET($H$3,0,0,'Données projet'!$E$10+1,1))</f>
        <v>499.92116338695428</v>
      </c>
      <c r="AO113" s="62">
        <f t="shared" si="90"/>
        <v>316.79403154855652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0.26106391143956109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0.26106391143956109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-5.1431925385259088E-14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391.31970775590571</v>
      </c>
      <c r="T114" s="62">
        <f t="shared" si="88"/>
        <v>552.37678344309143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2.0898766482041227</v>
      </c>
      <c r="AA114" s="23">
        <f>EXP(-LN(2)/25)*AA113+(1-EXP(-LN(2)/25))/(LN(2)/25)*Calculateur!V114*Calculateur!X114*VLOOKUP('Données projet'!$B$9,Paramètres!$A$1:$I$89,3,0)*0.475*44/12</f>
        <v>0.6285367181360485</v>
      </c>
      <c r="AB114" s="23">
        <f>EXP(-LN(2)/2)*AB113+(1-EXP(-LN(2)/2))/(LN(2)/2)*V114*Y114*VLOOKUP('Données projet'!$B$9,Paramètres!$A$1:$I$89,3,0)*0.475*44/12</f>
        <v>8.5293053865257598E-14</v>
      </c>
      <c r="AC114" s="24">
        <f t="shared" si="57"/>
        <v>2.7184133663402563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281.93567999999988</v>
      </c>
      <c r="AK114" s="14">
        <f t="shared" si="89"/>
        <v>67.375909546040361</v>
      </c>
      <c r="AL114" s="22">
        <f t="shared" si="58"/>
        <v>608.38435179268674</v>
      </c>
      <c r="AM114" s="62">
        <f t="shared" si="59"/>
        <v>881.74492914718121</v>
      </c>
      <c r="AN114" s="62">
        <f ca="1">AVERAGE(OFFSET($AM$3,0,0,'Données projet'!$E$10+1,1))-AVERAGE(OFFSET($H$3,0,0,'Données projet'!$E$10+1,1))</f>
        <v>499.92116338695428</v>
      </c>
      <c r="AO114" s="62">
        <f t="shared" si="90"/>
        <v>316.79403154855652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0.25392510505249188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0.25392510505249188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-5.1431925385259088E-14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391.31970775590571</v>
      </c>
      <c r="T115" s="62">
        <f t="shared" si="88"/>
        <v>552.37678344309143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2.0488954418317293</v>
      </c>
      <c r="AA115" s="23">
        <f>EXP(-LN(2)/25)*AA114+(1-EXP(-LN(2)/25))/(LN(2)/25)*Calculateur!V115*Calculateur!X115*VLOOKUP('Données projet'!$B$9,Paramètres!$A$1:$I$89,3,0)*0.475*44/12</f>
        <v>0.61134934852530876</v>
      </c>
      <c r="AB115" s="23">
        <f>EXP(-LN(2)/2)*AB114+(1-EXP(-LN(2)/2))/(LN(2)/2)*V115*Y115*VLOOKUP('Données projet'!$B$9,Paramètres!$A$1:$I$89,3,0)*0.475*44/12</f>
        <v>6.0311296776233114E-14</v>
      </c>
      <c r="AC115" s="24">
        <f t="shared" si="57"/>
        <v>2.6602447903570985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286.09775999999994</v>
      </c>
      <c r="AK115" s="14">
        <f t="shared" si="89"/>
        <v>68.254020651723678</v>
      </c>
      <c r="AL115" s="22">
        <f t="shared" si="58"/>
        <v>617.16268463508527</v>
      </c>
      <c r="AM115" s="62">
        <f t="shared" si="59"/>
        <v>890.86974465341973</v>
      </c>
      <c r="AN115" s="62">
        <f ca="1">AVERAGE(OFFSET($AM$3,0,0,'Données projet'!$E$10+1,1))-AVERAGE(OFFSET($H$3,0,0,'Données projet'!$E$10+1,1))</f>
        <v>499.92116338695428</v>
      </c>
      <c r="AO115" s="62">
        <f t="shared" si="90"/>
        <v>316.79403154855652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0.24698150970149058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0.24698150970149058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-5.1431925385259088E-14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391.31970775590571</v>
      </c>
      <c r="T116" s="62">
        <f t="shared" si="88"/>
        <v>552.37678344309143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2.0087178519202307</v>
      </c>
      <c r="AA116" s="23">
        <f>EXP(-LN(2)/25)*AA115+(1-EXP(-LN(2)/25))/(LN(2)/25)*Calculateur!V116*Calculateur!X116*VLOOKUP('Données projet'!$B$9,Paramètres!$A$1:$I$89,3,0)*0.475*44/12</f>
        <v>0.59463196844041921</v>
      </c>
      <c r="AB116" s="23">
        <f>EXP(-LN(2)/2)*AB115+(1-EXP(-LN(2)/2))/(LN(2)/2)*V116*Y116*VLOOKUP('Données projet'!$B$9,Paramètres!$A$1:$I$89,3,0)*0.475*44/12</f>
        <v>4.2646526932628799E-14</v>
      </c>
      <c r="AC116" s="24">
        <f t="shared" si="57"/>
        <v>2.6033498203606924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290.25983999999994</v>
      </c>
      <c r="AK116" s="14">
        <f t="shared" si="89"/>
        <v>69.130646003237317</v>
      </c>
      <c r="AL116" s="22">
        <f t="shared" si="58"/>
        <v>625.93842978897146</v>
      </c>
      <c r="AM116" s="62">
        <f t="shared" si="59"/>
        <v>899.9859617715473</v>
      </c>
      <c r="AN116" s="62">
        <f ca="1">AVERAGE(OFFSET($AM$3,0,0,'Données projet'!$E$10+1,1))-AVERAGE(OFFSET($H$3,0,0,'Données projet'!$E$10+1,1))</f>
        <v>499.92116338695428</v>
      </c>
      <c r="AO116" s="62">
        <f t="shared" si="90"/>
        <v>316.79403154855652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0.2402277873305102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0.2402277873305102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-5.1431925385259088E-14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391.31970775590571</v>
      </c>
      <c r="T117" s="62">
        <f t="shared" si="88"/>
        <v>552.37678344309143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1.9693281200409865</v>
      </c>
      <c r="AA117" s="23">
        <f>EXP(-LN(2)/25)*AA116+(1-EXP(-LN(2)/25))/(LN(2)/25)*Calculateur!V117*Calculateur!X117*VLOOKUP('Données projet'!$B$9,Paramètres!$A$1:$I$89,3,0)*0.475*44/12</f>
        <v>0.57837172599307973</v>
      </c>
      <c r="AB117" s="23">
        <f>EXP(-LN(2)/2)*AB116+(1-EXP(-LN(2)/2))/(LN(2)/2)*V117*Y117*VLOOKUP('Données projet'!$B$9,Paramètres!$A$1:$I$89,3,0)*0.475*44/12</f>
        <v>3.0155648388116557E-14</v>
      </c>
      <c r="AC117" s="24">
        <f t="shared" si="57"/>
        <v>2.5476998460340963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294.42191999999994</v>
      </c>
      <c r="AK117" s="14">
        <f t="shared" si="89"/>
        <v>70.005809366676559</v>
      </c>
      <c r="AL117" s="22">
        <f t="shared" si="58"/>
        <v>634.71162864696146</v>
      </c>
      <c r="AM117" s="62">
        <f t="shared" si="59"/>
        <v>909.09372616638052</v>
      </c>
      <c r="AN117" s="62">
        <f ca="1">AVERAGE(OFFSET($AM$3,0,0,'Données projet'!$E$10+1,1))-AVERAGE(OFFSET($H$3,0,0,'Données projet'!$E$10+1,1))</f>
        <v>499.92116338695428</v>
      </c>
      <c r="AO117" s="62">
        <f t="shared" si="90"/>
        <v>316.79403154855652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0.23365874585292712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0.23365874585292712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-5.1431925385259088E-14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391.31970775590571</v>
      </c>
      <c r="T118" s="62">
        <f t="shared" si="88"/>
        <v>552.37678344309143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1.9307107967785302</v>
      </c>
      <c r="AA118" s="23">
        <f>EXP(-LN(2)/25)*AA117+(1-EXP(-LN(2)/25))/(LN(2)/25)*Calculateur!V118*Calculateur!X118*VLOOKUP('Données projet'!$B$9,Paramètres!$A$1:$I$89,3,0)*0.475*44/12</f>
        <v>0.56255612073055183</v>
      </c>
      <c r="AB118" s="23">
        <f>EXP(-LN(2)/2)*AB117+(1-EXP(-LN(2)/2))/(LN(2)/2)*V118*Y118*VLOOKUP('Données projet'!$B$9,Paramètres!$A$1:$I$89,3,0)*0.475*44/12</f>
        <v>2.13232634663144E-14</v>
      </c>
      <c r="AC118" s="24">
        <f t="shared" si="57"/>
        <v>2.4932669175091036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298.58399999999995</v>
      </c>
      <c r="AK118" s="14">
        <f t="shared" si="89"/>
        <v>70.879533797607607</v>
      </c>
      <c r="AL118" s="22">
        <f t="shared" si="58"/>
        <v>643.48232136416652</v>
      </c>
      <c r="AM118" s="62">
        <f t="shared" si="59"/>
        <v>918.193180456341</v>
      </c>
      <c r="AN118" s="62">
        <f ca="1">AVERAGE(OFFSET($AM$3,0,0,'Données projet'!$E$10+1,1))-AVERAGE(OFFSET($H$3,0,0,'Données projet'!$E$10+1,1))</f>
        <v>499.92116338695428</v>
      </c>
      <c r="AO118" s="62">
        <f t="shared" si="90"/>
        <v>316.79403154855652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0.22726933515999942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0.22726933515999942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391.31970775590571</v>
      </c>
      <c r="T119" s="62">
        <f t="shared" si="88"/>
        <v>552.37678344309143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1.8928507356710091</v>
      </c>
      <c r="AA119" s="23">
        <f>EXP(-LN(2)/25)*AA118+(1-EXP(-LN(2)/25))/(LN(2)/25)*Calculateur!V119*Calculateur!X119*VLOOKUP('Données projet'!$B$9,Paramètres!$A$1:$I$89,3,0)*0.475*44/12</f>
        <v>0.54717299402563424</v>
      </c>
      <c r="AB119" s="23">
        <f>EXP(-LN(2)/2)*AB118+(1-EXP(-LN(2)/2))/(LN(2)/2)*V119*Y119*VLOOKUP('Données projet'!$B$9,Paramètres!$A$1:$I$89,3,0)*0.475*44/12</f>
        <v>1.5077824194058279E-14</v>
      </c>
      <c r="AC119" s="24">
        <f t="shared" si="57"/>
        <v>2.4400237296966587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499.92116338695428</v>
      </c>
      <c r="AO119" s="62">
        <f t="shared" si="90"/>
        <v>316.79403154855652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0.22105464323847432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0.22105464323847432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391.31970775590571</v>
      </c>
      <c r="T120" s="62">
        <f t="shared" si="88"/>
        <v>552.37678344309143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1.8557330872694495</v>
      </c>
      <c r="AA120" s="23">
        <f>EXP(-LN(2)/25)*AA119+(1-EXP(-LN(2)/25))/(LN(2)/25)*Calculateur!V120*Calculateur!X120*VLOOKUP('Données projet'!$B$9,Paramètres!$A$1:$I$89,3,0)*0.475*44/12</f>
        <v>0.53221051972942612</v>
      </c>
      <c r="AB120" s="23">
        <f>EXP(-LN(2)/2)*AB119+(1-EXP(-LN(2)/2))/(LN(2)/2)*V120*Y120*VLOOKUP('Données projet'!$B$9,Paramètres!$A$1:$I$89,3,0)*0.475*44/12</f>
        <v>1.06616317331572E-14</v>
      </c>
      <c r="AC120" s="24">
        <f t="shared" si="57"/>
        <v>2.3879436069988862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499.92116338695428</v>
      </c>
      <c r="AO120" s="62">
        <f t="shared" si="90"/>
        <v>316.79403154855652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0.21500989239435978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0.21500989239435978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391.31970775590571</v>
      </c>
      <c r="T121" s="62">
        <f t="shared" si="88"/>
        <v>552.37678344309143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1.8193432933135145</v>
      </c>
      <c r="AA121" s="23">
        <f>EXP(-LN(2)/25)*AA120+(1-EXP(-LN(2)/25))/(LN(2)/25)*Calculateur!V121*Calculateur!X121*VLOOKUP('Données projet'!$B$9,Paramètres!$A$1:$I$89,3,0)*0.475*44/12</f>
        <v>0.5176571950796901</v>
      </c>
      <c r="AB121" s="23">
        <f>EXP(-LN(2)/2)*AB120+(1-EXP(-LN(2)/2))/(LN(2)/2)*V121*Y121*VLOOKUP('Données projet'!$B$9,Paramètres!$A$1:$I$89,3,0)*0.475*44/12</f>
        <v>7.5389120970291393E-15</v>
      </c>
      <c r="AC121" s="24">
        <f t="shared" si="57"/>
        <v>2.3370004883932123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499.92116338695428</v>
      </c>
      <c r="AO121" s="62">
        <f t="shared" si="90"/>
        <v>316.79403154855652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0.20913043557995717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0.20913043557995717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391.31970775590571</v>
      </c>
      <c r="T122" s="62">
        <f t="shared" si="88"/>
        <v>552.37678344309143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1.7836670810214728</v>
      </c>
      <c r="AA122" s="23">
        <f>EXP(-LN(2)/25)*AA121+(1-EXP(-LN(2)/25))/(LN(2)/25)*Calculateur!V122*Calculateur!X122*VLOOKUP('Données projet'!$B$9,Paramètres!$A$1:$I$89,3,0)*0.475*44/12</f>
        <v>0.50350183185782715</v>
      </c>
      <c r="AB122" s="23">
        <f>EXP(-LN(2)/2)*AB121+(1-EXP(-LN(2)/2))/(LN(2)/2)*V122*Y122*VLOOKUP('Données projet'!$B$9,Paramètres!$A$1:$I$89,3,0)*0.475*44/12</f>
        <v>5.3308158665785999E-15</v>
      </c>
      <c r="AC122" s="24">
        <f t="shared" si="57"/>
        <v>2.2871689128793053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499.92116338695428</v>
      </c>
      <c r="AO122" s="62">
        <f t="shared" si="90"/>
        <v>316.79403154855652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0.20341175282133162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0.20341175282133162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391.31970775590571</v>
      </c>
      <c r="T123" s="62">
        <f t="shared" si="88"/>
        <v>552.37678344309143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1.7486904574921369</v>
      </c>
      <c r="AA123" s="23">
        <f>EXP(-LN(2)/25)*AA122+(1-EXP(-LN(2)/25))/(LN(2)/25)*Calculateur!V123*Calculateur!X123*VLOOKUP('Données projet'!$B$9,Paramètres!$A$1:$I$89,3,0)*0.475*44/12</f>
        <v>0.48973354778766431</v>
      </c>
      <c r="AB123" s="23">
        <f>EXP(-LN(2)/2)*AB122+(1-EXP(-LN(2)/2))/(LN(2)/2)*V123*Y123*VLOOKUP('Données projet'!$B$9,Paramètres!$A$1:$I$89,3,0)*0.475*44/12</f>
        <v>3.7694560485145696E-15</v>
      </c>
      <c r="AC123" s="24">
        <f t="shared" si="57"/>
        <v>2.2384240052798048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499.92116338695428</v>
      </c>
      <c r="AO123" s="62">
        <f t="shared" si="90"/>
        <v>316.79403154855652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0.19784944774347313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0.19784944774347313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391.31970775590571</v>
      </c>
      <c r="T124" s="62">
        <f t="shared" si="88"/>
        <v>552.37678344309143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1.7143997042165775</v>
      </c>
      <c r="AA124" s="23">
        <f>EXP(-LN(2)/25)*AA123+(1-EXP(-LN(2)/25))/(LN(2)/25)*Calculateur!V124*Calculateur!X124*VLOOKUP('Données projet'!$B$9,Paramètres!$A$1:$I$89,3,0)*0.475*44/12</f>
        <v>0.47634175816944263</v>
      </c>
      <c r="AB124" s="23">
        <f>EXP(-LN(2)/2)*AB123+(1-EXP(-LN(2)/2))/(LN(2)/2)*V124*Y124*VLOOKUP('Données projet'!$B$9,Paramètres!$A$1:$I$89,3,0)*0.475*44/12</f>
        <v>2.6654079332892999E-15</v>
      </c>
      <c r="AC124" s="24">
        <f t="shared" si="57"/>
        <v>2.1907414623860229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499.92116338695428</v>
      </c>
      <c r="AO124" s="62">
        <f t="shared" si="90"/>
        <v>316.79403154855652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0.19243924419047759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0.19243924419047759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391.31970775590571</v>
      </c>
      <c r="T125" s="62">
        <f t="shared" si="88"/>
        <v>552.37678344309143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1.6807813716974576</v>
      </c>
      <c r="AA125" s="23">
        <f>EXP(-LN(2)/25)*AA124+(1-EXP(-LN(2)/25))/(LN(2)/25)*Calculateur!V125*Calculateur!X125*VLOOKUP('Données projet'!$B$9,Paramètres!$A$1:$I$89,3,0)*0.475*44/12</f>
        <v>0.46331616774257484</v>
      </c>
      <c r="AB125" s="23">
        <f>EXP(-LN(2)/2)*AB124+(1-EXP(-LN(2)/2))/(LN(2)/2)*V125*Y125*VLOOKUP('Données projet'!$B$9,Paramètres!$A$1:$I$89,3,0)*0.475*44/12</f>
        <v>1.8847280242572848E-15</v>
      </c>
      <c r="AC125" s="24">
        <f t="shared" si="57"/>
        <v>2.1440975394400343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499.92116338695428</v>
      </c>
      <c r="AO125" s="62">
        <f t="shared" si="90"/>
        <v>316.79403154855652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0.18717698293814894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0.18717698293814894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391.31970775590571</v>
      </c>
      <c r="T126" s="62">
        <f t="shared" si="88"/>
        <v>552.37678344309143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1.6478222741738795</v>
      </c>
      <c r="AA126" s="23">
        <f>EXP(-LN(2)/25)*AA125+(1-EXP(-LN(2)/25))/(LN(2)/25)*Calculateur!V126*Calculateur!X126*VLOOKUP('Données projet'!$B$9,Paramètres!$A$1:$I$89,3,0)*0.475*44/12</f>
        <v>0.45064676277091581</v>
      </c>
      <c r="AB126" s="23">
        <f>EXP(-LN(2)/2)*AB125+(1-EXP(-LN(2)/2))/(LN(2)/2)*V126*Y126*VLOOKUP('Données projet'!$B$9,Paramètres!$A$1:$I$89,3,0)*0.475*44/12</f>
        <v>1.33270396664465E-15</v>
      </c>
      <c r="AC126" s="24">
        <f t="shared" si="57"/>
        <v>2.0984690369447967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499.92116338695428</v>
      </c>
      <c r="AO126" s="62">
        <f t="shared" si="90"/>
        <v>316.79403154855652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0.18205861849649552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0.18205861849649552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391.31970775590571</v>
      </c>
      <c r="T127" s="62">
        <f t="shared" si="88"/>
        <v>552.37678344309143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1.6155094844496742</v>
      </c>
      <c r="AA127" s="23">
        <f>EXP(-LN(2)/25)*AA126+(1-EXP(-LN(2)/25))/(LN(2)/25)*Calculateur!V127*Calculateur!X127*VLOOKUP('Données projet'!$B$9,Paramètres!$A$1:$I$89,3,0)*0.475*44/12</f>
        <v>0.4383238033444618</v>
      </c>
      <c r="AB127" s="23">
        <f>EXP(-LN(2)/2)*AB126+(1-EXP(-LN(2)/2))/(LN(2)/2)*V127*Y127*VLOOKUP('Données projet'!$B$9,Paramètres!$A$1:$I$89,3,0)*0.475*44/12</f>
        <v>9.4236401212864241E-16</v>
      </c>
      <c r="AC127" s="24">
        <f t="shared" si="57"/>
        <v>2.053833287794137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499.92116338695428</v>
      </c>
      <c r="AO127" s="62">
        <f t="shared" si="90"/>
        <v>316.79403154855652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0.1770802159996622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0.1770802159996622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391.31970775590571</v>
      </c>
      <c r="T128" s="62">
        <f t="shared" si="88"/>
        <v>552.37678344309143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1.583830328823105</v>
      </c>
      <c r="AA128" s="23">
        <f>EXP(-LN(2)/25)*AA127+(1-EXP(-LN(2)/25))/(LN(2)/25)*Calculateur!V128*Calculateur!X128*VLOOKUP('Données projet'!$B$9,Paramètres!$A$1:$I$89,3,0)*0.475*44/12</f>
        <v>0.4263378158915605</v>
      </c>
      <c r="AB128" s="23">
        <f>EXP(-LN(2)/2)*AB127+(1-EXP(-LN(2)/2))/(LN(2)/2)*V128*Y128*VLOOKUP('Données projet'!$B$9,Paramètres!$A$1:$I$89,3,0)*0.475*44/12</f>
        <v>6.6635198332232499E-16</v>
      </c>
      <c r="AC128" s="24">
        <f t="shared" si="57"/>
        <v>2.0101681447146662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499.92116338695428</v>
      </c>
      <c r="AO128" s="62">
        <f t="shared" si="90"/>
        <v>316.79403154855652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0.1722379481809076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0.1722379481809076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391.31970775590571</v>
      </c>
      <c r="T129" s="62">
        <f t="shared" si="88"/>
        <v>552.37678344309143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1.552772382115996</v>
      </c>
      <c r="AA129" s="23">
        <f>EXP(-LN(2)/25)*AA128+(1-EXP(-LN(2)/25))/(LN(2)/25)*Calculateur!V129*Calculateur!X129*VLOOKUP('Données projet'!$B$9,Paramètres!$A$1:$I$89,3,0)*0.475*44/12</f>
        <v>0.41467958589587445</v>
      </c>
      <c r="AB129" s="23">
        <f>EXP(-LN(2)/2)*AB128+(1-EXP(-LN(2)/2))/(LN(2)/2)*V129*Y129*VLOOKUP('Données projet'!$B$9,Paramètres!$A$1:$I$89,3,0)*0.475*44/12</f>
        <v>4.711820060643212E-16</v>
      </c>
      <c r="AC129" s="24">
        <f t="shared" si="57"/>
        <v>1.9674519680118709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499.92116338695428</v>
      </c>
      <c r="AO129" s="62">
        <f t="shared" si="90"/>
        <v>316.79403154855652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0.16752809243030065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0.16752809243030065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391.31970775590571</v>
      </c>
      <c r="T130" s="62">
        <f t="shared" si="88"/>
        <v>552.37678344309143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1.5223234628003364</v>
      </c>
      <c r="AA130" s="23">
        <f>EXP(-LN(2)/25)*AA129+(1-EXP(-LN(2)/25))/(LN(2)/25)*Calculateur!V130*Calculateur!X130*VLOOKUP('Données projet'!$B$9,Paramètres!$A$1:$I$89,3,0)*0.475*44/12</f>
        <v>0.40334015081250008</v>
      </c>
      <c r="AB130" s="23">
        <f>EXP(-LN(2)/2)*AB129+(1-EXP(-LN(2)/2))/(LN(2)/2)*V130*Y130*VLOOKUP('Données projet'!$B$9,Paramètres!$A$1:$I$89,3,0)*0.475*44/12</f>
        <v>3.3317599166116249E-16</v>
      </c>
      <c r="AC130" s="24">
        <f t="shared" si="57"/>
        <v>1.9256636136128369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499.92116338695428</v>
      </c>
      <c r="AO130" s="62">
        <f t="shared" si="90"/>
        <v>316.79403154855652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0.16294702793287458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0.16294702793287458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391.31970775590571</v>
      </c>
      <c r="T131" s="62">
        <f t="shared" si="88"/>
        <v>552.37678344309143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1.4924716282204498</v>
      </c>
      <c r="AA131" s="23">
        <f>EXP(-LN(2)/25)*AA130+(1-EXP(-LN(2)/25))/(LN(2)/25)*Calculateur!V131*Calculateur!X131*VLOOKUP('Données projet'!$B$9,Paramètres!$A$1:$I$89,3,0)*0.475*44/12</f>
        <v>0.3923107931777956</v>
      </c>
      <c r="AB131" s="23">
        <f>EXP(-LN(2)/2)*AB130+(1-EXP(-LN(2)/2))/(LN(2)/2)*V131*Y131*VLOOKUP('Données projet'!$B$9,Paramètres!$A$1:$I$89,3,0)*0.475*44/12</f>
        <v>2.355910030321606E-16</v>
      </c>
      <c r="AC131" s="24">
        <f t="shared" si="57"/>
        <v>1.8847824213982456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499.92116338695428</v>
      </c>
      <c r="AO131" s="62">
        <f t="shared" si="90"/>
        <v>316.79403154855652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0.15849123288503833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0.15849123288503833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391.31970775590571</v>
      </c>
      <c r="T132" s="62">
        <f t="shared" si="88"/>
        <v>552.37678344309143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1.4632051699088535</v>
      </c>
      <c r="AA132" s="23">
        <f>EXP(-LN(2)/25)*AA131+(1-EXP(-LN(2)/25))/(LN(2)/25)*Calculateur!V132*Calculateur!X132*VLOOKUP('Données projet'!$B$9,Paramètres!$A$1:$I$89,3,0)*0.475*44/12</f>
        <v>0.38158303390762083</v>
      </c>
      <c r="AB132" s="23">
        <f>EXP(-LN(2)/2)*AB131+(1-EXP(-LN(2)/2))/(LN(2)/2)*V132*Y132*VLOOKUP('Données projet'!$B$9,Paramètres!$A$1:$I$89,3,0)*0.475*44/12</f>
        <v>1.6658799583058125E-16</v>
      </c>
      <c r="AC132" s="24">
        <f t="shared" ref="AC132:AC153" si="111">SUM(Z132:AB132)</f>
        <v>1.8447882038164745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499.92116338695428</v>
      </c>
      <c r="AO132" s="62">
        <f t="shared" si="90"/>
        <v>316.79403154855652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0.15415728178710525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0.15415728178710525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391.31970775590571</v>
      </c>
      <c r="T133" s="62">
        <f t="shared" ref="T133:T196" si="142">$T$3</f>
        <v>552.37678344309143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1.4345126089939708</v>
      </c>
      <c r="AA133" s="23">
        <f>EXP(-LN(2)/25)*AA132+(1-EXP(-LN(2)/25))/(LN(2)/25)*Calculateur!V133*Calculateur!X133*VLOOKUP('Données projet'!$B$9,Paramètres!$A$1:$I$89,3,0)*0.475*44/12</f>
        <v>0.37114862577883728</v>
      </c>
      <c r="AB133" s="23">
        <f>EXP(-LN(2)/2)*AB132+(1-EXP(-LN(2)/2))/(LN(2)/2)*V133*Y133*VLOOKUP('Données projet'!$B$9,Paramètres!$A$1:$I$89,3,0)*0.475*44/12</f>
        <v>1.177955015160803E-16</v>
      </c>
      <c r="AC133" s="24">
        <f t="shared" si="111"/>
        <v>1.8056612347728083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499.92116338695428</v>
      </c>
      <c r="AO133" s="62">
        <f t="shared" ref="AO133:AO196" si="144">$AO$3</f>
        <v>316.79403154855652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0.14994184280985773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0.14994184280985773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391.31970775590571</v>
      </c>
      <c r="T134" s="62">
        <f t="shared" si="142"/>
        <v>552.37678344309143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1.4063826916978948</v>
      </c>
      <c r="AA134" s="23">
        <f>EXP(-LN(2)/25)*AA133+(1-EXP(-LN(2)/25))/(LN(2)/25)*Calculateur!V134*Calculateur!X134*VLOOKUP('Données projet'!$B$9,Paramètres!$A$1:$I$89,3,0)*0.475*44/12</f>
        <v>0.36099954708905702</v>
      </c>
      <c r="AB134" s="23">
        <f>EXP(-LN(2)/2)*AB133+(1-EXP(-LN(2)/2))/(LN(2)/2)*V134*Y134*VLOOKUP('Données projet'!$B$9,Paramètres!$A$1:$I$89,3,0)*0.475*44/12</f>
        <v>8.3293997915290623E-17</v>
      </c>
      <c r="AC134" s="24">
        <f t="shared" si="111"/>
        <v>1.7673822387869518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499.92116338695428</v>
      </c>
      <c r="AO134" s="62">
        <f t="shared" si="144"/>
        <v>316.79403154855652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0.14584167523312336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0.14584167523312336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391.31970775590571</v>
      </c>
      <c r="T135" s="62">
        <f t="shared" si="142"/>
        <v>552.37678344309143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1.3788043849224394</v>
      </c>
      <c r="AA135" s="23">
        <f>EXP(-LN(2)/25)*AA134+(1-EXP(-LN(2)/25))/(LN(2)/25)*Calculateur!V135*Calculateur!X135*VLOOKUP('Données projet'!$B$9,Paramètres!$A$1:$I$89,3,0)*0.475*44/12</f>
        <v>0.35112799548976564</v>
      </c>
      <c r="AB135" s="23">
        <f>EXP(-LN(2)/2)*AB134+(1-EXP(-LN(2)/2))/(LN(2)/2)*V135*Y135*VLOOKUP('Données projet'!$B$9,Paramètres!$A$1:$I$89,3,0)*0.475*44/12</f>
        <v>5.889775075804015E-17</v>
      </c>
      <c r="AC135" s="24">
        <f t="shared" si="111"/>
        <v>1.7299323804122051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499.92116338695428</v>
      </c>
      <c r="AO135" s="62">
        <f t="shared" si="144"/>
        <v>316.79403154855652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0.14185362695439321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0.14185362695439321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391.31970775590571</v>
      </c>
      <c r="T136" s="62">
        <f t="shared" si="142"/>
        <v>552.37678344309143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1.3517668719217446</v>
      </c>
      <c r="AA136" s="23">
        <f>EXP(-LN(2)/25)*AA135+(1-EXP(-LN(2)/25))/(LN(2)/25)*Calculateur!V136*Calculateur!X136*VLOOKUP('Données projet'!$B$9,Paramètres!$A$1:$I$89,3,0)*0.475*44/12</f>
        <v>0.34152638198807922</v>
      </c>
      <c r="AB136" s="23">
        <f>EXP(-LN(2)/2)*AB135+(1-EXP(-LN(2)/2))/(LN(2)/2)*V136*Y136*VLOOKUP('Données projet'!$B$9,Paramètres!$A$1:$I$89,3,0)*0.475*44/12</f>
        <v>4.1646998957645312E-17</v>
      </c>
      <c r="AC136" s="24">
        <f t="shared" si="111"/>
        <v>1.6932932539098238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499.92116338695428</v>
      </c>
      <c r="AO136" s="62">
        <f t="shared" si="144"/>
        <v>316.79403154855652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0.13797463206556729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0.13797463206556729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391.31970775590571</v>
      </c>
      <c r="T137" s="62">
        <f t="shared" si="142"/>
        <v>552.37678344309143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1.3252595480597389</v>
      </c>
      <c r="AA137" s="23">
        <f>EXP(-LN(2)/25)*AA136+(1-EXP(-LN(2)/25))/(LN(2)/25)*Calculateur!V137*Calculateur!X137*VLOOKUP('Données projet'!$B$9,Paramètres!$A$1:$I$89,3,0)*0.475*44/12</f>
        <v>0.33218732511252336</v>
      </c>
      <c r="AB137" s="23">
        <f>EXP(-LN(2)/2)*AB136+(1-EXP(-LN(2)/2))/(LN(2)/2)*V137*Y137*VLOOKUP('Données projet'!$B$9,Paramètres!$A$1:$I$89,3,0)*0.475*44/12</f>
        <v>2.9448875379020075E-17</v>
      </c>
      <c r="AC137" s="24">
        <f t="shared" si="111"/>
        <v>1.6574468731722622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499.92116338695428</v>
      </c>
      <c r="AO137" s="62">
        <f t="shared" si="144"/>
        <v>316.79403154855652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0.1342017084959638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0.1342017084959638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391.31970775590571</v>
      </c>
      <c r="T138" s="62">
        <f t="shared" si="142"/>
        <v>552.37678344309143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1.2992720166507958</v>
      </c>
      <c r="AA138" s="23">
        <f>EXP(-LN(2)/25)*AA137+(1-EXP(-LN(2)/25))/(LN(2)/25)*Calculateur!V138*Calculateur!X138*VLOOKUP('Données projet'!$B$9,Paramètres!$A$1:$I$89,3,0)*0.475*44/12</f>
        <v>0.32310364523834922</v>
      </c>
      <c r="AB138" s="23">
        <f>EXP(-LN(2)/2)*AB137+(1-EXP(-LN(2)/2))/(LN(2)/2)*V138*Y138*VLOOKUP('Données projet'!$B$9,Paramètres!$A$1:$I$89,3,0)*0.475*44/12</f>
        <v>2.0823499478822656E-17</v>
      </c>
      <c r="AC138" s="24">
        <f t="shared" si="111"/>
        <v>1.6223756618891452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499.92116338695428</v>
      </c>
      <c r="AO138" s="62">
        <f t="shared" si="144"/>
        <v>316.79403154855652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0.13053195571978055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0.13053195571978055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391.31970775590571</v>
      </c>
      <c r="T139" s="62">
        <f t="shared" si="142"/>
        <v>552.37678344309143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1.2737940848819531</v>
      </c>
      <c r="AA139" s="23">
        <f>EXP(-LN(2)/25)*AA138+(1-EXP(-LN(2)/25))/(LN(2)/25)*Calculateur!V139*Calculateur!X139*VLOOKUP('Données projet'!$B$9,Paramètres!$A$1:$I$89,3,0)*0.475*44/12</f>
        <v>0.31426835906802431</v>
      </c>
      <c r="AB139" s="23">
        <f>EXP(-LN(2)/2)*AB138+(1-EXP(-LN(2)/2))/(LN(2)/2)*V139*Y139*VLOOKUP('Données projet'!$B$9,Paramètres!$A$1:$I$89,3,0)*0.475*44/12</f>
        <v>1.4724437689510038E-17</v>
      </c>
      <c r="AC139" s="24">
        <f t="shared" si="111"/>
        <v>1.5880624439499775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499.92116338695428</v>
      </c>
      <c r="AO139" s="62">
        <f t="shared" si="144"/>
        <v>316.79403154855652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0.12696255252624594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0.12696255252624594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391.31970775590571</v>
      </c>
      <c r="T140" s="62">
        <f t="shared" si="142"/>
        <v>552.37678344309143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1.2488157598150935</v>
      </c>
      <c r="AA140" s="23">
        <f>EXP(-LN(2)/25)*AA139+(1-EXP(-LN(2)/25))/(LN(2)/25)*Calculateur!V140*Calculateur!X140*VLOOKUP('Données projet'!$B$9,Paramètres!$A$1:$I$89,3,0)*0.475*44/12</f>
        <v>0.30567467426265443</v>
      </c>
      <c r="AB140" s="23">
        <f>EXP(-LN(2)/2)*AB139+(1-EXP(-LN(2)/2))/(LN(2)/2)*V140*Y140*VLOOKUP('Données projet'!$B$9,Paramètres!$A$1:$I$89,3,0)*0.475*44/12</f>
        <v>1.0411749739411328E-17</v>
      </c>
      <c r="AC140" s="24">
        <f t="shared" si="111"/>
        <v>1.5544904340777479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499.92116338695428</v>
      </c>
      <c r="AO140" s="62">
        <f t="shared" si="144"/>
        <v>316.79403154855652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0.12349075485074529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0.12349075485074529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391.31970775590571</v>
      </c>
      <c r="T141" s="62">
        <f t="shared" si="142"/>
        <v>552.37678344309143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1.2243272444675211</v>
      </c>
      <c r="AA141" s="23">
        <f>EXP(-LN(2)/25)*AA140+(1-EXP(-LN(2)/25))/(LN(2)/25)*Calculateur!V141*Calculateur!X141*VLOOKUP('Données projet'!$B$9,Paramètres!$A$1:$I$89,3,0)*0.475*44/12</f>
        <v>0.29731598422020966</v>
      </c>
      <c r="AB141" s="23">
        <f>EXP(-LN(2)/2)*AB140+(1-EXP(-LN(2)/2))/(LN(2)/2)*V141*Y141*VLOOKUP('Données projet'!$B$9,Paramètres!$A$1:$I$89,3,0)*0.475*44/12</f>
        <v>7.3622188447550188E-18</v>
      </c>
      <c r="AC141" s="24">
        <f t="shared" si="111"/>
        <v>1.5216432286877306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499.92116338695428</v>
      </c>
      <c r="AO141" s="62">
        <f t="shared" si="144"/>
        <v>316.79403154855652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0.1201138936652551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0.1201138936652551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391.31970775590571</v>
      </c>
      <c r="T142" s="62">
        <f t="shared" si="142"/>
        <v>552.37678344309143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1.2003189339693952</v>
      </c>
      <c r="AA142" s="23">
        <f>EXP(-LN(2)/25)*AA141+(1-EXP(-LN(2)/25))/(LN(2)/25)*Calculateur!V142*Calculateur!X142*VLOOKUP('Données projet'!$B$9,Paramètres!$A$1:$I$89,3,0)*0.475*44/12</f>
        <v>0.28918586299653992</v>
      </c>
      <c r="AB142" s="23">
        <f>EXP(-LN(2)/2)*AB141+(1-EXP(-LN(2)/2))/(LN(2)/2)*V142*Y142*VLOOKUP('Données projet'!$B$9,Paramètres!$A$1:$I$89,3,0)*0.475*44/12</f>
        <v>5.2058748697056639E-18</v>
      </c>
      <c r="AC142" s="24">
        <f t="shared" si="111"/>
        <v>1.4895047969659352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499.92116338695428</v>
      </c>
      <c r="AO142" s="62">
        <f t="shared" si="144"/>
        <v>316.79403154855652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0.11682937292646356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0.11682937292646356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391.31970775590571</v>
      </c>
      <c r="T143" s="62">
        <f t="shared" si="142"/>
        <v>552.37678344309143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1.1767814117965141</v>
      </c>
      <c r="AA143" s="23">
        <f>EXP(-LN(2)/25)*AA142+(1-EXP(-LN(2)/25))/(LN(2)/25)*Calculateur!V143*Calculateur!X143*VLOOKUP('Données projet'!$B$9,Paramètres!$A$1:$I$89,3,0)*0.475*44/12</f>
        <v>0.28127806036527597</v>
      </c>
      <c r="AB143" s="23">
        <f>EXP(-LN(2)/2)*AB142+(1-EXP(-LN(2)/2))/(LN(2)/2)*V143*Y143*VLOOKUP('Données projet'!$B$9,Paramètres!$A$1:$I$89,3,0)*0.475*44/12</f>
        <v>3.6811094223775094E-18</v>
      </c>
      <c r="AC143" s="24">
        <f t="shared" si="111"/>
        <v>1.4580594721617901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499.92116338695428</v>
      </c>
      <c r="AO143" s="62">
        <f t="shared" si="144"/>
        <v>316.79403154855652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0.11363466757999971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0.11363466757999971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391.31970775590571</v>
      </c>
      <c r="T144" s="62">
        <f t="shared" si="142"/>
        <v>552.37678344309143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1.1537054460769722</v>
      </c>
      <c r="AA144" s="23">
        <f>EXP(-LN(2)/25)*AA143+(1-EXP(-LN(2)/25))/(LN(2)/25)*Calculateur!V144*Calculateur!X144*VLOOKUP('Données projet'!$B$9,Paramètres!$A$1:$I$89,3,0)*0.475*44/12</f>
        <v>0.27358649701281718</v>
      </c>
      <c r="AB144" s="23">
        <f>EXP(-LN(2)/2)*AB143+(1-EXP(-LN(2)/2))/(LN(2)/2)*V144*Y144*VLOOKUP('Données projet'!$B$9,Paramètres!$A$1:$I$89,3,0)*0.475*44/12</f>
        <v>2.602937434852832E-18</v>
      </c>
      <c r="AC144" s="24">
        <f t="shared" si="111"/>
        <v>1.4272919430897895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499.92116338695428</v>
      </c>
      <c r="AO144" s="62">
        <f t="shared" si="144"/>
        <v>316.79403154855652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0.11052732161923716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0.11052732161923716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391.31970775590571</v>
      </c>
      <c r="T145" s="62">
        <f t="shared" si="142"/>
        <v>552.37678344309143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1.1310819859702412</v>
      </c>
      <c r="AA145" s="23">
        <f>EXP(-LN(2)/25)*AA144+(1-EXP(-LN(2)/25))/(LN(2)/25)*Calculateur!V145*Calculateur!X145*VLOOKUP('Données projet'!$B$9,Paramètres!$A$1:$I$89,3,0)*0.475*44/12</f>
        <v>0.26610525986471312</v>
      </c>
      <c r="AB145" s="23">
        <f>EXP(-LN(2)/2)*AB144+(1-EXP(-LN(2)/2))/(LN(2)/2)*V145*Y145*VLOOKUP('Données projet'!$B$9,Paramètres!$A$1:$I$89,3,0)*0.475*44/12</f>
        <v>1.8405547111887547E-18</v>
      </c>
      <c r="AC145" s="24">
        <f t="shared" si="111"/>
        <v>1.3971872458349543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499.92116338695428</v>
      </c>
      <c r="AO145" s="62">
        <f t="shared" si="144"/>
        <v>316.79403154855652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0.10750494619717989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0.10750494619717989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391.31970775590571</v>
      </c>
      <c r="T146" s="62">
        <f t="shared" si="142"/>
        <v>552.37678344309143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1.1089021581172551</v>
      </c>
      <c r="AA146" s="23">
        <f>EXP(-LN(2)/25)*AA145+(1-EXP(-LN(2)/25))/(LN(2)/25)*Calculateur!V146*Calculateur!X146*VLOOKUP('Données projet'!$B$9,Paramètres!$A$1:$I$89,3,0)*0.475*44/12</f>
        <v>0.25882859753984511</v>
      </c>
      <c r="AB146" s="23">
        <f>EXP(-LN(2)/2)*AB145+(1-EXP(-LN(2)/2))/(LN(2)/2)*V146*Y146*VLOOKUP('Données projet'!$B$9,Paramètres!$A$1:$I$89,3,0)*0.475*44/12</f>
        <v>1.301468717426416E-18</v>
      </c>
      <c r="AC146" s="24">
        <f t="shared" si="111"/>
        <v>1.3677307556571003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499.92116338695428</v>
      </c>
      <c r="AO146" s="62">
        <f t="shared" si="144"/>
        <v>316.79403154855652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0.10456521778997858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0.10456521778997858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391.31970775590571</v>
      </c>
      <c r="T147" s="62">
        <f t="shared" si="142"/>
        <v>552.37678344309143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1.0871572631601067</v>
      </c>
      <c r="AA147" s="23">
        <f>EXP(-LN(2)/25)*AA146+(1-EXP(-LN(2)/25))/(LN(2)/25)*Calculateur!V147*Calculateur!X147*VLOOKUP('Données projet'!$B$9,Paramètres!$A$1:$I$89,3,0)*0.475*44/12</f>
        <v>0.25175091592891363</v>
      </c>
      <c r="AB147" s="23">
        <f>EXP(-LN(2)/2)*AB146+(1-EXP(-LN(2)/2))/(LN(2)/2)*V147*Y147*VLOOKUP('Données projet'!$B$9,Paramètres!$A$1:$I$89,3,0)*0.475*44/12</f>
        <v>9.2027735559437735E-19</v>
      </c>
      <c r="AC147" s="24">
        <f t="shared" si="111"/>
        <v>1.3389081790890205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499.92116338695428</v>
      </c>
      <c r="AO147" s="62">
        <f t="shared" si="144"/>
        <v>316.79403154855652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0.10170587641066581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0.10170587641066581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391.31970775590571</v>
      </c>
      <c r="T148" s="62">
        <f t="shared" si="142"/>
        <v>552.37678344309143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1.0658387723299918</v>
      </c>
      <c r="AA148" s="23">
        <f>EXP(-LN(2)/25)*AA147+(1-EXP(-LN(2)/25))/(LN(2)/25)*Calculateur!V148*Calculateur!X148*VLOOKUP('Données projet'!$B$9,Paramètres!$A$1:$I$89,3,0)*0.475*44/12</f>
        <v>0.24486677389383221</v>
      </c>
      <c r="AB148" s="23">
        <f>EXP(-LN(2)/2)*AB147+(1-EXP(-LN(2)/2))/(LN(2)/2)*V148*Y148*VLOOKUP('Données projet'!$B$9,Paramètres!$A$1:$I$89,3,0)*0.475*44/12</f>
        <v>6.5073435871320799E-19</v>
      </c>
      <c r="AC148" s="24">
        <f t="shared" si="111"/>
        <v>1.310705546223824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499.92116338695428</v>
      </c>
      <c r="AO148" s="62">
        <f t="shared" si="144"/>
        <v>316.79403154855652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9.8924723871736564E-2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9.8924723871736564E-2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391.31970775590571</v>
      </c>
      <c r="T149" s="62">
        <f t="shared" si="142"/>
        <v>552.37678344309143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1.04493832410206</v>
      </c>
      <c r="AA149" s="23">
        <f>EXP(-LN(2)/25)*AA148+(1-EXP(-LN(2)/25))/(LN(2)/25)*Calculateur!V149*Calculateur!X149*VLOOKUP('Données projet'!$B$9,Paramètres!$A$1:$I$89,3,0)*0.475*44/12</f>
        <v>0.23817087908472137</v>
      </c>
      <c r="AB149" s="23">
        <f>EXP(-LN(2)/2)*AB148+(1-EXP(-LN(2)/2))/(LN(2)/2)*V149*Y149*VLOOKUP('Données projet'!$B$9,Paramètres!$A$1:$I$89,3,0)*0.475*44/12</f>
        <v>4.6013867779718868E-19</v>
      </c>
      <c r="AC149" s="24">
        <f t="shared" si="111"/>
        <v>1.2831092031867815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499.92116338695428</v>
      </c>
      <c r="AO149" s="62">
        <f t="shared" si="144"/>
        <v>316.79403154855652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9.6219622095238794E-2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9.6219622095238794E-2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391.31970775590571</v>
      </c>
      <c r="T150" s="62">
        <f t="shared" si="142"/>
        <v>552.37678344309143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1.0244477209158633</v>
      </c>
      <c r="AA150" s="23">
        <f>EXP(-LN(2)/25)*AA149+(1-EXP(-LN(2)/25))/(LN(2)/25)*Calculateur!V150*Calculateur!X150*VLOOKUP('Données projet'!$B$9,Paramètres!$A$1:$I$89,3,0)*0.475*44/12</f>
        <v>0.23165808387128747</v>
      </c>
      <c r="AB150" s="23">
        <f>EXP(-LN(2)/2)*AB149+(1-EXP(-LN(2)/2))/(LN(2)/2)*V150*Y150*VLOOKUP('Données projet'!$B$9,Paramètres!$A$1:$I$89,3,0)*0.475*44/12</f>
        <v>3.25367179356604E-19</v>
      </c>
      <c r="AC150" s="24">
        <f t="shared" si="111"/>
        <v>1.2561058047871507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499.92116338695428</v>
      </c>
      <c r="AO150" s="62">
        <f t="shared" si="144"/>
        <v>316.79403154855652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9.358849146907447E-2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9.358849146907447E-2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391.31970775590571</v>
      </c>
      <c r="T151" s="62">
        <f t="shared" si="142"/>
        <v>552.37678344309143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1.004358925960114</v>
      </c>
      <c r="AA151" s="23">
        <f>EXP(-LN(2)/25)*AA150+(1-EXP(-LN(2)/25))/(LN(2)/25)*Calculateur!V151*Calculateur!X151*VLOOKUP('Données projet'!$B$9,Paramètres!$A$1:$I$89,3,0)*0.475*44/12</f>
        <v>0.22532338138545796</v>
      </c>
      <c r="AB151" s="23">
        <f>EXP(-LN(2)/2)*AB150+(1-EXP(-LN(2)/2))/(LN(2)/2)*V151*Y151*VLOOKUP('Données projet'!$B$9,Paramètres!$A$1:$I$89,3,0)*0.475*44/12</f>
        <v>2.3006933889859434E-19</v>
      </c>
      <c r="AC151" s="24">
        <f t="shared" si="111"/>
        <v>1.229682307345572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499.92116338695428</v>
      </c>
      <c r="AO151" s="62">
        <f t="shared" si="144"/>
        <v>316.79403154855652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9.1029309248247758E-2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9.1029309248247758E-2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391.31970775590571</v>
      </c>
      <c r="T152" s="62">
        <f t="shared" si="142"/>
        <v>552.37678344309143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0.98466406002049189</v>
      </c>
      <c r="AA152" s="23">
        <f>EXP(-LN(2)/25)*AA151+(1-EXP(-LN(2)/25))/(LN(2)/25)*Calculateur!V152*Calculateur!X152*VLOOKUP('Données projet'!$B$9,Paramètres!$A$1:$I$89,3,0)*0.475*44/12</f>
        <v>0.21916190167223096</v>
      </c>
      <c r="AB152" s="23">
        <f>EXP(-LN(2)/2)*AB151+(1-EXP(-LN(2)/2))/(LN(2)/2)*V152*Y152*VLOOKUP('Données projet'!$B$9,Paramètres!$A$1:$I$89,3,0)*0.475*44/12</f>
        <v>1.62683589678302E-19</v>
      </c>
      <c r="AC152" s="24">
        <f t="shared" si="111"/>
        <v>1.2038259616927229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499.92116338695428</v>
      </c>
      <c r="AO152" s="62">
        <f t="shared" si="144"/>
        <v>316.79403154855652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8.85401079998311E-2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8.85401079998311E-2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391.31970775590571</v>
      </c>
      <c r="T153" s="62">
        <f t="shared" si="142"/>
        <v>552.37678344309143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0.96535539838926376</v>
      </c>
      <c r="AA153" s="23">
        <f>EXP(-LN(2)/25)*AA152+(1-EXP(-LN(2)/25))/(LN(2)/25)*Calculateur!V153*Calculateur!X153*VLOOKUP('Données projet'!$B$9,Paramètres!$A$1:$I$89,3,0)*0.475*44/12</f>
        <v>0.21316890794578031</v>
      </c>
      <c r="AB153" s="23">
        <f>EXP(-LN(2)/2)*AB152+(1-EXP(-LN(2)/2))/(LN(2)/2)*V153*Y153*VLOOKUP('Données projet'!$B$9,Paramètres!$A$1:$I$89,3,0)*0.475*44/12</f>
        <v>1.1503466944929717E-19</v>
      </c>
      <c r="AC153" s="24">
        <f t="shared" si="111"/>
        <v>1.1785243063350441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499.92116338695428</v>
      </c>
      <c r="AO153" s="62">
        <f t="shared" si="144"/>
        <v>316.79403154855652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8.6118974090453798E-2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8.6118974090453798E-2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391.31970775590571</v>
      </c>
      <c r="T154" s="62">
        <f t="shared" si="142"/>
        <v>552.37678344309143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0.94642536783550324</v>
      </c>
      <c r="AA154" s="23">
        <f>EXP(-LN(2)/25)*AA153+(1-EXP(-LN(2)/25))/(LN(2)/25)*Calculateur!V154*Calculateur!X154*VLOOKUP('Données projet'!$B$9,Paramètres!$A$1:$I$89,3,0)*0.475*44/12</f>
        <v>0.20733979294793728</v>
      </c>
      <c r="AB154" s="23">
        <f>EXP(-LN(2)/2)*AB153+(1-EXP(-LN(2)/2))/(LN(2)/2)*V154*Y154*VLOOKUP('Données projet'!$B$9,Paramètres!$A$1:$I$89,3,0)*0.475*44/12</f>
        <v>8.1341794839150999E-20</v>
      </c>
      <c r="AC154" s="24">
        <f t="shared" ref="AC154:AC203" si="163">SUM(Z154:AB154)</f>
        <v>1.1537651607834405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499.92116338695428</v>
      </c>
      <c r="AO154" s="62">
        <f t="shared" si="144"/>
        <v>316.79403154855652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8.3764046215150323E-2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8.3764046215150323E-2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391.31970775590571</v>
      </c>
      <c r="T155" s="62">
        <f t="shared" si="142"/>
        <v>552.37678344309143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0.92786654363472343</v>
      </c>
      <c r="AA155" s="23">
        <f>EXP(-LN(2)/25)*AA154+(1-EXP(-LN(2)/25))/(LN(2)/25)*Calculateur!V155*Calculateur!X155*VLOOKUP('Données projet'!$B$9,Paramètres!$A$1:$I$89,3,0)*0.475*44/12</f>
        <v>0.20167007540625009</v>
      </c>
      <c r="AB155" s="23">
        <f>EXP(-LN(2)/2)*AB154+(1-EXP(-LN(2)/2))/(LN(2)/2)*V155*Y155*VLOOKUP('Données projet'!$B$9,Paramètres!$A$1:$I$89,3,0)*0.475*44/12</f>
        <v>5.7517334724648584E-20</v>
      </c>
      <c r="AC155" s="24">
        <f t="shared" si="163"/>
        <v>1.1295366190409735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499.92116338695428</v>
      </c>
      <c r="AO155" s="62">
        <f t="shared" si="144"/>
        <v>316.79403154855652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8.1473513966437289E-2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8.1473513966437289E-2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391.31970775590571</v>
      </c>
      <c r="T156" s="62">
        <f t="shared" si="142"/>
        <v>552.37678344309143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0.90967164665675593</v>
      </c>
      <c r="AA156" s="23">
        <f>EXP(-LN(2)/25)*AA155+(1-EXP(-LN(2)/25))/(LN(2)/25)*Calculateur!V156*Calculateur!X156*VLOOKUP('Données projet'!$B$9,Paramètres!$A$1:$I$89,3,0)*0.475*44/12</f>
        <v>0.19615539658889783</v>
      </c>
      <c r="AB156" s="23">
        <f>EXP(-LN(2)/2)*AB155+(1-EXP(-LN(2)/2))/(LN(2)/2)*V156*Y156*VLOOKUP('Données projet'!$B$9,Paramètres!$A$1:$I$89,3,0)*0.475*44/12</f>
        <v>4.06708974195755E-20</v>
      </c>
      <c r="AC156" s="24">
        <f t="shared" si="163"/>
        <v>1.1058270432456538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499.92116338695428</v>
      </c>
      <c r="AO156" s="62">
        <f t="shared" si="144"/>
        <v>316.79403154855652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7.9245616442519165E-2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7.9245616442519165E-2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391.31970775590571</v>
      </c>
      <c r="T157" s="62">
        <f t="shared" si="142"/>
        <v>552.37678344309143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0.89183354051073505</v>
      </c>
      <c r="AA157" s="23">
        <f>EXP(-LN(2)/25)*AA156+(1-EXP(-LN(2)/25))/(LN(2)/25)*Calculateur!V157*Calculateur!X157*VLOOKUP('Données projet'!$B$9,Paramètres!$A$1:$I$89,3,0)*0.475*44/12</f>
        <v>0.19079151695381044</v>
      </c>
      <c r="AB157" s="23">
        <f>EXP(-LN(2)/2)*AB156+(1-EXP(-LN(2)/2))/(LN(2)/2)*V157*Y157*VLOOKUP('Données projet'!$B$9,Paramètres!$A$1:$I$89,3,0)*0.475*44/12</f>
        <v>2.8758667362324292E-20</v>
      </c>
      <c r="AC157" s="24">
        <f t="shared" si="163"/>
        <v>1.0826250574645455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499.92116338695428</v>
      </c>
      <c r="AO157" s="62">
        <f t="shared" si="144"/>
        <v>316.79403154855652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7.7078640893552625E-2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7.7078640893552625E-2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391.31970775590571</v>
      </c>
      <c r="T158" s="62">
        <f t="shared" si="142"/>
        <v>552.37678344309143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0.87434522874606724</v>
      </c>
      <c r="AA158" s="23">
        <f>EXP(-LN(2)/25)*AA157+(1-EXP(-LN(2)/25))/(LN(2)/25)*Calculateur!V158*Calculateur!X158*VLOOKUP('Données projet'!$B$9,Paramètres!$A$1:$I$89,3,0)*0.475*44/12</f>
        <v>0.18557431288941867</v>
      </c>
      <c r="AB158" s="23">
        <f>EXP(-LN(2)/2)*AB157+(1-EXP(-LN(2)/2))/(LN(2)/2)*V158*Y158*VLOOKUP('Données projet'!$B$9,Paramètres!$A$1:$I$89,3,0)*0.475*44/12</f>
        <v>2.033544870978775E-20</v>
      </c>
      <c r="AC158" s="24">
        <f t="shared" si="163"/>
        <v>1.0599195416354859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499.92116338695428</v>
      </c>
      <c r="AO158" s="62">
        <f t="shared" si="144"/>
        <v>316.79403154855652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7.4970921404928864E-2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7.4970921404928864E-2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391.31970775590571</v>
      </c>
      <c r="T159" s="62">
        <f t="shared" si="142"/>
        <v>552.37678344309143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0.85719985210828764</v>
      </c>
      <c r="AA159" s="23">
        <f>EXP(-LN(2)/25)*AA158+(1-EXP(-LN(2)/25))/(LN(2)/25)*Calculateur!V159*Calculateur!X159*VLOOKUP('Données projet'!$B$9,Paramètres!$A$1:$I$89,3,0)*0.475*44/12</f>
        <v>0.18049977354452854</v>
      </c>
      <c r="AB159" s="23">
        <f>EXP(-LN(2)/2)*AB158+(1-EXP(-LN(2)/2))/(LN(2)/2)*V159*Y159*VLOOKUP('Données projet'!$B$9,Paramètres!$A$1:$I$89,3,0)*0.475*44/12</f>
        <v>1.4379333681162146E-20</v>
      </c>
      <c r="AC159" s="24">
        <f t="shared" si="163"/>
        <v>1.0376996256528161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499.92116338695428</v>
      </c>
      <c r="AO159" s="62">
        <f t="shared" si="144"/>
        <v>316.79403154855652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7.2920837616561679E-2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7.2920837616561679E-2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391.31970775590571</v>
      </c>
      <c r="T160" s="62">
        <f t="shared" si="142"/>
        <v>552.37678344309143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0.84039068584872767</v>
      </c>
      <c r="AA160" s="23">
        <f>EXP(-LN(2)/25)*AA159+(1-EXP(-LN(2)/25))/(LN(2)/25)*Calculateur!V160*Calculateur!X160*VLOOKUP('Données projet'!$B$9,Paramètres!$A$1:$I$89,3,0)*0.475*44/12</f>
        <v>0.17556399774488285</v>
      </c>
      <c r="AB160" s="23">
        <f>EXP(-LN(2)/2)*AB159+(1-EXP(-LN(2)/2))/(LN(2)/2)*V160*Y160*VLOOKUP('Données projet'!$B$9,Paramètres!$A$1:$I$89,3,0)*0.475*44/12</f>
        <v>1.0167724354893875E-20</v>
      </c>
      <c r="AC160" s="24">
        <f t="shared" si="163"/>
        <v>1.0159546835936104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499.92116338695428</v>
      </c>
      <c r="AO160" s="62">
        <f t="shared" si="144"/>
        <v>316.79403154855652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7.0926813477196607E-2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7.0926813477196607E-2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391.31970775590571</v>
      </c>
      <c r="T161" s="62">
        <f t="shared" si="142"/>
        <v>552.37678344309143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0.82391113708693864</v>
      </c>
      <c r="AA161" s="23">
        <f>EXP(-LN(2)/25)*AA160+(1-EXP(-LN(2)/25))/(LN(2)/25)*Calculateur!V161*Calculateur!X161*VLOOKUP('Données projet'!$B$9,Paramètres!$A$1:$I$89,3,0)*0.475*44/12</f>
        <v>0.17076319099403964</v>
      </c>
      <c r="AB161" s="23">
        <f>EXP(-LN(2)/2)*AB160+(1-EXP(-LN(2)/2))/(LN(2)/2)*V161*Y161*VLOOKUP('Données projet'!$B$9,Paramètres!$A$1:$I$89,3,0)*0.475*44/12</f>
        <v>7.1896668405810731E-21</v>
      </c>
      <c r="AC161" s="24">
        <f t="shared" si="163"/>
        <v>0.99467432808097822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499.92116338695428</v>
      </c>
      <c r="AO161" s="62">
        <f t="shared" si="144"/>
        <v>316.79403154855652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6.8987316032783644E-2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6.8987316032783644E-2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391.31970775590571</v>
      </c>
      <c r="T162" s="62">
        <f t="shared" si="142"/>
        <v>552.37678344309143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0.80775474222483612</v>
      </c>
      <c r="AA162" s="23">
        <f>EXP(-LN(2)/25)*AA161+(1-EXP(-LN(2)/25))/(LN(2)/25)*Calculateur!V162*Calculateur!X162*VLOOKUP('Données projet'!$B$9,Paramètres!$A$1:$I$89,3,0)*0.475*44/12</f>
        <v>0.16609366255626171</v>
      </c>
      <c r="AB162" s="23">
        <f>EXP(-LN(2)/2)*AB161+(1-EXP(-LN(2)/2))/(LN(2)/2)*V162*Y162*VLOOKUP('Données projet'!$B$9,Paramètres!$A$1:$I$89,3,0)*0.475*44/12</f>
        <v>5.0838621774469374E-21</v>
      </c>
      <c r="AC162" s="24">
        <f t="shared" si="163"/>
        <v>0.9738484047810978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499.92116338695428</v>
      </c>
      <c r="AO162" s="62">
        <f t="shared" si="144"/>
        <v>316.79403154855652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6.71008542479819E-2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6.71008542479819E-2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391.31970775590571</v>
      </c>
      <c r="T163" s="62">
        <f t="shared" si="142"/>
        <v>552.37678344309143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0.79191516441155152</v>
      </c>
      <c r="AA163" s="23">
        <f>EXP(-LN(2)/25)*AA162+(1-EXP(-LN(2)/25))/(LN(2)/25)*Calculateur!V163*Calculateur!X163*VLOOKUP('Données projet'!$B$9,Paramètres!$A$1:$I$89,3,0)*0.475*44/12</f>
        <v>0.16155182261917464</v>
      </c>
      <c r="AB163" s="23">
        <f>EXP(-LN(2)/2)*AB162+(1-EXP(-LN(2)/2))/(LN(2)/2)*V163*Y163*VLOOKUP('Données projet'!$B$9,Paramètres!$A$1:$I$89,3,0)*0.475*44/12</f>
        <v>3.5948334202905365E-21</v>
      </c>
      <c r="AC163" s="24">
        <f t="shared" si="163"/>
        <v>0.95346698703072619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499.92116338695428</v>
      </c>
      <c r="AO163" s="62">
        <f t="shared" si="144"/>
        <v>316.79403154855652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6.5265977859890273E-2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6.5265977859890273E-2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391.31970775590571</v>
      </c>
      <c r="T164" s="62">
        <f t="shared" si="142"/>
        <v>552.37678344309143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0.776386191057997</v>
      </c>
      <c r="AA164" s="23">
        <f>EXP(-LN(2)/25)*AA163+(1-EXP(-LN(2)/25))/(LN(2)/25)*Calculateur!V164*Calculateur!X164*VLOOKUP('Données projet'!$B$9,Paramètres!$A$1:$I$89,3,0)*0.475*44/12</f>
        <v>0.15713417953401218</v>
      </c>
      <c r="AB164" s="23">
        <f>EXP(-LN(2)/2)*AB163+(1-EXP(-LN(2)/2))/(LN(2)/2)*V164*Y164*VLOOKUP('Données projet'!$B$9,Paramètres!$A$1:$I$89,3,0)*0.475*44/12</f>
        <v>2.5419310887234687E-21</v>
      </c>
      <c r="AC164" s="24">
        <f t="shared" si="163"/>
        <v>0.93352037059200921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499.92116338695428</v>
      </c>
      <c r="AO164" s="62">
        <f t="shared" si="144"/>
        <v>316.79403154855652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6.3481276263122971E-2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6.3481276263122971E-2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391.31970775590571</v>
      </c>
      <c r="T165" s="62">
        <f t="shared" si="142"/>
        <v>552.37678344309143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0.76116173140016719</v>
      </c>
      <c r="AA165" s="23">
        <f>EXP(-LN(2)/25)*AA164+(1-EXP(-LN(2)/25))/(LN(2)/25)*Calculateur!V165*Calculateur!X165*VLOOKUP('Données projet'!$B$9,Paramètres!$A$1:$I$89,3,0)*0.475*44/12</f>
        <v>0.15283733713132724</v>
      </c>
      <c r="AB165" s="23">
        <f>EXP(-LN(2)/2)*AB164+(1-EXP(-LN(2)/2))/(LN(2)/2)*V165*Y165*VLOOKUP('Données projet'!$B$9,Paramètres!$A$1:$I$89,3,0)*0.475*44/12</f>
        <v>1.7974167101452683E-21</v>
      </c>
      <c r="AC165" s="24">
        <f t="shared" si="163"/>
        <v>0.91399906853149449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499.92116338695428</v>
      </c>
      <c r="AO165" s="62">
        <f t="shared" si="144"/>
        <v>316.79403154855652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6.1745377425372644E-2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6.1745377425372644E-2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391.31970775590571</v>
      </c>
      <c r="T166" s="62">
        <f t="shared" si="142"/>
        <v>552.37678344309143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0.74623581411022388</v>
      </c>
      <c r="AA166" s="23">
        <f>EXP(-LN(2)/25)*AA165+(1-EXP(-LN(2)/25))/(LN(2)/25)*Calculateur!V166*Calculateur!X166*VLOOKUP('Données projet'!$B$9,Paramètres!$A$1:$I$89,3,0)*0.475*44/12</f>
        <v>0.14865799211010486</v>
      </c>
      <c r="AB166" s="23">
        <f>EXP(-LN(2)/2)*AB165+(1-EXP(-LN(2)/2))/(LN(2)/2)*V166*Y166*VLOOKUP('Données projet'!$B$9,Paramètres!$A$1:$I$89,3,0)*0.475*44/12</f>
        <v>1.2709655443617344E-21</v>
      </c>
      <c r="AC166" s="24">
        <f t="shared" si="163"/>
        <v>0.89489380622032877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499.92116338695428</v>
      </c>
      <c r="AO166" s="62">
        <f t="shared" si="144"/>
        <v>316.79403154855652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6.005694683262755E-2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6.005694683262755E-2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391.31970775590571</v>
      </c>
      <c r="T167" s="62">
        <f t="shared" si="142"/>
        <v>552.37678344309143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0.73160258495442576</v>
      </c>
      <c r="AA167" s="23">
        <f>EXP(-LN(2)/25)*AA166+(1-EXP(-LN(2)/25))/(LN(2)/25)*Calculateur!V167*Calculateur!X167*VLOOKUP('Données projet'!$B$9,Paramètres!$A$1:$I$89,3,0)*0.475*44/12</f>
        <v>0.14459293149826999</v>
      </c>
      <c r="AB167" s="23">
        <f>EXP(-LN(2)/2)*AB166+(1-EXP(-LN(2)/2))/(LN(2)/2)*V167*Y167*VLOOKUP('Données projet'!$B$9,Paramètres!$A$1:$I$89,3,0)*0.475*44/12</f>
        <v>8.9870835507263413E-22</v>
      </c>
      <c r="AC167" s="24">
        <f t="shared" si="163"/>
        <v>0.87619551645269578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499.92116338695428</v>
      </c>
      <c r="AO167" s="62">
        <f t="shared" si="144"/>
        <v>316.79403154855652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5.841468646323178E-2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5.841468646323178E-2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391.31970775590571</v>
      </c>
      <c r="T168" s="62">
        <f t="shared" si="142"/>
        <v>552.37678344309143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0.71725630449698441</v>
      </c>
      <c r="AA168" s="23">
        <f>EXP(-LN(2)/25)*AA167+(1-EXP(-LN(2)/25))/(LN(2)/25)*Calculateur!V168*Calculateur!X168*VLOOKUP('Données projet'!$B$9,Paramètres!$A$1:$I$89,3,0)*0.475*44/12</f>
        <v>0.14063903018263799</v>
      </c>
      <c r="AB168" s="23">
        <f>EXP(-LN(2)/2)*AB167+(1-EXP(-LN(2)/2))/(LN(2)/2)*V168*Y168*VLOOKUP('Données projet'!$B$9,Paramètres!$A$1:$I$89,3,0)*0.475*44/12</f>
        <v>6.3548277218086718E-22</v>
      </c>
      <c r="AC168" s="24">
        <f t="shared" si="163"/>
        <v>0.85789533467962242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499.92116338695428</v>
      </c>
      <c r="AO168" s="62">
        <f t="shared" si="144"/>
        <v>316.79403154855652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5.6817333789999855E-2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5.6817333789999855E-2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391.31970775590571</v>
      </c>
      <c r="T169" s="62">
        <f t="shared" si="142"/>
        <v>552.37678344309143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0.70319134584894638</v>
      </c>
      <c r="AA169" s="23">
        <f>EXP(-LN(2)/25)*AA168+(1-EXP(-LN(2)/25))/(LN(2)/25)*Calculateur!V169*Calculateur!X169*VLOOKUP('Données projet'!$B$9,Paramètres!$A$1:$I$89,3,0)*0.475*44/12</f>
        <v>0.13679324850640859</v>
      </c>
      <c r="AB169" s="23">
        <f>EXP(-LN(2)/2)*AB168+(1-EXP(-LN(2)/2))/(LN(2)/2)*V169*Y169*VLOOKUP('Données projet'!$B$9,Paramètres!$A$1:$I$89,3,0)*0.475*44/12</f>
        <v>4.4935417753631707E-22</v>
      </c>
      <c r="AC169" s="24">
        <f t="shared" si="163"/>
        <v>0.839984594355355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499.92116338695428</v>
      </c>
      <c r="AO169" s="62">
        <f t="shared" si="144"/>
        <v>316.79403154855652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5.526366080961858E-2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5.526366080961858E-2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391.31970775590571</v>
      </c>
      <c r="T170" s="62">
        <f t="shared" si="142"/>
        <v>552.37678344309143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0.6894021924612187</v>
      </c>
      <c r="AA170" s="23">
        <f>EXP(-LN(2)/25)*AA169+(1-EXP(-LN(2)/25))/(LN(2)/25)*Calculateur!V170*Calculateur!X170*VLOOKUP('Données projet'!$B$9,Paramètres!$A$1:$I$89,3,0)*0.475*44/12</f>
        <v>0.13305262993235656</v>
      </c>
      <c r="AB170" s="23">
        <f>EXP(-LN(2)/2)*AB169+(1-EXP(-LN(2)/2))/(LN(2)/2)*V170*Y170*VLOOKUP('Données projet'!$B$9,Paramètres!$A$1:$I$89,3,0)*0.475*44/12</f>
        <v>3.1774138609043359E-22</v>
      </c>
      <c r="AC170" s="24">
        <f t="shared" si="163"/>
        <v>0.82245482239357526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499.92116338695428</v>
      </c>
      <c r="AO170" s="62">
        <f t="shared" si="144"/>
        <v>316.79403154855652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5.3752473098589944E-2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5.3752473098589944E-2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391.31970775590571</v>
      </c>
      <c r="T171" s="62">
        <f t="shared" si="142"/>
        <v>552.37678344309143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0.6758834359608713</v>
      </c>
      <c r="AA171" s="23">
        <f>EXP(-LN(2)/25)*AA170+(1-EXP(-LN(2)/25))/(LN(2)/25)*Calculateur!V171*Calculateur!X171*VLOOKUP('Données projet'!$B$9,Paramètres!$A$1:$I$89,3,0)*0.475*44/12</f>
        <v>0.12941429876992255</v>
      </c>
      <c r="AB171" s="23">
        <f>EXP(-LN(2)/2)*AB170+(1-EXP(-LN(2)/2))/(LN(2)/2)*V171*Y171*VLOOKUP('Données projet'!$B$9,Paramètres!$A$1:$I$89,3,0)*0.475*44/12</f>
        <v>2.2467708876815853E-22</v>
      </c>
      <c r="AC171" s="24">
        <f t="shared" si="163"/>
        <v>0.80529773473079391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499.92116338695428</v>
      </c>
      <c r="AO171" s="62">
        <f t="shared" si="144"/>
        <v>316.79403154855652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5.2282608894989292E-2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5.2282608894989292E-2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391.31970775590571</v>
      </c>
      <c r="T172" s="62">
        <f t="shared" si="142"/>
        <v>552.37678344309143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0.66262977402986845</v>
      </c>
      <c r="AA172" s="23">
        <f>EXP(-LN(2)/25)*AA171+(1-EXP(-LN(2)/25))/(LN(2)/25)*Calculateur!V172*Calculateur!X172*VLOOKUP('Données projet'!$B$9,Paramètres!$A$1:$I$89,3,0)*0.475*44/12</f>
        <v>0.12587545796445682</v>
      </c>
      <c r="AB172" s="23">
        <f>EXP(-LN(2)/2)*AB171+(1-EXP(-LN(2)/2))/(LN(2)/2)*V172*Y172*VLOOKUP('Données projet'!$B$9,Paramètres!$A$1:$I$89,3,0)*0.475*44/12</f>
        <v>1.588706930452168E-22</v>
      </c>
      <c r="AC172" s="24">
        <f t="shared" si="163"/>
        <v>0.78850523199432532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499.92116338695428</v>
      </c>
      <c r="AO172" s="62">
        <f t="shared" si="144"/>
        <v>316.79403154855652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5.0852938205332904E-2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5.0852938205332904E-2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391.31970775590571</v>
      </c>
      <c r="T173" s="62">
        <f t="shared" si="142"/>
        <v>552.37678344309143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0.64963600832539703</v>
      </c>
      <c r="AA173" s="23">
        <f>EXP(-LN(2)/25)*AA172+(1-EXP(-LN(2)/25))/(LN(2)/25)*Calculateur!V173*Calculateur!X173*VLOOKUP('Données projet'!$B$9,Paramètres!$A$1:$I$89,3,0)*0.475*44/12</f>
        <v>0.12243338694691611</v>
      </c>
      <c r="AB173" s="23">
        <f>EXP(-LN(2)/2)*AB172+(1-EXP(-LN(2)/2))/(LN(2)/2)*V173*Y173*VLOOKUP('Données projet'!$B$9,Paramètres!$A$1:$I$89,3,0)*0.475*44/12</f>
        <v>1.1233854438407927E-22</v>
      </c>
      <c r="AC173" s="24">
        <f t="shared" si="163"/>
        <v>0.77206939527231311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499.92116338695428</v>
      </c>
      <c r="AO173" s="62">
        <f t="shared" si="144"/>
        <v>316.79403154855652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4.9462361935868282E-2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4.9462361935868282E-2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391.31970775590571</v>
      </c>
      <c r="T174" s="62">
        <f t="shared" si="142"/>
        <v>552.37678344309143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0.63689704244097578</v>
      </c>
      <c r="AA174" s="23">
        <f>EXP(-LN(2)/25)*AA173+(1-EXP(-LN(2)/25))/(LN(2)/25)*Calculateur!V174*Calculateur!X174*VLOOKUP('Données projet'!$B$9,Paramètres!$A$1:$I$89,3,0)*0.475*44/12</f>
        <v>0.11908543954236069</v>
      </c>
      <c r="AB174" s="23">
        <f>EXP(-LN(2)/2)*AB173+(1-EXP(-LN(2)/2))/(LN(2)/2)*V174*Y174*VLOOKUP('Données projet'!$B$9,Paramètres!$A$1:$I$89,3,0)*0.475*44/12</f>
        <v>7.9435346522608398E-23</v>
      </c>
      <c r="AC174" s="24">
        <f t="shared" si="163"/>
        <v>0.75598248198333651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499.92116338695428</v>
      </c>
      <c r="AO174" s="62">
        <f t="shared" si="144"/>
        <v>316.79403154855652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4.8109811047619397E-2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4.8109811047619397E-2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391.31970775590571</v>
      </c>
      <c r="T175" s="62">
        <f t="shared" si="142"/>
        <v>552.37678344309143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0.62440787990754598</v>
      </c>
      <c r="AA175" s="23">
        <f>EXP(-LN(2)/25)*AA174+(1-EXP(-LN(2)/25))/(LN(2)/25)*Calculateur!V175*Calculateur!X175*VLOOKUP('Données projet'!$B$9,Paramètres!$A$1:$I$89,3,0)*0.475*44/12</f>
        <v>0.11582904193564374</v>
      </c>
      <c r="AB175" s="23">
        <f>EXP(-LN(2)/2)*AB174+(1-EXP(-LN(2)/2))/(LN(2)/2)*V175*Y175*VLOOKUP('Données projet'!$B$9,Paramètres!$A$1:$I$89,3,0)*0.475*44/12</f>
        <v>5.6169272192039633E-23</v>
      </c>
      <c r="AC175" s="24">
        <f t="shared" si="163"/>
        <v>0.74023692184318968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499.92116338695428</v>
      </c>
      <c r="AO175" s="62">
        <f t="shared" si="144"/>
        <v>316.79403154855652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4.6794245734537235E-2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4.6794245734537235E-2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391.31970775590571</v>
      </c>
      <c r="T176" s="62">
        <f t="shared" si="142"/>
        <v>552.37678344309143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0.61216362223375986</v>
      </c>
      <c r="AA176" s="23">
        <f>EXP(-LN(2)/25)*AA175+(1-EXP(-LN(2)/25))/(LN(2)/25)*Calculateur!V176*Calculateur!X176*VLOOKUP('Données projet'!$B$9,Paramètres!$A$1:$I$89,3,0)*0.475*44/12</f>
        <v>0.11266169069272898</v>
      </c>
      <c r="AB176" s="23">
        <f>EXP(-LN(2)/2)*AB175+(1-EXP(-LN(2)/2))/(LN(2)/2)*V176*Y176*VLOOKUP('Données projet'!$B$9,Paramètres!$A$1:$I$89,3,0)*0.475*44/12</f>
        <v>3.9717673261304199E-23</v>
      </c>
      <c r="AC176" s="24">
        <f t="shared" si="163"/>
        <v>0.72482531292648888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499.92116338695428</v>
      </c>
      <c r="AO176" s="62">
        <f t="shared" si="144"/>
        <v>316.79403154855652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4.5514654624123879E-2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4.5514654624123879E-2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391.31970775590571</v>
      </c>
      <c r="T177" s="62">
        <f t="shared" si="142"/>
        <v>552.37678344309143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0.60015946698469691</v>
      </c>
      <c r="AA177" s="23">
        <f>EXP(-LN(2)/25)*AA176+(1-EXP(-LN(2)/25))/(LN(2)/25)*Calculateur!V177*Calculateur!X177*VLOOKUP('Données projet'!$B$9,Paramètres!$A$1:$I$89,3,0)*0.475*44/12</f>
        <v>0.10958095083611548</v>
      </c>
      <c r="AB177" s="23">
        <f>EXP(-LN(2)/2)*AB176+(1-EXP(-LN(2)/2))/(LN(2)/2)*V177*Y177*VLOOKUP('Données projet'!$B$9,Paramètres!$A$1:$I$89,3,0)*0.475*44/12</f>
        <v>2.8084636096019817E-23</v>
      </c>
      <c r="AC177" s="24">
        <f t="shared" si="163"/>
        <v>0.70974041782081243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499.92116338695428</v>
      </c>
      <c r="AO177" s="62">
        <f t="shared" si="144"/>
        <v>316.79403154855652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4.427005399991555E-2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4.427005399991555E-2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391.31970775590571</v>
      </c>
      <c r="T178" s="62">
        <f t="shared" si="142"/>
        <v>552.37678344309143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0.58839070589825637</v>
      </c>
      <c r="AA178" s="23">
        <f>EXP(-LN(2)/25)*AA177+(1-EXP(-LN(2)/25))/(LN(2)/25)*Calculateur!V178*Calculateur!X178*VLOOKUP('Données projet'!$B$9,Paramètres!$A$1:$I$89,3,0)*0.475*44/12</f>
        <v>0.10658445397289015</v>
      </c>
      <c r="AB178" s="23">
        <f>EXP(-LN(2)/2)*AB177+(1-EXP(-LN(2)/2))/(LN(2)/2)*V178*Y178*VLOOKUP('Données projet'!$B$9,Paramètres!$A$1:$I$89,3,0)*0.475*44/12</f>
        <v>1.9858836630652099E-23</v>
      </c>
      <c r="AC178" s="24">
        <f t="shared" si="163"/>
        <v>0.69497515987114655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499.92116338695428</v>
      </c>
      <c r="AO178" s="62">
        <f t="shared" si="144"/>
        <v>316.79403154855652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4.3059487045226899E-2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4.3059487045226899E-2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391.31970775590571</v>
      </c>
      <c r="T179" s="62">
        <f t="shared" si="142"/>
        <v>552.37678344309143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0.57685272303848545</v>
      </c>
      <c r="AA179" s="23">
        <f>EXP(-LN(2)/25)*AA178+(1-EXP(-LN(2)/25))/(LN(2)/25)*Calculateur!V179*Calculateur!X179*VLOOKUP('Données projet'!$B$9,Paramètres!$A$1:$I$89,3,0)*0.475*44/12</f>
        <v>0.10366989647396864</v>
      </c>
      <c r="AB179" s="23">
        <f>EXP(-LN(2)/2)*AB178+(1-EXP(-LN(2)/2))/(LN(2)/2)*V179*Y179*VLOOKUP('Données projet'!$B$9,Paramètres!$A$1:$I$89,3,0)*0.475*44/12</f>
        <v>1.4042318048009908E-23</v>
      </c>
      <c r="AC179" s="24">
        <f t="shared" si="163"/>
        <v>0.68052261951245407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499.92116338695428</v>
      </c>
      <c r="AO179" s="62">
        <f t="shared" si="144"/>
        <v>316.79403154855652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4.1882023107575161E-2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4.1882023107575161E-2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391.31970775590571</v>
      </c>
      <c r="T180" s="62">
        <f t="shared" si="142"/>
        <v>552.37678344309143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0.56554099298511995</v>
      </c>
      <c r="AA180" s="23">
        <f>EXP(-LN(2)/25)*AA179+(1-EXP(-LN(2)/25))/(LN(2)/25)*Calculateur!V180*Calculateur!X180*VLOOKUP('Données projet'!$B$9,Paramètres!$A$1:$I$89,3,0)*0.475*44/12</f>
        <v>0.10083503770312505</v>
      </c>
      <c r="AB180" s="23">
        <f>EXP(-LN(2)/2)*AB179+(1-EXP(-LN(2)/2))/(LN(2)/2)*V180*Y180*VLOOKUP('Données projet'!$B$9,Paramètres!$A$1:$I$89,3,0)*0.475*44/12</f>
        <v>9.9294183153260497E-24</v>
      </c>
      <c r="AC180" s="24">
        <f t="shared" si="163"/>
        <v>0.66637603068824502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499.92116338695428</v>
      </c>
      <c r="AO180" s="62">
        <f t="shared" si="144"/>
        <v>316.79403154855652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4.0736756983218644E-2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4.0736756983218644E-2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391.31970775590571</v>
      </c>
      <c r="T181" s="62">
        <f t="shared" si="142"/>
        <v>552.37678344309143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0.55445107905862689</v>
      </c>
      <c r="AA181" s="23">
        <f>EXP(-LN(2)/25)*AA180+(1-EXP(-LN(2)/25))/(LN(2)/25)*Calculateur!V181*Calculateur!X181*VLOOKUP('Données projet'!$B$9,Paramètres!$A$1:$I$89,3,0)*0.475*44/12</f>
        <v>9.8077698294448915E-2</v>
      </c>
      <c r="AB181" s="23">
        <f>EXP(-LN(2)/2)*AB180+(1-EXP(-LN(2)/2))/(LN(2)/2)*V181*Y181*VLOOKUP('Données projet'!$B$9,Paramètres!$A$1:$I$89,3,0)*0.475*44/12</f>
        <v>7.0211590240049542E-24</v>
      </c>
      <c r="AC181" s="24">
        <f t="shared" si="163"/>
        <v>0.6525287773530758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499.92116338695428</v>
      </c>
      <c r="AO181" s="62">
        <f t="shared" si="144"/>
        <v>316.79403154855652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3.9622808221259583E-2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3.9622808221259583E-2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391.31970775590571</v>
      </c>
      <c r="T182" s="62">
        <f t="shared" si="142"/>
        <v>552.37678344309143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0.54357863158005282</v>
      </c>
      <c r="AA182" s="23">
        <f>EXP(-LN(2)/25)*AA181+(1-EXP(-LN(2)/25))/(LN(2)/25)*Calculateur!V182*Calculateur!X182*VLOOKUP('Données projet'!$B$9,Paramètres!$A$1:$I$89,3,0)*0.475*44/12</f>
        <v>9.5395758476905221E-2</v>
      </c>
      <c r="AB182" s="23">
        <f>EXP(-LN(2)/2)*AB181+(1-EXP(-LN(2)/2))/(LN(2)/2)*V182*Y182*VLOOKUP('Données projet'!$B$9,Paramètres!$A$1:$I$89,3,0)*0.475*44/12</f>
        <v>4.9647091576630249E-24</v>
      </c>
      <c r="AC182" s="24">
        <f t="shared" si="163"/>
        <v>0.638974390056958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499.92116338695428</v>
      </c>
      <c r="AO182" s="62">
        <f t="shared" si="144"/>
        <v>316.79403154855652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3.8539320446776312E-2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3.8539320446776312E-2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391.31970775590571</v>
      </c>
      <c r="T183" s="62">
        <f t="shared" si="142"/>
        <v>552.37678344309143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0.53291938616499535</v>
      </c>
      <c r="AA183" s="23">
        <f>EXP(-LN(2)/25)*AA182+(1-EXP(-LN(2)/25))/(LN(2)/25)*Calculateur!V183*Calculateur!X183*VLOOKUP('Données projet'!$B$9,Paramètres!$A$1:$I$89,3,0)*0.475*44/12</f>
        <v>9.2787156444709334E-2</v>
      </c>
      <c r="AB183" s="23">
        <f>EXP(-LN(2)/2)*AB182+(1-EXP(-LN(2)/2))/(LN(2)/2)*V183*Y183*VLOOKUP('Données projet'!$B$9,Paramètres!$A$1:$I$89,3,0)*0.475*44/12</f>
        <v>3.5105795120024771E-24</v>
      </c>
      <c r="AC183" s="24">
        <f t="shared" si="163"/>
        <v>0.62570654260970471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499.92116338695428</v>
      </c>
      <c r="AO183" s="62">
        <f t="shared" si="144"/>
        <v>316.79403154855652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3.7485460702464432E-2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3.7485460702464432E-2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391.31970775590571</v>
      </c>
      <c r="T184" s="62">
        <f t="shared" si="142"/>
        <v>552.37678344309143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0.52246916205102945</v>
      </c>
      <c r="AA184" s="23">
        <f>EXP(-LN(2)/25)*AA183+(1-EXP(-LN(2)/25))/(LN(2)/25)*Calculateur!V184*Calculateur!X184*VLOOKUP('Données projet'!$B$9,Paramètres!$A$1:$I$89,3,0)*0.475*44/12</f>
        <v>9.0249886772264268E-2</v>
      </c>
      <c r="AB184" s="23">
        <f>EXP(-LN(2)/2)*AB183+(1-EXP(-LN(2)/2))/(LN(2)/2)*V184*Y184*VLOOKUP('Données projet'!$B$9,Paramètres!$A$1:$I$89,3,0)*0.475*44/12</f>
        <v>2.4823545788315124E-24</v>
      </c>
      <c r="AC184" s="24">
        <f t="shared" si="163"/>
        <v>0.61271904882329375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499.92116338695428</v>
      </c>
      <c r="AO184" s="62">
        <f t="shared" si="144"/>
        <v>316.79403154855652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3.6460418808280839E-2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3.6460418808280839E-2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391.31970775590571</v>
      </c>
      <c r="T185" s="62">
        <f t="shared" si="142"/>
        <v>552.37678344309143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0.51222386045793111</v>
      </c>
      <c r="AA185" s="23">
        <f>EXP(-LN(2)/25)*AA184+(1-EXP(-LN(2)/25))/(LN(2)/25)*Calculateur!V185*Calculateur!X185*VLOOKUP('Données projet'!$B$9,Paramètres!$A$1:$I$89,3,0)*0.475*44/12</f>
        <v>8.7781998872441425E-2</v>
      </c>
      <c r="AB185" s="23">
        <f>EXP(-LN(2)/2)*AB184+(1-EXP(-LN(2)/2))/(LN(2)/2)*V185*Y185*VLOOKUP('Données projet'!$B$9,Paramètres!$A$1:$I$89,3,0)*0.475*44/12</f>
        <v>1.7552897560012385E-24</v>
      </c>
      <c r="AC185" s="24">
        <f t="shared" si="163"/>
        <v>0.60000585933037254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499.92116338695428</v>
      </c>
      <c r="AO185" s="62">
        <f t="shared" si="144"/>
        <v>316.79403154855652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3.5463406738598303E-2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3.5463406738598303E-2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391.31970775590571</v>
      </c>
      <c r="T186" s="62">
        <f t="shared" si="142"/>
        <v>552.37678344309143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0.50217946298005645</v>
      </c>
      <c r="AA186" s="23">
        <f>EXP(-LN(2)/25)*AA185+(1-EXP(-LN(2)/25))/(LN(2)/25)*Calculateur!V186*Calculateur!X186*VLOOKUP('Données projet'!$B$9,Paramètres!$A$1:$I$89,3,0)*0.475*44/12</f>
        <v>8.5381595497019819E-2</v>
      </c>
      <c r="AB186" s="23">
        <f>EXP(-LN(2)/2)*AB185+(1-EXP(-LN(2)/2))/(LN(2)/2)*V186*Y186*VLOOKUP('Données projet'!$B$9,Paramètres!$A$1:$I$89,3,0)*0.475*44/12</f>
        <v>1.2411772894157562E-24</v>
      </c>
      <c r="AC186" s="24">
        <f t="shared" si="163"/>
        <v>0.58756105847707629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499.92116338695428</v>
      </c>
      <c r="AO186" s="62">
        <f t="shared" si="144"/>
        <v>316.79403154855652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3.4493658016391822E-2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3.4493658016391822E-2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391.31970775590571</v>
      </c>
      <c r="T187" s="62">
        <f t="shared" si="142"/>
        <v>552.37678344309143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0.49233203001024545</v>
      </c>
      <c r="AA187" s="23">
        <f>EXP(-LN(2)/25)*AA186+(1-EXP(-LN(2)/25))/(LN(2)/25)*Calculateur!V187*Calculateur!X187*VLOOKUP('Données projet'!$B$9,Paramètres!$A$1:$I$89,3,0)*0.475*44/12</f>
        <v>8.3046831278130853E-2</v>
      </c>
      <c r="AB187" s="23">
        <f>EXP(-LN(2)/2)*AB186+(1-EXP(-LN(2)/2))/(LN(2)/2)*V187*Y187*VLOOKUP('Données projet'!$B$9,Paramètres!$A$1:$I$89,3,0)*0.475*44/12</f>
        <v>8.7764487800061927E-25</v>
      </c>
      <c r="AC187" s="24">
        <f t="shared" si="163"/>
        <v>0.57537886128837634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499.92116338695428</v>
      </c>
      <c r="AO187" s="62">
        <f t="shared" si="144"/>
        <v>316.79403154855652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3.355042712399095E-2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3.355042712399095E-2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391.31970775590571</v>
      </c>
      <c r="T188" s="62">
        <f t="shared" si="142"/>
        <v>552.37678344309143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0.48267769919463138</v>
      </c>
      <c r="AA188" s="23">
        <f>EXP(-LN(2)/25)*AA187+(1-EXP(-LN(2)/25))/(LN(2)/25)*Calculateur!V188*Calculateur!X188*VLOOKUP('Données projet'!$B$9,Paramètres!$A$1:$I$89,3,0)*0.475*44/12</f>
        <v>8.077591130958732E-2</v>
      </c>
      <c r="AB188" s="23">
        <f>EXP(-LN(2)/2)*AB187+(1-EXP(-LN(2)/2))/(LN(2)/2)*V188*Y188*VLOOKUP('Données projet'!$B$9,Paramètres!$A$1:$I$89,3,0)*0.475*44/12</f>
        <v>6.2058864470787811E-25</v>
      </c>
      <c r="AC188" s="24">
        <f t="shared" si="163"/>
        <v>0.56345361050421872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499.92116338695428</v>
      </c>
      <c r="AO188" s="62">
        <f t="shared" si="144"/>
        <v>316.79403154855652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3.2632988929945136E-2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3.2632988929945136E-2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391.31970775590571</v>
      </c>
      <c r="T189" s="62">
        <f t="shared" si="142"/>
        <v>552.37678344309143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0.47321268391775118</v>
      </c>
      <c r="AA189" s="23">
        <f>EXP(-LN(2)/25)*AA188+(1-EXP(-LN(2)/25))/(LN(2)/25)*Calculateur!V189*Calculateur!X189*VLOOKUP('Données projet'!$B$9,Paramètres!$A$1:$I$89,3,0)*0.475*44/12</f>
        <v>7.856708976700609E-2</v>
      </c>
      <c r="AB189" s="23">
        <f>EXP(-LN(2)/2)*AB188+(1-EXP(-LN(2)/2))/(LN(2)/2)*V189*Y189*VLOOKUP('Données projet'!$B$9,Paramètres!$A$1:$I$89,3,0)*0.475*44/12</f>
        <v>4.3882243900030963E-25</v>
      </c>
      <c r="AC189" s="24">
        <f t="shared" si="163"/>
        <v>0.55177977368475728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499.92116338695428</v>
      </c>
      <c r="AO189" s="62">
        <f t="shared" si="144"/>
        <v>316.79403154855652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3.1740638131561486E-2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3.1740638131561486E-2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391.31970775590571</v>
      </c>
      <c r="T190" s="62">
        <f t="shared" si="142"/>
        <v>552.37678344309143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0.46393327181736127</v>
      </c>
      <c r="AA190" s="23">
        <f>EXP(-LN(2)/25)*AA189+(1-EXP(-LN(2)/25))/(LN(2)/25)*Calculateur!V190*Calculateur!X190*VLOOKUP('Données projet'!$B$9,Paramètres!$A$1:$I$89,3,0)*0.475*44/12</f>
        <v>7.6418668565663622E-2</v>
      </c>
      <c r="AB190" s="23">
        <f>EXP(-LN(2)/2)*AB189+(1-EXP(-LN(2)/2))/(LN(2)/2)*V190*Y190*VLOOKUP('Données projet'!$B$9,Paramètres!$A$1:$I$89,3,0)*0.475*44/12</f>
        <v>3.1029432235393905E-25</v>
      </c>
      <c r="AC190" s="24">
        <f t="shared" si="163"/>
        <v>0.54035194038302492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499.92116338695428</v>
      </c>
      <c r="AO190" s="62">
        <f t="shared" si="144"/>
        <v>316.79403154855652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3.0872688712686322E-2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3.0872688712686322E-2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391.31970775590571</v>
      </c>
      <c r="T191" s="62">
        <f t="shared" si="142"/>
        <v>552.37678344309143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0.45483582332837752</v>
      </c>
      <c r="AA191" s="23">
        <f>EXP(-LN(2)/25)*AA190+(1-EXP(-LN(2)/25))/(LN(2)/25)*Calculateur!V191*Calculateur!X191*VLOOKUP('Données projet'!$B$9,Paramètres!$A$1:$I$89,3,0)*0.475*44/12</f>
        <v>7.4328996055052429E-2</v>
      </c>
      <c r="AB191" s="23">
        <f>EXP(-LN(2)/2)*AB190+(1-EXP(-LN(2)/2))/(LN(2)/2)*V191*Y191*VLOOKUP('Données projet'!$B$9,Paramètres!$A$1:$I$89,3,0)*0.475*44/12</f>
        <v>2.1941121950015482E-25</v>
      </c>
      <c r="AC191" s="24">
        <f t="shared" si="163"/>
        <v>0.52916481938342996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499.92116338695428</v>
      </c>
      <c r="AO191" s="62">
        <f t="shared" si="144"/>
        <v>316.79403154855652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3.0028473416313775E-2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3.0028473416313775E-2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391.31970775590571</v>
      </c>
      <c r="T192" s="62">
        <f t="shared" si="142"/>
        <v>552.37678344309143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0.44591677025536708</v>
      </c>
      <c r="AA192" s="23">
        <f>EXP(-LN(2)/25)*AA191+(1-EXP(-LN(2)/25))/(LN(2)/25)*Calculateur!V192*Calculateur!X192*VLOOKUP('Données projet'!$B$9,Paramètres!$A$1:$I$89,3,0)*0.475*44/12</f>
        <v>7.2296465749134994E-2</v>
      </c>
      <c r="AB192" s="23">
        <f>EXP(-LN(2)/2)*AB191+(1-EXP(-LN(2)/2))/(LN(2)/2)*V192*Y192*VLOOKUP('Données projet'!$B$9,Paramètres!$A$1:$I$89,3,0)*0.475*44/12</f>
        <v>1.5514716117696953E-25</v>
      </c>
      <c r="AC192" s="24">
        <f t="shared" si="163"/>
        <v>0.51821323600450209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499.92116338695428</v>
      </c>
      <c r="AO192" s="62">
        <f t="shared" si="144"/>
        <v>316.79403154855652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2.920734323161589E-2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2.920734323161589E-2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391.31970775590571</v>
      </c>
      <c r="T193" s="62">
        <f t="shared" si="142"/>
        <v>552.37678344309143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0.43717261437303317</v>
      </c>
      <c r="AA193" s="23">
        <f>EXP(-LN(2)/25)*AA192+(1-EXP(-LN(2)/25))/(LN(2)/25)*Calculateur!V193*Calculateur!X193*VLOOKUP('Données projet'!$B$9,Paramètres!$A$1:$I$89,3,0)*0.475*44/12</f>
        <v>7.0319515091318993E-2</v>
      </c>
      <c r="AB193" s="23">
        <f>EXP(-LN(2)/2)*AB192+(1-EXP(-LN(2)/2))/(LN(2)/2)*V193*Y193*VLOOKUP('Données projet'!$B$9,Paramètres!$A$1:$I$89,3,0)*0.475*44/12</f>
        <v>1.0970560975007741E-25</v>
      </c>
      <c r="AC193" s="24">
        <f t="shared" si="163"/>
        <v>0.50749212946435218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499.92116338695428</v>
      </c>
      <c r="AO193" s="62">
        <f t="shared" si="144"/>
        <v>316.79403154855652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2.8408666894999927E-2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2.8408666894999927E-2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391.31970775590571</v>
      </c>
      <c r="T194" s="62">
        <f t="shared" si="142"/>
        <v>552.37678344309143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0.42859992605414338</v>
      </c>
      <c r="AA194" s="23">
        <f>EXP(-LN(2)/25)*AA193+(1-EXP(-LN(2)/25))/(LN(2)/25)*Calculateur!V194*Calculateur!X194*VLOOKUP('Données projet'!$B$9,Paramètres!$A$1:$I$89,3,0)*0.475*44/12</f>
        <v>6.8396624253204294E-2</v>
      </c>
      <c r="AB194" s="23">
        <f>EXP(-LN(2)/2)*AB193+(1-EXP(-LN(2)/2))/(LN(2)/2)*V194*Y194*VLOOKUP('Données projet'!$B$9,Paramètres!$A$1:$I$89,3,0)*0.475*44/12</f>
        <v>7.7573580588484763E-26</v>
      </c>
      <c r="AC194" s="24">
        <f t="shared" si="163"/>
        <v>0.49699655030734768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499.92116338695428</v>
      </c>
      <c r="AO194" s="62">
        <f t="shared" si="144"/>
        <v>316.79403154855652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2.763183040480929E-2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2.763183040480929E-2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391.31970775590571</v>
      </c>
      <c r="T195" s="62">
        <f t="shared" si="142"/>
        <v>552.37678344309143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0.42019534292436345</v>
      </c>
      <c r="AA195" s="23">
        <f>EXP(-LN(2)/25)*AA194+(1-EXP(-LN(2)/25))/(LN(2)/25)*Calculateur!V195*Calculateur!X195*VLOOKUP('Données projet'!$B$9,Paramètres!$A$1:$I$89,3,0)*0.475*44/12</f>
        <v>6.6526314966178279E-2</v>
      </c>
      <c r="AB195" s="23">
        <f>EXP(-LN(2)/2)*AB194+(1-EXP(-LN(2)/2))/(LN(2)/2)*V195*Y195*VLOOKUP('Données projet'!$B$9,Paramètres!$A$1:$I$89,3,0)*0.475*44/12</f>
        <v>5.4852804875038704E-26</v>
      </c>
      <c r="AC195" s="24">
        <f t="shared" si="163"/>
        <v>0.48672165789054173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499.92116338695428</v>
      </c>
      <c r="AO195" s="62">
        <f t="shared" si="144"/>
        <v>316.79403154855652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2.6876236549294972E-2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2.6876236549294972E-2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391.31970775590571</v>
      </c>
      <c r="T196" s="62">
        <f t="shared" si="142"/>
        <v>552.37678344309143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0.41195556854346893</v>
      </c>
      <c r="AA196" s="23">
        <f>EXP(-LN(2)/25)*AA195+(1-EXP(-LN(2)/25))/(LN(2)/25)*Calculateur!V196*Calculateur!X196*VLOOKUP('Données projet'!$B$9,Paramètres!$A$1:$I$89,3,0)*0.475*44/12</f>
        <v>6.4707149384961277E-2</v>
      </c>
      <c r="AB196" s="23">
        <f>EXP(-LN(2)/2)*AB195+(1-EXP(-LN(2)/2))/(LN(2)/2)*V196*Y196*VLOOKUP('Données projet'!$B$9,Paramètres!$A$1:$I$89,3,0)*0.475*44/12</f>
        <v>3.8786790294242382E-26</v>
      </c>
      <c r="AC196" s="24">
        <f t="shared" si="163"/>
        <v>0.47666271792843018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499.92116338695428</v>
      </c>
      <c r="AO196" s="62">
        <f t="shared" si="144"/>
        <v>316.79403154855652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2.6141304447494646E-2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2.6141304447494646E-2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391.31970775590571</v>
      </c>
      <c r="T197" s="62">
        <f t="shared" ref="T197:T203" si="204">$T$3</f>
        <v>552.37678344309143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0.40387737111241767</v>
      </c>
      <c r="AA197" s="23">
        <f>EXP(-LN(2)/25)*AA196+(1-EXP(-LN(2)/25))/(LN(2)/25)*Calculateur!V197*Calculateur!X197*VLOOKUP('Données projet'!$B$9,Paramètres!$A$1:$I$89,3,0)*0.475*44/12</f>
        <v>6.2937728982228408E-2</v>
      </c>
      <c r="AB197" s="23">
        <f>EXP(-LN(2)/2)*AB196+(1-EXP(-LN(2)/2))/(LN(2)/2)*V197*Y197*VLOOKUP('Données projet'!$B$9,Paramètres!$A$1:$I$89,3,0)*0.475*44/12</f>
        <v>2.7426402437519352E-26</v>
      </c>
      <c r="AC197" s="24">
        <f t="shared" si="163"/>
        <v>0.46681510009464611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499.92116338695428</v>
      </c>
      <c r="AO197" s="62">
        <f t="shared" ref="AO197:AO203" si="205">$AO$3</f>
        <v>316.79403154855652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2.5426469102666452E-2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2.5426469102666452E-2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391.31970775590571</v>
      </c>
      <c r="T198" s="62">
        <f t="shared" si="204"/>
        <v>552.37678344309143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0.39595758220577537</v>
      </c>
      <c r="AA198" s="23">
        <f>EXP(-LN(2)/25)*AA197+(1-EXP(-LN(2)/25))/(LN(2)/25)*Calculateur!V198*Calculateur!X198*VLOOKUP('Données projet'!$B$9,Paramètres!$A$1:$I$89,3,0)*0.475*44/12</f>
        <v>6.1216693473458053E-2</v>
      </c>
      <c r="AB198" s="23">
        <f>EXP(-LN(2)/2)*AB197+(1-EXP(-LN(2)/2))/(LN(2)/2)*V198*Y198*VLOOKUP('Données projet'!$B$9,Paramètres!$A$1:$I$89,3,0)*0.475*44/12</f>
        <v>1.9393395147121191E-26</v>
      </c>
      <c r="AC198" s="24">
        <f t="shared" si="163"/>
        <v>0.45717427567923341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499.92116338695428</v>
      </c>
      <c r="AO198" s="62">
        <f t="shared" si="205"/>
        <v>316.79403154855652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2.4731180967934141E-2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2.4731180967934141E-2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391.31970775590571</v>
      </c>
      <c r="T199" s="62">
        <f t="shared" si="204"/>
        <v>552.37678344309143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0.38819309552899811</v>
      </c>
      <c r="AA199" s="23">
        <f>EXP(-LN(2)/25)*AA198+(1-EXP(-LN(2)/25))/(LN(2)/25)*Calculateur!V199*Calculateur!X199*VLOOKUP('Données projet'!$B$9,Paramètres!$A$1:$I$89,3,0)*0.475*44/12</f>
        <v>5.9542719771180343E-2</v>
      </c>
      <c r="AB199" s="23">
        <f>EXP(-LN(2)/2)*AB198+(1-EXP(-LN(2)/2))/(LN(2)/2)*V199*Y199*VLOOKUP('Données projet'!$B$9,Paramètres!$A$1:$I$89,3,0)*0.475*44/12</f>
        <v>1.3713201218759676E-26</v>
      </c>
      <c r="AC199" s="24">
        <f t="shared" si="163"/>
        <v>0.44773581530017847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499.92116338695428</v>
      </c>
      <c r="AO199" s="62">
        <f t="shared" si="205"/>
        <v>316.79403154855652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2.4054905523809698E-2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2.4054905523809698E-2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391.31970775590571</v>
      </c>
      <c r="T200" s="62">
        <f t="shared" si="204"/>
        <v>552.37678344309143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0.3805808657000832</v>
      </c>
      <c r="AA200" s="23">
        <f>EXP(-LN(2)/25)*AA199+(1-EXP(-LN(2)/25))/(LN(2)/25)*Calculateur!V200*Calculateur!X200*VLOOKUP('Données projet'!$B$9,Paramètres!$A$1:$I$89,3,0)*0.475*44/12</f>
        <v>5.7914520967821868E-2</v>
      </c>
      <c r="AB200" s="23">
        <f>EXP(-LN(2)/2)*AB199+(1-EXP(-LN(2)/2))/(LN(2)/2)*V200*Y200*VLOOKUP('Données projet'!$B$9,Paramètres!$A$1:$I$89,3,0)*0.475*44/12</f>
        <v>9.6966975735605954E-27</v>
      </c>
      <c r="AC200" s="24">
        <f t="shared" si="163"/>
        <v>0.43849538666790505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499.92116338695428</v>
      </c>
      <c r="AO200" s="62">
        <f t="shared" si="205"/>
        <v>316.79403154855652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2.3397122867268617E-2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2.3397122867268617E-2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391.31970775590571</v>
      </c>
      <c r="T201" s="62">
        <f t="shared" si="204"/>
        <v>552.37678344309143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0.37311790705511155</v>
      </c>
      <c r="AA201" s="23">
        <f>EXP(-LN(2)/25)*AA200+(1-EXP(-LN(2)/25))/(LN(2)/25)*Calculateur!V201*Calculateur!X201*VLOOKUP('Données projet'!$B$9,Paramètres!$A$1:$I$89,3,0)*0.475*44/12</f>
        <v>5.633084534636449E-2</v>
      </c>
      <c r="AB201" s="23">
        <f>EXP(-LN(2)/2)*AB200+(1-EXP(-LN(2)/2))/(LN(2)/2)*V201*Y201*VLOOKUP('Données projet'!$B$9,Paramètres!$A$1:$I$89,3,0)*0.475*44/12</f>
        <v>6.856600609379838E-27</v>
      </c>
      <c r="AC201" s="24">
        <f t="shared" si="163"/>
        <v>0.42944875240147606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499.92116338695428</v>
      </c>
      <c r="AO201" s="62">
        <f t="shared" si="205"/>
        <v>316.79403154855652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2.275732731206194E-2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2.275732731206194E-2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391.31970775590571</v>
      </c>
      <c r="T202" s="62">
        <f t="shared" si="204"/>
        <v>552.37678344309143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0.36580129247721249</v>
      </c>
      <c r="AA202" s="23">
        <f>EXP(-LN(2)/25)*AA201+(1-EXP(-LN(2)/25))/(LN(2)/25)*Calculateur!V202*Calculateur!X202*VLOOKUP('Données projet'!$B$9,Paramètres!$A$1:$I$89,3,0)*0.475*44/12</f>
        <v>5.4790475418057739E-2</v>
      </c>
      <c r="AB202" s="23">
        <f>EXP(-LN(2)/2)*AB201+(1-EXP(-LN(2)/2))/(LN(2)/2)*V202*Y202*VLOOKUP('Données projet'!$B$9,Paramètres!$A$1:$I$89,3,0)*0.475*44/12</f>
        <v>4.8483487867802977E-27</v>
      </c>
      <c r="AC202" s="24">
        <f t="shared" si="163"/>
        <v>0.42059176789527025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499.92116338695428</v>
      </c>
      <c r="AO202" s="62">
        <f t="shared" si="205"/>
        <v>316.79403154855652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2.2135026999957775E-2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2.2135026999957775E-2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391.31970775590571</v>
      </c>
      <c r="T203" s="62">
        <f t="shared" si="204"/>
        <v>552.37678344309143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0.35862815224849182</v>
      </c>
      <c r="AA203" s="23">
        <f>EXP(-LN(2)/25)*AA202+(1-EXP(-LN(2)/25))/(LN(2)/25)*Calculateur!V203*Calculateur!X203*VLOOKUP('Données projet'!$B$9,Paramètres!$A$1:$I$89,3,0)*0.475*44/12</f>
        <v>5.3292226986445076E-2</v>
      </c>
      <c r="AB203" s="23">
        <f>EXP(-LN(2)/2)*AB202+(1-EXP(-LN(2)/2))/(LN(2)/2)*V203*Y203*VLOOKUP('Données projet'!$B$9,Paramètres!$A$1:$I$89,3,0)*0.475*44/12</f>
        <v>3.428300304689919E-27</v>
      </c>
      <c r="AC203" s="24">
        <f t="shared" si="163"/>
        <v>0.41192037923493691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499.92116338695428</v>
      </c>
      <c r="AO203" s="62">
        <f t="shared" si="205"/>
        <v>316.79403154855652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2.152974352261345E-2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2.152974352261345E-2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2.0243974584998852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7" sqref="J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4.6919999999999993</v>
      </c>
      <c r="C6" s="156">
        <f ca="1">IF(OR('Données projet'!B9="",'Données projet'!C9="",'Données projet'!C9=0%),0,Calculateur!S3)</f>
        <v>391.31970775590571</v>
      </c>
      <c r="D6" s="156">
        <f>IF(OR('Données projet'!B9="",'Données projet'!C9="",'Données projet'!C9=0%),0,Calculateur!T3)</f>
        <v>552.37678344309143</v>
      </c>
      <c r="E6" s="156">
        <f ca="1">MIN(C6,D6)</f>
        <v>391.31970775590571</v>
      </c>
      <c r="F6" s="156">
        <f ca="1">E6*B6</f>
        <v>1836.0720687907094</v>
      </c>
      <c r="G6" s="156">
        <f ca="1">F6*(100%-'Données projet'!$C$24)*(100%-'Données projet'!$C$25)*(100%-'Données projet'!$C$26)*(100%-'Données projet'!$C$27)</f>
        <v>1569.8416188160566</v>
      </c>
      <c r="H6" s="157">
        <f>IF(OR('Données projet'!B9="",'Données projet'!C9="",'Données projet'!C9=0%),0,AVERAGE(Calculateur!$AC$3:$AC$33)*B6)</f>
        <v>43.622221311035659</v>
      </c>
      <c r="I6" s="158">
        <f>H6*(100%-'Données projet'!$C$24)*(100%-'Données projet'!$C$25)*(100%-'Données projet'!$C$26)*(100%-'Données projet'!$C$27)</f>
        <v>37.29699922093549</v>
      </c>
      <c r="J6" s="159">
        <f>IF(OR('Données projet'!B9="",'Données projet'!C9="",'Données projet'!C9=0%),0,SUM(Calculateur!$V$3:$V$33)*VLOOKUP('Données projet'!$B$9,Paramètres!$A$1:$I$89,9,0)*B6)</f>
        <v>117.29999999999998</v>
      </c>
      <c r="K6" s="160">
        <f>J6*(100%-'Données projet'!$C$24)*(100%-'Données projet'!$C$25)*(100%-'Données projet'!$C$26)*(100%-'Données projet'!$C$27)</f>
        <v>100.29149999999998</v>
      </c>
      <c r="L6" s="161">
        <f ca="1">G6+I6+K6</f>
        <v>1707.4301180369921</v>
      </c>
      <c r="M6" s="25">
        <f ca="1">L6/B6</f>
        <v>363.90241219884746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1.9040000000000001</v>
      </c>
      <c r="C7" s="156">
        <f ca="1">IF(OR('Données projet'!B10="",'Données projet'!C10="",'Données projet'!C10=0%),0,Calculateur!AN3)</f>
        <v>499.92116338695428</v>
      </c>
      <c r="D7" s="156">
        <f>IF(OR('Données projet'!B10="",'Données projet'!C10="",'Données projet'!C10=0%),0,Calculateur!AO3)</f>
        <v>316.79403154855652</v>
      </c>
      <c r="E7" s="156">
        <f t="shared" ref="E7:E15" ca="1" si="0">MIN(C7,D7)</f>
        <v>316.79403154855652</v>
      </c>
      <c r="F7" s="156">
        <f t="shared" ref="F7:F15" ca="1" si="1">E7*B7</f>
        <v>603.17583606845164</v>
      </c>
      <c r="G7" s="156">
        <f ca="1">F7*(100%-'Données projet'!$C$24)*(100%-'Données projet'!$C$25)*(100%-'Données projet'!$C$26)*(100%-'Données projet'!$C$27)</f>
        <v>515.71533983852612</v>
      </c>
      <c r="H7" s="164">
        <f>IF(OR('Données projet'!B10="",'Données projet'!C10="",'Données projet'!C10=0%),0,AVERAGE(Calculateur!$AX$3:$AX$33)*B7)</f>
        <v>0.14734929997933885</v>
      </c>
      <c r="I7" s="158">
        <f>H7*(100%-'Données projet'!$C$24)*(100%-'Données projet'!$C$25)*(100%-'Données projet'!$C$26)*(100%-'Données projet'!$C$27)</f>
        <v>0.1259836514823347</v>
      </c>
      <c r="J7" s="159">
        <f>IF(OR('Données projet'!B10="",'Données projet'!C10="",'Données projet'!C10=0%),0,SUM(Calculateur!$AQ$3:$AQ$33)*VLOOKUP('Données projet'!$B$10,Paramètres!$A$1:$I$89,9,0)*B7)</f>
        <v>29.512</v>
      </c>
      <c r="K7" s="160">
        <f>J7*(100%-'Données projet'!$C$24)*(100%-'Données projet'!$C$25)*(100%-'Données projet'!$C$26)*(100%-'Données projet'!$C$27)</f>
        <v>25.232759999999999</v>
      </c>
      <c r="L7" s="161">
        <f t="shared" ref="L7:L15" ca="1" si="2">G7+I7+K7</f>
        <v>541.07408349000843</v>
      </c>
      <c r="M7" s="25">
        <f ca="1">L7/B7</f>
        <v>284.17756485819768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2439.2479048591613</v>
      </c>
      <c r="G16" s="175">
        <f t="shared" ca="1" si="3"/>
        <v>2085.5569586545826</v>
      </c>
      <c r="H16" s="176">
        <f t="shared" si="3"/>
        <v>43.769570611014998</v>
      </c>
      <c r="I16" s="176">
        <f t="shared" si="3"/>
        <v>37.422982872417826</v>
      </c>
      <c r="J16" s="177">
        <f t="shared" si="3"/>
        <v>146.81199999999998</v>
      </c>
      <c r="K16" s="177">
        <f t="shared" si="3"/>
        <v>125.52425999999998</v>
      </c>
      <c r="L16" s="178">
        <f t="shared" ca="1" si="3"/>
        <v>2248.5042015270005</v>
      </c>
      <c r="M16" s="25">
        <f ca="1">L16/6.42</f>
        <v>350.23429930327109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3" zoomScale="90" zoomScaleNormal="9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1117.9063162947593</v>
      </c>
      <c r="U10" s="190">
        <f>'Données projet'!D9</f>
        <v>4.6919999999999993</v>
      </c>
      <c r="V10" s="189">
        <f>U10*T10</f>
        <v>5245.2164360550096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827.57228784415747</v>
      </c>
      <c r="U11" s="190">
        <f>'Données projet'!D10</f>
        <v>1.9040000000000001</v>
      </c>
      <c r="V11" s="189">
        <f t="shared" ref="V11" si="0">U11*T11</f>
        <v>1575.697636055276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22770/5.6</f>
        <v>4066.0714285714289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4795/5.6</f>
        <v>856.25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6495/5.6</f>
        <v>1159.8214285714287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6</v>
      </c>
      <c r="C23" s="292">
        <v>8</v>
      </c>
      <c r="D23" s="194">
        <f>B23*C23</f>
        <v>48</v>
      </c>
      <c r="E23" s="206"/>
      <c r="F23" s="261"/>
      <c r="H23" s="203">
        <v>3</v>
      </c>
      <c r="I23" s="204">
        <f>5000/5.6</f>
        <v>892.85714285714289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-38942.68011357099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50713.370108099778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23</v>
      </c>
      <c r="C25" s="292">
        <v>9</v>
      </c>
      <c r="D25" s="194">
        <f t="shared" si="2"/>
        <v>207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37">
        <f ca="1">T23-T24</f>
        <v>-89656.050221670768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18</v>
      </c>
      <c r="C26" s="292">
        <v>12</v>
      </c>
      <c r="D26" s="194">
        <f t="shared" si="2"/>
        <v>216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14</v>
      </c>
      <c r="C27" s="292">
        <v>12</v>
      </c>
      <c r="D27" s="194">
        <f t="shared" si="2"/>
        <v>168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11</v>
      </c>
      <c r="C28" s="292">
        <v>13</v>
      </c>
      <c r="D28" s="194">
        <f t="shared" si="2"/>
        <v>143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9</v>
      </c>
      <c r="C29" s="292">
        <v>13</v>
      </c>
      <c r="D29" s="194">
        <f t="shared" si="2"/>
        <v>117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7</v>
      </c>
      <c r="C30" s="292">
        <v>14</v>
      </c>
      <c r="D30" s="194">
        <f t="shared" si="2"/>
        <v>98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7457.8485453087906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312</v>
      </c>
      <c r="C31" s="292">
        <v>14</v>
      </c>
      <c r="D31" s="194">
        <f t="shared" si="2"/>
        <v>4368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146.81134744813039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140.48932770156023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134.43954803977056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128.6502852055221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123.11032077083455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117.80891939792782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112.73580803629457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92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107.88115601559291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92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103.23555599578268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92">
        <v>15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98.790005737591116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92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94.535890657981909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92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90.464967136824839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92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86.569346542416127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92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82.841479944895823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92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79.274143487938588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92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75.860424390371875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92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72.593707550595099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92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69.46766272784221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92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66.476232275447089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92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63.613619402341726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60.874276940039934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58.252896593339663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55.744398653913549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53.343922156855079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51.046815461105339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2025-09-17T07:48:18Z</dcterms:modified>
</cp:coreProperties>
</file>