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Charentes\CONDEON (16) -GF DU COURET\Dossier à déposer\"/>
    </mc:Choice>
  </mc:AlternateContent>
  <xr:revisionPtr revIDLastSave="0" documentId="13_ncr:1_{78FE2867-E165-420B-86D7-7A25652CD217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M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M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<sst xmlns="http://schemas.openxmlformats.org/spreadsheetml/2006/main" count="1169" uniqueCount="324">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</sst>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2.1827412805591249</c:v>
                </c:pt>
                <c:pt idx="2">
                  <c:v>3.072752466359074</c:v>
                </c:pt>
                <c:pt idx="3">
                  <c:v>4.3272468407963478</c:v>
                </c:pt>
                <c:pt idx="4">
                  <c:v>6.0960991203634167</c:v>
                </c:pt>
                <c:pt idx="5">
                  <c:v>8.5910457829428761</c:v>
                </c:pt>
                <c:pt idx="6">
                  <c:v>12.111308120410888</c:v>
                </c:pt>
                <c:pt idx="7">
                  <c:v>17.079862262962827</c:v>
                </c:pt>
                <c:pt idx="8">
                  <c:v>24.094793106242644</c:v>
                </c:pt>
                <c:pt idx="9">
                  <c:v>34.002022945399325</c:v>
                </c:pt>
                <c:pt idx="10">
                  <c:v>47.998335925397946</c:v>
                </c:pt>
                <c:pt idx="11">
                  <c:v>67.777352025416505</c:v>
                </c:pt>
                <c:pt idx="12">
                  <c:v>95.736402105530317</c:v>
                </c:pt>
                <c:pt idx="13">
                  <c:v>135.26977619819337</c:v>
                </c:pt>
                <c:pt idx="14">
                  <c:v>122.99225398355058</c:v>
                </c:pt>
                <c:pt idx="15">
                  <c:v>147.26006612469442</c:v>
                </c:pt>
                <c:pt idx="16">
                  <c:v>171.43215609711328</c:v>
                </c:pt>
                <c:pt idx="17">
                  <c:v>195.52394332084884</c:v>
                </c:pt>
                <c:pt idx="18">
                  <c:v>219.54672196983498</c:v>
                </c:pt>
                <c:pt idx="19">
                  <c:v>190.86670891760676</c:v>
                </c:pt>
                <c:pt idx="20">
                  <c:v>213.86965334974411</c:v>
                </c:pt>
                <c:pt idx="21">
                  <c:v>236.81560804160597</c:v>
                </c:pt>
                <c:pt idx="22">
                  <c:v>259.71087111615634</c:v>
                </c:pt>
                <c:pt idx="23">
                  <c:v>282.56053853494797</c:v>
                </c:pt>
                <c:pt idx="24">
                  <c:v>235.19675671623455</c:v>
                </c:pt>
                <c:pt idx="25">
                  <c:v>254.68019125492972</c:v>
                </c:pt>
                <c:pt idx="26">
                  <c:v>274.129893403339</c:v>
                </c:pt>
                <c:pt idx="27">
                  <c:v>293.54859261186851</c:v>
                </c:pt>
                <c:pt idx="28">
                  <c:v>312.93862766627666</c:v>
                </c:pt>
                <c:pt idx="29">
                  <c:v>332.30202385642195</c:v>
                </c:pt>
                <c:pt idx="30">
                  <c:v>351.64055120002314</c:v>
                </c:pt>
                <c:pt idx="31">
                  <c:v>369.4987981688775</c:v>
                </c:pt>
                <c:pt idx="32">
                  <c:v>387.33822121677053</c:v>
                </c:pt>
                <c:pt idx="33">
                  <c:v>405.15980898705612</c:v>
                </c:pt>
                <c:pt idx="34">
                  <c:v>422.96445608157745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90" zoomScaleNormal="90" workbookViewId="0">
      <selection activeCell="F26" sqref="F26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8" t="s">
        <v>190</v>
      </c>
      <c r="D1" s="298"/>
      <c r="E1" s="298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1.17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36</v>
      </c>
      <c r="C9" s="35">
        <v>1</v>
      </c>
      <c r="D9" s="36">
        <f t="shared" ref="D9:D18" si="0">C9*$C$5</f>
        <v>1.17</v>
      </c>
      <c r="E9" s="37">
        <v>34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/>
      <c r="C10" s="35"/>
      <c r="D10" s="36">
        <f t="shared" si="0"/>
        <v>0</v>
      </c>
      <c r="E10" s="37"/>
      <c r="F10" s="38" t="str">
        <f t="array" ref="F10">IF(E10="","",IF(INDEX(A:A,MAX(IF(ISNUMBER($A$62:$A$81),ROW($A$62:$A$81),"")))&lt;&gt;E10,"Corrigez : révolution incorrecte","OK"))</f>
        <v/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1.17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0.15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maritime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13</v>
      </c>
      <c r="B36" s="63">
        <v>101</v>
      </c>
      <c r="C36" s="63">
        <v>1</v>
      </c>
      <c r="D36" s="63">
        <v>28</v>
      </c>
      <c r="E36" s="54"/>
      <c r="F36" s="54"/>
      <c r="G36" s="54">
        <v>1</v>
      </c>
      <c r="H36" s="54"/>
      <c r="I36" s="52">
        <f>IFERROR(B36/A36,"")</f>
        <v>7.7692307692307692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18</v>
      </c>
      <c r="B37" s="63">
        <v>166</v>
      </c>
      <c r="C37" s="63">
        <v>2</v>
      </c>
      <c r="D37" s="63">
        <v>40</v>
      </c>
      <c r="E37" s="54">
        <v>0.25</v>
      </c>
      <c r="F37" s="54"/>
      <c r="G37" s="54">
        <v>0.75</v>
      </c>
      <c r="H37" s="54"/>
      <c r="I37" s="56">
        <f t="shared" ref="I37:I55" si="1">IF(A37&lt;&gt;0,(B37-(B36-D36))/(A37-A36),"")</f>
        <v>18.600000000000001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23</v>
      </c>
      <c r="B38" s="63">
        <v>215</v>
      </c>
      <c r="C38" s="63">
        <v>3</v>
      </c>
      <c r="D38" s="63">
        <v>52</v>
      </c>
      <c r="E38" s="54">
        <v>0.5</v>
      </c>
      <c r="F38" s="54"/>
      <c r="G38" s="54">
        <v>0.5</v>
      </c>
      <c r="H38" s="54"/>
      <c r="I38" s="56">
        <f t="shared" si="1"/>
        <v>17.8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30</v>
      </c>
      <c r="B39" s="63">
        <v>269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15.142857142857142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34</v>
      </c>
      <c r="B40" s="63">
        <v>325</v>
      </c>
      <c r="C40" s="63">
        <v>5</v>
      </c>
      <c r="D40" s="63">
        <v>325</v>
      </c>
      <c r="E40" s="54">
        <v>0.7</v>
      </c>
      <c r="F40" s="54"/>
      <c r="G40" s="54">
        <v>0.3</v>
      </c>
      <c r="H40" s="54"/>
      <c r="I40" s="52">
        <f t="shared" si="1"/>
        <v>14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/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/>
      <c r="B62" s="63"/>
      <c r="C62" s="63"/>
      <c r="D62" s="63"/>
      <c r="E62" s="54"/>
      <c r="F62" s="54"/>
      <c r="G62" s="54"/>
      <c r="H62" s="54"/>
      <c r="I62" s="56" t="str">
        <f>IFERROR(B62/A62,"")</f>
        <v/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E16" sqref="E16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36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Pin maritime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/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151.58413719376074</v>
      </c>
      <c r="T3" s="62">
        <f>IF('Données projet'!E9&gt;30,$R$33-$H$33,LOOKUP('Données projet'!$E$9,$A$3:$A$203,R3:R203)-LOOKUP('Données projet'!$E$9,$A$3:$A$203,$H$3:$H$203))</f>
        <v>310.105543138185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 t="e">
        <f>AI3*VLOOKUP('Données projet'!$B$10,Paramètres!$A$1:$I$89,3,0)*VLOOKUP('Données projet'!$B$10,Paramètres!$A$1:$I$89,5,0)</f>
        <v>#N/A</v>
      </c>
      <c r="AK3" s="13">
        <v>0</v>
      </c>
      <c r="AL3" s="15" t="e">
        <f>(AJ3+AK3)*0.475*44/12</f>
        <v>#N/A</v>
      </c>
      <c r="AM3" s="62" t="e">
        <f>AL3+(AD3+AE3)*44/12</f>
        <v>#N/A</v>
      </c>
      <c r="AN3" s="62" t="e">
        <f ca="1">AVERAGE(OFFSET($AM$3,0,0,'Données projet'!$E$10+1,1))-AVERAGE(OFFSET($H$3,0,0,'Données projet'!$E$10+1,1))</f>
        <v>#N/A</v>
      </c>
      <c r="AO3" s="62" t="e">
        <f>IF('Données projet'!E10&gt;30,$AM$33-$H$33,LOOKUP('Données projet'!$E$10,$A$3:$A$203,AM3:AM203)-LOOKUP('Données projet'!$E$10,$A$3:$A$203,$H$3:$H$203))</f>
        <v>#N/A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2">
        <f>IFERROR(EXP(-1.0587+0.8836*LN(C4)+0.284),0)</f>
        <v>0.29258040116091422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70">
        <f t="shared" ref="H4:H67" si="1">(B4+E4+F4)*44/12+(C4+D4)*0.475*44/12</f>
        <v>294.8844275320219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7.7692307692307692</v>
      </c>
      <c r="N4" s="14">
        <f>IF('Données projet'!$A$36&gt;35,N3+M4-V3,IF(A4&lt;'Données projet'!$A$36,$K$205^A4,IF(A4='Données projet'!$A$36,'Données projet'!$B$36,N3+M4-V3)))</f>
        <v>1.4261938757879591</v>
      </c>
      <c r="O4" s="14">
        <f>N4*VLOOKUP('Données projet'!$B$9,Paramètres!$A$1:$I$89,3,0)*VLOOKUP('Données projet'!$B$9,Paramètres!$A$1:$I$89,5,0)</f>
        <v>0.85286393772119951</v>
      </c>
      <c r="P4" s="14">
        <f>EXP(-1.0587+0.8836*LN(O4)+0.284)</f>
        <v>0.40038464441801103</v>
      </c>
      <c r="Q4" s="22">
        <f t="shared" ref="Q4:Q34" si="2">(O4+P4)*0.475*44/12</f>
        <v>2.1827412805591249</v>
      </c>
      <c r="R4" s="62">
        <f t="shared" si="0"/>
        <v>295.51607461389244</v>
      </c>
      <c r="S4" s="62">
        <f ca="1">AVERAGE(OFFSET($R$3,0,0,'Données projet'!$E$9+1,1))-AVERAGE(OFFSET($H$3,0,0,'Données projet'!$E$9+1,1))</f>
        <v>151.58413719376074</v>
      </c>
      <c r="T4" s="62">
        <f>$T$3</f>
        <v>310.105543138185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0</v>
      </c>
      <c r="AI4" s="14">
        <f>IF('Données projet'!$A$62&gt;35,AI3+AH4-AQ3,IF(A4&lt;'Données projet'!$A$62,$AF$205^A4,IF(A4='Données projet'!$A$62,'Données projet'!$B$62,AI3+AH4-AQ3)))</f>
        <v>0</v>
      </c>
      <c r="AJ4" s="14" t="e">
        <f>AI4*VLOOKUP('Données projet'!$B$10,Paramètres!$A$1:$I$89,3,0)*VLOOKUP('Données projet'!$B$10,Paramètres!$A$1:$I$89,5,0)</f>
        <v>#N/A</v>
      </c>
      <c r="AK4" s="14" t="e">
        <f>EXP(-1.0587+0.8836*LN(AJ4)+0.284)</f>
        <v>#N/A</v>
      </c>
      <c r="AL4" s="22" t="e">
        <f t="shared" ref="AL4:AL67" si="4">(AJ4+AK4)*0.475*44/12</f>
        <v>#N/A</v>
      </c>
      <c r="AM4" s="62" t="e">
        <f t="shared" ref="AM4:AM67" si="5">AL4+(AD4+AE4)*44/12</f>
        <v>#N/A</v>
      </c>
      <c r="AN4" s="62" t="e">
        <f ca="1">AVERAGE(OFFSET($AM$3,0,0,'Données projet'!$E$10+1,1))-AVERAGE(OFFSET($H$3,0,0,'Données projet'!$E$10+1,1))</f>
        <v>#N/A</v>
      </c>
      <c r="AO4" s="62" t="e">
        <f>$AO$3</f>
        <v>#N/A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 t="e">
        <f>EXP(-LN(2)/35)*AU3+(1-EXP(-LN(2)/35))/(LN(2)/35)*AQ4*AR4*VLOOKUP('Données projet'!$B$10,Paramètres!$A$1:$I$89,3,0)*0.475*44/12</f>
        <v>#N/A</v>
      </c>
      <c r="AV4" s="23" t="e">
        <f>EXP(-LN(2)/25)*AV3+(1-EXP(-LN(2)/25))/(LN(2)/25)*Calculateur!AQ4*Calculateur!AS4*VLOOKUP('Données projet'!$B$10,Paramètres!$A$1:$I$89,3,0)*0.475*44/12</f>
        <v>#N/A</v>
      </c>
      <c r="AW4" s="23" t="e">
        <f>EXP(-LN(2)/2)*AW3+(1-EXP(-LN(2)/2))/(LN(2)/2)*AQ4*AT4*VLOOKUP('Données projet'!$B$10,Paramètres!$A$1:$I$89,3,0)*0.475*44/12</f>
        <v>#N/A</v>
      </c>
      <c r="AX4" s="23" t="e">
        <f t="shared" ref="AX4:AX67" si="6">SUM(AU4:AW4)</f>
        <v>#N/A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2">
        <f t="shared" ref="D5:D68" si="32">IFERROR(EXP(-1.0587+0.8836*LN(C5)+0.284),0)</f>
        <v>0.53980305140256757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70">
        <f t="shared" si="1"/>
        <v>296.35652364785943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7.7692307692307692</v>
      </c>
      <c r="N5" s="14">
        <f>IF('Données projet'!$A$36&gt;35,N4+M5-V4,IF(A5&lt;'Données projet'!$A$36,$K$205^A5,IF(A5='Données projet'!$A$36,'Données projet'!$B$36,N4+M5-V4)))</f>
        <v>2.0340289713350805</v>
      </c>
      <c r="O5" s="14">
        <f>N5*VLOOKUP('Données projet'!$B$9,Paramètres!$A$1:$I$89,3,0)*VLOOKUP('Données projet'!$B$9,Paramètres!$A$1:$I$89,5,0)</f>
        <v>1.2163493248583781</v>
      </c>
      <c r="P5" s="14">
        <f t="shared" ref="P5:P68" si="33">EXP(-1.0587+0.8836*LN(O5)+0.284)</f>
        <v>0.54791046443869817</v>
      </c>
      <c r="Q5" s="22">
        <f t="shared" si="2"/>
        <v>3.072752466359074</v>
      </c>
      <c r="R5" s="62">
        <f t="shared" si="0"/>
        <v>296.40608579969239</v>
      </c>
      <c r="S5" s="62">
        <f ca="1">AVERAGE(OFFSET($R$3,0,0,'Données projet'!$E$9+1,1))-AVERAGE(OFFSET($H$3,0,0,'Données projet'!$E$9+1,1))</f>
        <v>151.58413719376074</v>
      </c>
      <c r="T5" s="62">
        <f t="shared" ref="T5:T68" si="34">$T$3</f>
        <v>310.105543138185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0</v>
      </c>
      <c r="AI5" s="14">
        <f>IF('Données projet'!$A$62&gt;35,AI4+AH5-AQ4,IF(A5&lt;'Données projet'!$A$62,$AF$205^A5,IF(A5='Données projet'!$A$62,'Données projet'!$B$62,AI4+AH5-AQ4)))</f>
        <v>0</v>
      </c>
      <c r="AJ5" s="14" t="e">
        <f>AI5*VLOOKUP('Données projet'!$B$10,Paramètres!$A$1:$I$89,3,0)*VLOOKUP('Données projet'!$B$10,Paramètres!$A$1:$I$89,5,0)</f>
        <v>#N/A</v>
      </c>
      <c r="AK5" s="14" t="e">
        <f t="shared" ref="AK5:AK68" si="35">EXP(-1.0587+0.8836*LN(AJ5)+0.284)</f>
        <v>#N/A</v>
      </c>
      <c r="AL5" s="22" t="e">
        <f t="shared" si="4"/>
        <v>#N/A</v>
      </c>
      <c r="AM5" s="62" t="e">
        <f t="shared" si="5"/>
        <v>#N/A</v>
      </c>
      <c r="AN5" s="62" t="e">
        <f ca="1">AVERAGE(OFFSET($AM$3,0,0,'Données projet'!$E$10+1,1))-AVERAGE(OFFSET($H$3,0,0,'Données projet'!$E$10+1,1))</f>
        <v>#N/A</v>
      </c>
      <c r="AO5" s="62" t="e">
        <f t="shared" ref="AO5:AO68" si="36">$AO$3</f>
        <v>#N/A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 t="e">
        <f>EXP(-LN(2)/35)*AU4+(1-EXP(-LN(2)/35))/(LN(2)/35)*AQ5*AR5*VLOOKUP('Données projet'!$B$10,Paramètres!$A$1:$I$89,3,0)*0.475*44/12</f>
        <v>#N/A</v>
      </c>
      <c r="AV5" s="23" t="e">
        <f>EXP(-LN(2)/25)*AV4+(1-EXP(-LN(2)/25))/(LN(2)/25)*Calculateur!AQ5*Calculateur!AS5*VLOOKUP('Données projet'!$B$10,Paramètres!$A$1:$I$89,3,0)*0.475*44/12</f>
        <v>#N/A</v>
      </c>
      <c r="AW5" s="23" t="e">
        <f>EXP(-LN(2)/2)*AW4+(1-EXP(-LN(2)/2))/(LN(2)/2)*AQ5*AT5*VLOOKUP('Données projet'!$B$10,Paramètres!$A$1:$I$89,3,0)*0.475*44/12</f>
        <v>#N/A</v>
      </c>
      <c r="AX5" s="23" t="e">
        <f t="shared" si="6"/>
        <v>#N/A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2">
        <f t="shared" si="32"/>
        <v>0.77237742491396744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70">
        <f t="shared" si="1"/>
        <v>297.80310734839179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7.7692307692307692</v>
      </c>
      <c r="N6" s="14">
        <f>IF('Données projet'!$A$36&gt;35,N5+M6-V5,IF(A6&lt;'Données projet'!$A$36,$K$205^A6,IF(A6='Données projet'!$A$36,'Données projet'!$B$36,N5+M6-V5)))</f>
        <v>2.9009196620933739</v>
      </c>
      <c r="O6" s="14">
        <f>N6*VLOOKUP('Données projet'!$B$9,Paramètres!$A$1:$I$89,3,0)*VLOOKUP('Données projet'!$B$9,Paramètres!$A$1:$I$89,5,0)</f>
        <v>1.7347499579318377</v>
      </c>
      <c r="P6" s="14">
        <f t="shared" si="33"/>
        <v>0.74979368271678282</v>
      </c>
      <c r="Q6" s="22">
        <f t="shared" si="2"/>
        <v>4.3272468407963478</v>
      </c>
      <c r="R6" s="62">
        <f t="shared" si="0"/>
        <v>297.66058017412968</v>
      </c>
      <c r="S6" s="62">
        <f ca="1">AVERAGE(OFFSET($R$3,0,0,'Données projet'!$E$9+1,1))-AVERAGE(OFFSET($H$3,0,0,'Données projet'!$E$9+1,1))</f>
        <v>151.58413719376074</v>
      </c>
      <c r="T6" s="62">
        <f t="shared" si="34"/>
        <v>310.105543138185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0</v>
      </c>
      <c r="AI6" s="14">
        <f>IF('Données projet'!$A$62&gt;35,AI5+AH6-AQ5,IF(A6&lt;'Données projet'!$A$62,$AF$205^A6,IF(A6='Données projet'!$A$62,'Données projet'!$B$62,AI5+AH6-AQ5)))</f>
        <v>0</v>
      </c>
      <c r="AJ6" s="14" t="e">
        <f>AI6*VLOOKUP('Données projet'!$B$10,Paramètres!$A$1:$I$89,3,0)*VLOOKUP('Données projet'!$B$10,Paramètres!$A$1:$I$89,5,0)</f>
        <v>#N/A</v>
      </c>
      <c r="AK6" s="14" t="e">
        <f t="shared" si="35"/>
        <v>#N/A</v>
      </c>
      <c r="AL6" s="22" t="e">
        <f t="shared" si="4"/>
        <v>#N/A</v>
      </c>
      <c r="AM6" s="62" t="e">
        <f t="shared" si="5"/>
        <v>#N/A</v>
      </c>
      <c r="AN6" s="62" t="e">
        <f ca="1">AVERAGE(OFFSET($AM$3,0,0,'Données projet'!$E$10+1,1))-AVERAGE(OFFSET($H$3,0,0,'Données projet'!$E$10+1,1))</f>
        <v>#N/A</v>
      </c>
      <c r="AO6" s="62" t="e">
        <f t="shared" si="36"/>
        <v>#N/A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 t="e">
        <f>EXP(-LN(2)/35)*AU5+(1-EXP(-LN(2)/35))/(LN(2)/35)*AQ6*AR6*VLOOKUP('Données projet'!$B$10,Paramètres!$A$1:$I$89,3,0)*0.475*44/12</f>
        <v>#N/A</v>
      </c>
      <c r="AV6" s="23" t="e">
        <f>EXP(-LN(2)/25)*AV5+(1-EXP(-LN(2)/25))/(LN(2)/25)*Calculateur!AQ6*Calculateur!AS6*VLOOKUP('Données projet'!$B$10,Paramètres!$A$1:$I$89,3,0)*0.475*44/12</f>
        <v>#N/A</v>
      </c>
      <c r="AW6" s="23" t="e">
        <f>EXP(-LN(2)/2)*AW5+(1-EXP(-LN(2)/2))/(LN(2)/2)*AQ6*AT6*VLOOKUP('Données projet'!$B$10,Paramètres!$A$1:$I$89,3,0)*0.475*44/12</f>
        <v>#N/A</v>
      </c>
      <c r="AX6" s="23" t="e">
        <f t="shared" si="6"/>
        <v>#N/A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2">
        <f t="shared" si="32"/>
        <v>0.99592225982103644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70">
        <f t="shared" si="1"/>
        <v>299.23396460252161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7.7692307692307692</v>
      </c>
      <c r="N7" s="14">
        <f>IF('Données projet'!$A$36&gt;35,N6+M7-V6,IF(A7&lt;'Données projet'!$A$36,$K$205^A7,IF(A7='Données projet'!$A$36,'Données projet'!$B$36,N6+M7-V6)))</f>
        <v>4.1372738562304461</v>
      </c>
      <c r="O7" s="14">
        <f>N7*VLOOKUP('Données projet'!$B$9,Paramètres!$A$1:$I$89,3,0)*VLOOKUP('Données projet'!$B$9,Paramètres!$A$1:$I$89,5,0)</f>
        <v>2.474089766025807</v>
      </c>
      <c r="P7" s="14">
        <f t="shared" si="33"/>
        <v>1.0260628389675426</v>
      </c>
      <c r="Q7" s="22">
        <f t="shared" si="2"/>
        <v>6.0960991203634167</v>
      </c>
      <c r="R7" s="62">
        <f t="shared" si="0"/>
        <v>299.42943245369673</v>
      </c>
      <c r="S7" s="62">
        <f ca="1">AVERAGE(OFFSET($R$3,0,0,'Données projet'!$E$9+1,1))-AVERAGE(OFFSET($H$3,0,0,'Données projet'!$E$9+1,1))</f>
        <v>151.58413719376074</v>
      </c>
      <c r="T7" s="62">
        <f t="shared" si="34"/>
        <v>310.105543138185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0</v>
      </c>
      <c r="AI7" s="14">
        <f>IF('Données projet'!$A$62&gt;35,AI6+AH7-AQ6,IF(A7&lt;'Données projet'!$A$62,$AF$205^A7,IF(A7='Données projet'!$A$62,'Données projet'!$B$62,AI6+AH7-AQ6)))</f>
        <v>0</v>
      </c>
      <c r="AJ7" s="14" t="e">
        <f>AI7*VLOOKUP('Données projet'!$B$10,Paramètres!$A$1:$I$89,3,0)*VLOOKUP('Données projet'!$B$10,Paramètres!$A$1:$I$89,5,0)</f>
        <v>#N/A</v>
      </c>
      <c r="AK7" s="14" t="e">
        <f t="shared" si="35"/>
        <v>#N/A</v>
      </c>
      <c r="AL7" s="22" t="e">
        <f t="shared" si="4"/>
        <v>#N/A</v>
      </c>
      <c r="AM7" s="62" t="e">
        <f t="shared" si="5"/>
        <v>#N/A</v>
      </c>
      <c r="AN7" s="62" t="e">
        <f ca="1">AVERAGE(OFFSET($AM$3,0,0,'Données projet'!$E$10+1,1))-AVERAGE(OFFSET($H$3,0,0,'Données projet'!$E$10+1,1))</f>
        <v>#N/A</v>
      </c>
      <c r="AO7" s="62" t="e">
        <f t="shared" si="36"/>
        <v>#N/A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 t="e">
        <f>EXP(-LN(2)/35)*AU6+(1-EXP(-LN(2)/35))/(LN(2)/35)*AQ7*AR7*VLOOKUP('Données projet'!$B$10,Paramètres!$A$1:$I$89,3,0)*0.475*44/12</f>
        <v>#N/A</v>
      </c>
      <c r="AV7" s="23" t="e">
        <f>EXP(-LN(2)/25)*AV6+(1-EXP(-LN(2)/25))/(LN(2)/25)*Calculateur!AQ7*Calculateur!AS7*VLOOKUP('Données projet'!$B$10,Paramètres!$A$1:$I$89,3,0)*0.475*44/12</f>
        <v>#N/A</v>
      </c>
      <c r="AW7" s="23" t="e">
        <f>EXP(-LN(2)/2)*AW6+(1-EXP(-LN(2)/2))/(LN(2)/2)*AQ7*AT7*VLOOKUP('Données projet'!$B$10,Paramètres!$A$1:$I$89,3,0)*0.475*44/12</f>
        <v>#N/A</v>
      </c>
      <c r="AX7" s="23" t="e">
        <f t="shared" si="6"/>
        <v>#N/A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2">
        <f t="shared" si="32"/>
        <v>1.2129841524368585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70">
        <f t="shared" si="1"/>
        <v>300.65353073216085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7.7692307692307692</v>
      </c>
      <c r="N8" s="14">
        <f>IF('Données projet'!$A$36&gt;35,N7+M8-V7,IF(A8&lt;'Données projet'!$A$36,$K$205^A8,IF(A8='Données projet'!$A$36,'Données projet'!$B$36,N7+M8-V7)))</f>
        <v>5.9005546362134957</v>
      </c>
      <c r="O8" s="14">
        <f>N8*VLOOKUP('Données projet'!$B$9,Paramètres!$A$1:$I$89,3,0)*VLOOKUP('Données projet'!$B$9,Paramètres!$A$1:$I$89,5,0)</f>
        <v>3.5285316724556708</v>
      </c>
      <c r="P8" s="14">
        <f t="shared" si="33"/>
        <v>1.404126193348852</v>
      </c>
      <c r="Q8" s="22">
        <f t="shared" si="2"/>
        <v>8.5910457829428761</v>
      </c>
      <c r="R8" s="62">
        <f t="shared" si="0"/>
        <v>301.92437911627621</v>
      </c>
      <c r="S8" s="62">
        <f ca="1">AVERAGE(OFFSET($R$3,0,0,'Données projet'!$E$9+1,1))-AVERAGE(OFFSET($H$3,0,0,'Données projet'!$E$9+1,1))</f>
        <v>151.58413719376074</v>
      </c>
      <c r="T8" s="62">
        <f t="shared" si="34"/>
        <v>310.105543138185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0</v>
      </c>
      <c r="AI8" s="14">
        <f>IF('Données projet'!$A$62&gt;35,AI7+AH8-AQ7,IF(A8&lt;'Données projet'!$A$62,$AF$205^A8,IF(A8='Données projet'!$A$62,'Données projet'!$B$62,AI7+AH8-AQ7)))</f>
        <v>0</v>
      </c>
      <c r="AJ8" s="14" t="e">
        <f>AI8*VLOOKUP('Données projet'!$B$10,Paramètres!$A$1:$I$89,3,0)*VLOOKUP('Données projet'!$B$10,Paramètres!$A$1:$I$89,5,0)</f>
        <v>#N/A</v>
      </c>
      <c r="AK8" s="14" t="e">
        <f t="shared" si="35"/>
        <v>#N/A</v>
      </c>
      <c r="AL8" s="22" t="e">
        <f t="shared" si="4"/>
        <v>#N/A</v>
      </c>
      <c r="AM8" s="62" t="e">
        <f t="shared" si="5"/>
        <v>#N/A</v>
      </c>
      <c r="AN8" s="62" t="e">
        <f ca="1">AVERAGE(OFFSET($AM$3,0,0,'Données projet'!$E$10+1,1))-AVERAGE(OFFSET($H$3,0,0,'Données projet'!$E$10+1,1))</f>
        <v>#N/A</v>
      </c>
      <c r="AO8" s="62" t="e">
        <f t="shared" si="36"/>
        <v>#N/A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 t="e">
        <f>EXP(-LN(2)/35)*AU7+(1-EXP(-LN(2)/35))/(LN(2)/35)*AQ8*AR8*VLOOKUP('Données projet'!$B$10,Paramètres!$A$1:$I$89,3,0)*0.475*44/12</f>
        <v>#N/A</v>
      </c>
      <c r="AV8" s="23" t="e">
        <f>EXP(-LN(2)/25)*AV7+(1-EXP(-LN(2)/25))/(LN(2)/25)*Calculateur!AQ8*Calculateur!AS8*VLOOKUP('Données projet'!$B$10,Paramètres!$A$1:$I$89,3,0)*0.475*44/12</f>
        <v>#N/A</v>
      </c>
      <c r="AW8" s="23" t="e">
        <f>EXP(-LN(2)/2)*AW7+(1-EXP(-LN(2)/2))/(LN(2)/2)*AQ8*AT8*VLOOKUP('Données projet'!$B$10,Paramètres!$A$1:$I$89,3,0)*0.475*44/12</f>
        <v>#N/A</v>
      </c>
      <c r="AX8" s="23" t="e">
        <f t="shared" si="6"/>
        <v>#N/A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2">
        <f t="shared" si="32"/>
        <v>1.4250157876217819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70">
        <f t="shared" si="1"/>
        <v>302.06433583010789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7.7692307692307692</v>
      </c>
      <c r="N9" s="14">
        <f>IF('Données projet'!$A$36&gt;35,N8+M9-V8,IF(A9&lt;'Données projet'!$A$36,$K$205^A9,IF(A9='Données projet'!$A$36,'Données projet'!$B$36,N8+M9-V8)))</f>
        <v>8.4153348859199362</v>
      </c>
      <c r="O9" s="14">
        <f>N9*VLOOKUP('Données projet'!$B$9,Paramètres!$A$1:$I$89,3,0)*VLOOKUP('Données projet'!$B$9,Paramètres!$A$1:$I$89,5,0)</f>
        <v>5.0323702617801223</v>
      </c>
      <c r="P9" s="14">
        <f t="shared" si="33"/>
        <v>1.9214908599868947</v>
      </c>
      <c r="Q9" s="22">
        <f t="shared" si="2"/>
        <v>12.111308120410888</v>
      </c>
      <c r="R9" s="62">
        <f t="shared" si="0"/>
        <v>305.44464145374423</v>
      </c>
      <c r="S9" s="62">
        <f ca="1">AVERAGE(OFFSET($R$3,0,0,'Données projet'!$E$9+1,1))-AVERAGE(OFFSET($H$3,0,0,'Données projet'!$E$9+1,1))</f>
        <v>151.58413719376074</v>
      </c>
      <c r="T9" s="62">
        <f t="shared" si="34"/>
        <v>310.105543138185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0</v>
      </c>
      <c r="AI9" s="14">
        <f>IF('Données projet'!$A$62&gt;35,AI8+AH9-AQ8,IF(A9&lt;'Données projet'!$A$62,$AF$205^A9,IF(A9='Données projet'!$A$62,'Données projet'!$B$62,AI8+AH9-AQ8)))</f>
        <v>0</v>
      </c>
      <c r="AJ9" s="14" t="e">
        <f>AI9*VLOOKUP('Données projet'!$B$10,Paramètres!$A$1:$I$89,3,0)*VLOOKUP('Données projet'!$B$10,Paramètres!$A$1:$I$89,5,0)</f>
        <v>#N/A</v>
      </c>
      <c r="AK9" s="14" t="e">
        <f t="shared" si="35"/>
        <v>#N/A</v>
      </c>
      <c r="AL9" s="22" t="e">
        <f t="shared" si="4"/>
        <v>#N/A</v>
      </c>
      <c r="AM9" s="62" t="e">
        <f t="shared" si="5"/>
        <v>#N/A</v>
      </c>
      <c r="AN9" s="62" t="e">
        <f ca="1">AVERAGE(OFFSET($AM$3,0,0,'Données projet'!$E$10+1,1))-AVERAGE(OFFSET($H$3,0,0,'Données projet'!$E$10+1,1))</f>
        <v>#N/A</v>
      </c>
      <c r="AO9" s="62" t="e">
        <f t="shared" si="36"/>
        <v>#N/A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 t="e">
        <f>EXP(-LN(2)/35)*AU8+(1-EXP(-LN(2)/35))/(LN(2)/35)*AQ9*AR9*VLOOKUP('Données projet'!$B$10,Paramètres!$A$1:$I$89,3,0)*0.475*44/12</f>
        <v>#N/A</v>
      </c>
      <c r="AV9" s="23" t="e">
        <f>EXP(-LN(2)/25)*AV8+(1-EXP(-LN(2)/25))/(LN(2)/25)*Calculateur!AQ9*Calculateur!AS9*VLOOKUP('Données projet'!$B$10,Paramètres!$A$1:$I$89,3,0)*0.475*44/12</f>
        <v>#N/A</v>
      </c>
      <c r="AW9" s="23" t="e">
        <f>EXP(-LN(2)/2)*AW8+(1-EXP(-LN(2)/2))/(LN(2)/2)*AQ9*AT9*VLOOKUP('Données projet'!$B$10,Paramètres!$A$1:$I$89,3,0)*0.475*44/12</f>
        <v>#N/A</v>
      </c>
      <c r="AX9" s="23" t="e">
        <f t="shared" si="6"/>
        <v>#N/A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2">
        <f t="shared" si="32"/>
        <v>1.6329536551363955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70">
        <f t="shared" si="1"/>
        <v>303.46801094936251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7.7692307692307692</v>
      </c>
      <c r="N10" s="14">
        <f>IF('Données projet'!$A$36&gt;35,N9+M10-V9,IF(A10&lt;'Données projet'!$A$36,$K$205^A10,IF(A10='Données projet'!$A$36,'Données projet'!$B$36,N9+M10-V9)))</f>
        <v>12.001899077003776</v>
      </c>
      <c r="O10" s="14">
        <f>N10*VLOOKUP('Données projet'!$B$9,Paramètres!$A$1:$I$89,3,0)*VLOOKUP('Données projet'!$B$9,Paramètres!$A$1:$I$89,5,0)</f>
        <v>7.1771356480482584</v>
      </c>
      <c r="P10" s="14">
        <f t="shared" si="33"/>
        <v>2.6294838330787229</v>
      </c>
      <c r="Q10" s="22">
        <f t="shared" si="2"/>
        <v>17.079862262962827</v>
      </c>
      <c r="R10" s="62">
        <f t="shared" si="0"/>
        <v>310.41319559629613</v>
      </c>
      <c r="S10" s="62">
        <f ca="1">AVERAGE(OFFSET($R$3,0,0,'Données projet'!$E$9+1,1))-AVERAGE(OFFSET($H$3,0,0,'Données projet'!$E$9+1,1))</f>
        <v>151.58413719376074</v>
      </c>
      <c r="T10" s="62">
        <f t="shared" si="34"/>
        <v>310.105543138185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0</v>
      </c>
      <c r="AI10" s="14">
        <f>IF('Données projet'!$A$62&gt;35,AI9+AH10-AQ9,IF(A10&lt;'Données projet'!$A$62,$AF$205^A10,IF(A10='Données projet'!$A$62,'Données projet'!$B$62,AI9+AH10-AQ9)))</f>
        <v>0</v>
      </c>
      <c r="AJ10" s="14" t="e">
        <f>AI10*VLOOKUP('Données projet'!$B$10,Paramètres!$A$1:$I$89,3,0)*VLOOKUP('Données projet'!$B$10,Paramètres!$A$1:$I$89,5,0)</f>
        <v>#N/A</v>
      </c>
      <c r="AK10" s="14" t="e">
        <f t="shared" si="35"/>
        <v>#N/A</v>
      </c>
      <c r="AL10" s="22" t="e">
        <f t="shared" si="4"/>
        <v>#N/A</v>
      </c>
      <c r="AM10" s="62" t="e">
        <f t="shared" si="5"/>
        <v>#N/A</v>
      </c>
      <c r="AN10" s="62" t="e">
        <f ca="1">AVERAGE(OFFSET($AM$3,0,0,'Données projet'!$E$10+1,1))-AVERAGE(OFFSET($H$3,0,0,'Données projet'!$E$10+1,1))</f>
        <v>#N/A</v>
      </c>
      <c r="AO10" s="62" t="e">
        <f t="shared" si="36"/>
        <v>#N/A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 t="e">
        <f>EXP(-LN(2)/35)*AU9+(1-EXP(-LN(2)/35))/(LN(2)/35)*AQ10*AR10*VLOOKUP('Données projet'!$B$10,Paramètres!$A$1:$I$89,3,0)*0.475*44/12</f>
        <v>#N/A</v>
      </c>
      <c r="AV10" s="23" t="e">
        <f>EXP(-LN(2)/25)*AV9+(1-EXP(-LN(2)/25))/(LN(2)/25)*Calculateur!AQ10*Calculateur!AS10*VLOOKUP('Données projet'!$B$10,Paramètres!$A$1:$I$89,3,0)*0.475*44/12</f>
        <v>#N/A</v>
      </c>
      <c r="AW10" s="23" t="e">
        <f>EXP(-LN(2)/2)*AW9+(1-EXP(-LN(2)/2))/(LN(2)/2)*AQ10*AT10*VLOOKUP('Données projet'!$B$10,Paramètres!$A$1:$I$89,3,0)*0.475*44/12</f>
        <v>#N/A</v>
      </c>
      <c r="AX10" s="23" t="e">
        <f t="shared" si="6"/>
        <v>#N/A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2">
        <f t="shared" si="32"/>
        <v>1.8374500570715413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70">
        <f t="shared" si="1"/>
        <v>304.86569218273291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7.7692307692307692</v>
      </c>
      <c r="N11" s="14">
        <f>IF('Données projet'!$A$36&gt;35,N10+M11-V10,IF(A11&lt;'Données projet'!$A$36,$K$205^A11,IF(A11='Données projet'!$A$36,'Données projet'!$B$36,N10+M11-V10)))</f>
        <v>17.117034961447946</v>
      </c>
      <c r="O11" s="14">
        <f>N11*VLOOKUP('Données projet'!$B$9,Paramètres!$A$1:$I$89,3,0)*VLOOKUP('Données projet'!$B$9,Paramètres!$A$1:$I$89,5,0)</f>
        <v>10.235986906945872</v>
      </c>
      <c r="P11" s="14">
        <f t="shared" si="33"/>
        <v>3.5983440631455994</v>
      </c>
      <c r="Q11" s="22">
        <f t="shared" si="2"/>
        <v>24.094793106242644</v>
      </c>
      <c r="R11" s="62">
        <f t="shared" si="0"/>
        <v>317.42812643957598</v>
      </c>
      <c r="S11" s="62">
        <f ca="1">AVERAGE(OFFSET($R$3,0,0,'Données projet'!$E$9+1,1))-AVERAGE(OFFSET($H$3,0,0,'Données projet'!$E$9+1,1))</f>
        <v>151.58413719376074</v>
      </c>
      <c r="T11" s="62">
        <f t="shared" si="34"/>
        <v>310.105543138185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0</v>
      </c>
      <c r="AI11" s="14">
        <f>IF('Données projet'!$A$62&gt;35,AI10+AH11-AQ10,IF(A11&lt;'Données projet'!$A$62,$AF$205^A11,IF(A11='Données projet'!$A$62,'Données projet'!$B$62,AI10+AH11-AQ10)))</f>
        <v>0</v>
      </c>
      <c r="AJ11" s="14" t="e">
        <f>AI11*VLOOKUP('Données projet'!$B$10,Paramètres!$A$1:$I$89,3,0)*VLOOKUP('Données projet'!$B$10,Paramètres!$A$1:$I$89,5,0)</f>
        <v>#N/A</v>
      </c>
      <c r="AK11" s="14" t="e">
        <f t="shared" si="35"/>
        <v>#N/A</v>
      </c>
      <c r="AL11" s="22" t="e">
        <f t="shared" si="4"/>
        <v>#N/A</v>
      </c>
      <c r="AM11" s="62" t="e">
        <f t="shared" si="5"/>
        <v>#N/A</v>
      </c>
      <c r="AN11" s="62" t="e">
        <f ca="1">AVERAGE(OFFSET($AM$3,0,0,'Données projet'!$E$10+1,1))-AVERAGE(OFFSET($H$3,0,0,'Données projet'!$E$10+1,1))</f>
        <v>#N/A</v>
      </c>
      <c r="AO11" s="62" t="e">
        <f t="shared" si="36"/>
        <v>#N/A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 t="e">
        <f>EXP(-LN(2)/35)*AU10+(1-EXP(-LN(2)/35))/(LN(2)/35)*AQ11*AR11*VLOOKUP('Données projet'!$B$10,Paramètres!$A$1:$I$89,3,0)*0.475*44/12</f>
        <v>#N/A</v>
      </c>
      <c r="AV11" s="23" t="e">
        <f>EXP(-LN(2)/25)*AV10+(1-EXP(-LN(2)/25))/(LN(2)/25)*Calculateur!AQ11*Calculateur!AS11*VLOOKUP('Données projet'!$B$10,Paramètres!$A$1:$I$89,3,0)*0.475*44/12</f>
        <v>#N/A</v>
      </c>
      <c r="AW11" s="23" t="e">
        <f>EXP(-LN(2)/2)*AW10+(1-EXP(-LN(2)/2))/(LN(2)/2)*AQ11*AT11*VLOOKUP('Données projet'!$B$10,Paramètres!$A$1:$I$89,3,0)*0.475*44/12</f>
        <v>#N/A</v>
      </c>
      <c r="AX11" s="23" t="e">
        <f t="shared" si="6"/>
        <v>#N/A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2">
        <f t="shared" si="32"/>
        <v>2.038984443761938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70">
        <f t="shared" si="1"/>
        <v>306.25821457288538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7.7692307692307692</v>
      </c>
      <c r="N12" s="14">
        <f>IF('Données projet'!$A$36&gt;35,N11+M12-V11,IF(A12&lt;'Données projet'!$A$36,$K$205^A12,IF(A12='Données projet'!$A$36,'Données projet'!$B$36,N11+M12-V11)))</f>
        <v>24.412210433665443</v>
      </c>
      <c r="O12" s="14">
        <f>N12*VLOOKUP('Données projet'!$B$9,Paramètres!$A$1:$I$89,3,0)*VLOOKUP('Données projet'!$B$9,Paramètres!$A$1:$I$89,5,0)</f>
        <v>14.598501839331936</v>
      </c>
      <c r="P12" s="14">
        <f t="shared" si="33"/>
        <v>4.9241907608973428</v>
      </c>
      <c r="Q12" s="22">
        <f t="shared" si="2"/>
        <v>34.002022945399325</v>
      </c>
      <c r="R12" s="62">
        <f t="shared" si="0"/>
        <v>327.33535627873266</v>
      </c>
      <c r="S12" s="62">
        <f ca="1">AVERAGE(OFFSET($R$3,0,0,'Données projet'!$E$9+1,1))-AVERAGE(OFFSET($H$3,0,0,'Données projet'!$E$9+1,1))</f>
        <v>151.58413719376074</v>
      </c>
      <c r="T12" s="62">
        <f t="shared" si="34"/>
        <v>310.105543138185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0</v>
      </c>
      <c r="AI12" s="14">
        <f>IF('Données projet'!$A$62&gt;35,AI11+AH12-AQ11,IF(A12&lt;'Données projet'!$A$62,$AF$205^A12,IF(A12='Données projet'!$A$62,'Données projet'!$B$62,AI11+AH12-AQ11)))</f>
        <v>0</v>
      </c>
      <c r="AJ12" s="14" t="e">
        <f>AI12*VLOOKUP('Données projet'!$B$10,Paramètres!$A$1:$I$89,3,0)*VLOOKUP('Données projet'!$B$10,Paramètres!$A$1:$I$89,5,0)</f>
        <v>#N/A</v>
      </c>
      <c r="AK12" s="14" t="e">
        <f t="shared" si="35"/>
        <v>#N/A</v>
      </c>
      <c r="AL12" s="22" t="e">
        <f t="shared" si="4"/>
        <v>#N/A</v>
      </c>
      <c r="AM12" s="62" t="e">
        <f t="shared" si="5"/>
        <v>#N/A</v>
      </c>
      <c r="AN12" s="62" t="e">
        <f ca="1">AVERAGE(OFFSET($AM$3,0,0,'Données projet'!$E$10+1,1))-AVERAGE(OFFSET($H$3,0,0,'Données projet'!$E$10+1,1))</f>
        <v>#N/A</v>
      </c>
      <c r="AO12" s="62" t="e">
        <f t="shared" si="36"/>
        <v>#N/A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 t="e">
        <f>EXP(-LN(2)/35)*AU11+(1-EXP(-LN(2)/35))/(LN(2)/35)*AQ12*AR12*VLOOKUP('Données projet'!$B$10,Paramètres!$A$1:$I$89,3,0)*0.475*44/12</f>
        <v>#N/A</v>
      </c>
      <c r="AV12" s="23" t="e">
        <f>EXP(-LN(2)/25)*AV11+(1-EXP(-LN(2)/25))/(LN(2)/25)*Calculateur!AQ12*Calculateur!AS12*VLOOKUP('Données projet'!$B$10,Paramètres!$A$1:$I$89,3,0)*0.475*44/12</f>
        <v>#N/A</v>
      </c>
      <c r="AW12" s="23" t="e">
        <f>EXP(-LN(2)/2)*AW11+(1-EXP(-LN(2)/2))/(LN(2)/2)*AQ12*AT12*VLOOKUP('Données projet'!$B$10,Paramètres!$A$1:$I$89,3,0)*0.475*44/12</f>
        <v>#N/A</v>
      </c>
      <c r="AX12" s="23" t="e">
        <f t="shared" si="6"/>
        <v>#N/A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2">
        <f t="shared" si="32"/>
        <v>2.2379234705753914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70">
        <f t="shared" si="1"/>
        <v>307.64621671125212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7.7692307692307692</v>
      </c>
      <c r="N13" s="14">
        <f>IF('Données projet'!$A$36&gt;35,N12+M13-V12,IF(A13&lt;'Données projet'!$A$36,$K$205^A13,IF(A13='Données projet'!$A$36,'Données projet'!$B$36,N12+M13-V12)))</f>
        <v>34.816545014940573</v>
      </c>
      <c r="O13" s="14">
        <f>N13*VLOOKUP('Données projet'!$B$9,Paramètres!$A$1:$I$89,3,0)*VLOOKUP('Données projet'!$B$9,Paramètres!$A$1:$I$89,5,0)</f>
        <v>20.820293918934464</v>
      </c>
      <c r="P13" s="14">
        <f t="shared" si="33"/>
        <v>6.7385592439734481</v>
      </c>
      <c r="Q13" s="22">
        <f t="shared" si="2"/>
        <v>47.998335925397946</v>
      </c>
      <c r="R13" s="62">
        <f t="shared" si="0"/>
        <v>341.33166925873127</v>
      </c>
      <c r="S13" s="62">
        <f ca="1">AVERAGE(OFFSET($R$3,0,0,'Données projet'!$E$9+1,1))-AVERAGE(OFFSET($H$3,0,0,'Données projet'!$E$9+1,1))</f>
        <v>151.58413719376074</v>
      </c>
      <c r="T13" s="62">
        <f t="shared" si="34"/>
        <v>310.105543138185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0</v>
      </c>
      <c r="AI13" s="14">
        <f>IF('Données projet'!$A$62&gt;35,AI12+AH13-AQ12,IF(A13&lt;'Données projet'!$A$62,$AF$205^A13,IF(A13='Données projet'!$A$62,'Données projet'!$B$62,AI12+AH13-AQ12)))</f>
        <v>0</v>
      </c>
      <c r="AJ13" s="14" t="e">
        <f>AI13*VLOOKUP('Données projet'!$B$10,Paramètres!$A$1:$I$89,3,0)*VLOOKUP('Données projet'!$B$10,Paramètres!$A$1:$I$89,5,0)</f>
        <v>#N/A</v>
      </c>
      <c r="AK13" s="14" t="e">
        <f t="shared" si="35"/>
        <v>#N/A</v>
      </c>
      <c r="AL13" s="22" t="e">
        <f t="shared" si="4"/>
        <v>#N/A</v>
      </c>
      <c r="AM13" s="62" t="e">
        <f t="shared" si="5"/>
        <v>#N/A</v>
      </c>
      <c r="AN13" s="62" t="e">
        <f ca="1">AVERAGE(OFFSET($AM$3,0,0,'Données projet'!$E$10+1,1))-AVERAGE(OFFSET($H$3,0,0,'Données projet'!$E$10+1,1))</f>
        <v>#N/A</v>
      </c>
      <c r="AO13" s="62" t="e">
        <f t="shared" si="36"/>
        <v>#N/A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 t="e">
        <f>EXP(-LN(2)/35)*AU12+(1-EXP(-LN(2)/35))/(LN(2)/35)*AQ13*AR13*VLOOKUP('Données projet'!$B$10,Paramètres!$A$1:$I$89,3,0)*0.475*44/12</f>
        <v>#N/A</v>
      </c>
      <c r="AV13" s="23" t="e">
        <f>EXP(-LN(2)/25)*AV12+(1-EXP(-LN(2)/25))/(LN(2)/25)*Calculateur!AQ13*Calculateur!AS13*VLOOKUP('Données projet'!$B$10,Paramètres!$A$1:$I$89,3,0)*0.475*44/12</f>
        <v>#N/A</v>
      </c>
      <c r="AW13" s="23" t="e">
        <f>EXP(-LN(2)/2)*AW12+(1-EXP(-LN(2)/2))/(LN(2)/2)*AQ13*AT13*VLOOKUP('Données projet'!$B$10,Paramètres!$A$1:$I$89,3,0)*0.475*44/12</f>
        <v>#N/A</v>
      </c>
      <c r="AX13" s="23" t="e">
        <f t="shared" si="6"/>
        <v>#N/A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2">
        <f t="shared" si="32"/>
        <v>2.4345562183329115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70">
        <f t="shared" si="1"/>
        <v>309.03020208026311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7.7692307692307692</v>
      </c>
      <c r="N14" s="14">
        <f>IF('Données projet'!$A$36&gt;35,N13+M14-V13,IF(A14&lt;'Données projet'!$A$36,$K$205^A14,IF(A14='Données projet'!$A$36,'Données projet'!$B$36,N13+M14-V13)))</f>
        <v>49.65514327640404</v>
      </c>
      <c r="O14" s="14">
        <f>N14*VLOOKUP('Données projet'!$B$9,Paramètres!$A$1:$I$89,3,0)*VLOOKUP('Données projet'!$B$9,Paramètres!$A$1:$I$89,5,0)</f>
        <v>29.693775679289619</v>
      </c>
      <c r="P14" s="14">
        <f t="shared" si="33"/>
        <v>9.2214503640117265</v>
      </c>
      <c r="Q14" s="22">
        <f t="shared" si="2"/>
        <v>67.777352025416505</v>
      </c>
      <c r="R14" s="62">
        <f t="shared" si="0"/>
        <v>361.11068535874983</v>
      </c>
      <c r="S14" s="62">
        <f ca="1">AVERAGE(OFFSET($R$3,0,0,'Données projet'!$E$9+1,1))-AVERAGE(OFFSET($H$3,0,0,'Données projet'!$E$9+1,1))</f>
        <v>151.58413719376074</v>
      </c>
      <c r="T14" s="62">
        <f t="shared" si="34"/>
        <v>310.105543138185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0</v>
      </c>
      <c r="AI14" s="14">
        <f>IF('Données projet'!$A$62&gt;35,AI13+AH14-AQ13,IF(A14&lt;'Données projet'!$A$62,$AF$205^A14,IF(A14='Données projet'!$A$62,'Données projet'!$B$62,AI13+AH14-AQ13)))</f>
        <v>0</v>
      </c>
      <c r="AJ14" s="14" t="e">
        <f>AI14*VLOOKUP('Données projet'!$B$10,Paramètres!$A$1:$I$89,3,0)*VLOOKUP('Données projet'!$B$10,Paramètres!$A$1:$I$89,5,0)</f>
        <v>#N/A</v>
      </c>
      <c r="AK14" s="14" t="e">
        <f t="shared" si="35"/>
        <v>#N/A</v>
      </c>
      <c r="AL14" s="22" t="e">
        <f t="shared" si="4"/>
        <v>#N/A</v>
      </c>
      <c r="AM14" s="62" t="e">
        <f t="shared" si="5"/>
        <v>#N/A</v>
      </c>
      <c r="AN14" s="62" t="e">
        <f ca="1">AVERAGE(OFFSET($AM$3,0,0,'Données projet'!$E$10+1,1))-AVERAGE(OFFSET($H$3,0,0,'Données projet'!$E$10+1,1))</f>
        <v>#N/A</v>
      </c>
      <c r="AO14" s="62" t="e">
        <f t="shared" si="36"/>
        <v>#N/A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 t="e">
        <f>EXP(-LN(2)/35)*AU13+(1-EXP(-LN(2)/35))/(LN(2)/35)*AQ14*AR14*VLOOKUP('Données projet'!$B$10,Paramètres!$A$1:$I$89,3,0)*0.475*44/12</f>
        <v>#N/A</v>
      </c>
      <c r="AV14" s="23" t="e">
        <f>EXP(-LN(2)/25)*AV13+(1-EXP(-LN(2)/25))/(LN(2)/25)*Calculateur!AQ14*Calculateur!AS14*VLOOKUP('Données projet'!$B$10,Paramètres!$A$1:$I$89,3,0)*0.475*44/12</f>
        <v>#N/A</v>
      </c>
      <c r="AW14" s="23" t="e">
        <f>EXP(-LN(2)/2)*AW13+(1-EXP(-LN(2)/2))/(LN(2)/2)*AQ14*AT14*VLOOKUP('Données projet'!$B$10,Paramètres!$A$1:$I$89,3,0)*0.475*44/12</f>
        <v>#N/A</v>
      </c>
      <c r="AX14" s="23" t="e">
        <f t="shared" si="6"/>
        <v>#N/A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2">
        <f t="shared" si="32"/>
        <v>2.629116193028969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70">
        <f t="shared" si="1"/>
        <v>310.41057736952541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7.7692307692307692</v>
      </c>
      <c r="N15" s="14">
        <f>IF('Données projet'!$A$36&gt;35,N14+M15-V14,IF(A15&lt;'Données projet'!$A$36,$K$205^A15,IF(A15='Données projet'!$A$36,'Données projet'!$B$36,N14+M15-V14)))</f>
        <v>70.81786124218111</v>
      </c>
      <c r="O15" s="14">
        <f>N15*VLOOKUP('Données projet'!$B$9,Paramètres!$A$1:$I$89,3,0)*VLOOKUP('Données projet'!$B$9,Paramètres!$A$1:$I$89,5,0)</f>
        <v>42.349081022824308</v>
      </c>
      <c r="P15" s="14">
        <f t="shared" si="33"/>
        <v>12.61918812867636</v>
      </c>
      <c r="Q15" s="22">
        <f t="shared" si="2"/>
        <v>95.736402105530317</v>
      </c>
      <c r="R15" s="62">
        <f t="shared" si="0"/>
        <v>389.06973543886363</v>
      </c>
      <c r="S15" s="62">
        <f ca="1">AVERAGE(OFFSET($R$3,0,0,'Données projet'!$E$9+1,1))-AVERAGE(OFFSET($H$3,0,0,'Données projet'!$E$9+1,1))</f>
        <v>151.58413719376074</v>
      </c>
      <c r="T15" s="62">
        <f t="shared" si="34"/>
        <v>310.105543138185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0</v>
      </c>
      <c r="AI15" s="14">
        <f>IF('Données projet'!$A$62&gt;35,AI14+AH15-AQ14,IF(A15&lt;'Données projet'!$A$62,$AF$205^A15,IF(A15='Données projet'!$A$62,'Données projet'!$B$62,AI14+AH15-AQ14)))</f>
        <v>0</v>
      </c>
      <c r="AJ15" s="14" t="e">
        <f>AI15*VLOOKUP('Données projet'!$B$10,Paramètres!$A$1:$I$89,3,0)*VLOOKUP('Données projet'!$B$10,Paramètres!$A$1:$I$89,5,0)</f>
        <v>#N/A</v>
      </c>
      <c r="AK15" s="14" t="e">
        <f t="shared" si="35"/>
        <v>#N/A</v>
      </c>
      <c r="AL15" s="22" t="e">
        <f t="shared" si="4"/>
        <v>#N/A</v>
      </c>
      <c r="AM15" s="62" t="e">
        <f t="shared" si="5"/>
        <v>#N/A</v>
      </c>
      <c r="AN15" s="62" t="e">
        <f ca="1">AVERAGE(OFFSET($AM$3,0,0,'Données projet'!$E$10+1,1))-AVERAGE(OFFSET($H$3,0,0,'Données projet'!$E$10+1,1))</f>
        <v>#N/A</v>
      </c>
      <c r="AO15" s="62" t="e">
        <f t="shared" si="36"/>
        <v>#N/A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 t="e">
        <f>EXP(-LN(2)/35)*AU14+(1-EXP(-LN(2)/35))/(LN(2)/35)*AQ15*AR15*VLOOKUP('Données projet'!$B$10,Paramètres!$A$1:$I$89,3,0)*0.475*44/12</f>
        <v>#N/A</v>
      </c>
      <c r="AV15" s="23" t="e">
        <f>EXP(-LN(2)/25)*AV14+(1-EXP(-LN(2)/25))/(LN(2)/25)*Calculateur!AQ15*Calculateur!AS15*VLOOKUP('Données projet'!$B$10,Paramètres!$A$1:$I$89,3,0)*0.475*44/12</f>
        <v>#N/A</v>
      </c>
      <c r="AW15" s="23" t="e">
        <f>EXP(-LN(2)/2)*AW14+(1-EXP(-LN(2)/2))/(LN(2)/2)*AQ15*AT15*VLOOKUP('Données projet'!$B$10,Paramètres!$A$1:$I$89,3,0)*0.475*44/12</f>
        <v>#N/A</v>
      </c>
      <c r="AX15" s="23" t="e">
        <f t="shared" si="6"/>
        <v>#N/A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2">
        <f t="shared" si="32"/>
        <v>2.8217957637427893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70">
        <f t="shared" si="1"/>
        <v>311.78767762185203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>
        <f>VLOOKUP(A16,'Données projet'!$A$35:$I$55,2,0)</f>
        <v>101</v>
      </c>
      <c r="L16" s="13">
        <f>VLOOKUP(A16,'Données projet'!$A$35:$I$55,9,0)</f>
        <v>7.7692307692307692</v>
      </c>
      <c r="M16" s="13">
        <f t="array" ref="M16">INDEX(L:L,MIN(IF(ISNUMBER(L16:L212),ROW(L16:L212),"")))</f>
        <v>7.7692307692307692</v>
      </c>
      <c r="N16" s="14">
        <f>IF('Données projet'!$A$36&gt;35,N15+M16-V15,IF(A16&lt;'Données projet'!$A$36,$K$205^A16,IF(A16='Données projet'!$A$36,'Données projet'!$B$36,N15+M16-V15)))</f>
        <v>101</v>
      </c>
      <c r="O16" s="14">
        <f>N16*VLOOKUP('Données projet'!$B$9,Paramètres!$A$1:$I$89,3,0)*VLOOKUP('Données projet'!$B$9,Paramètres!$A$1:$I$89,5,0)</f>
        <v>60.398000000000003</v>
      </c>
      <c r="P16" s="14">
        <f t="shared" si="33"/>
        <v>17.26885714728807</v>
      </c>
      <c r="Q16" s="22">
        <f t="shared" si="2"/>
        <v>135.26977619819337</v>
      </c>
      <c r="R16" s="62">
        <f t="shared" si="0"/>
        <v>428.60310953152668</v>
      </c>
      <c r="S16" s="62">
        <f ca="1">AVERAGE(OFFSET($R$3,0,0,'Données projet'!$E$9+1,1))-AVERAGE(OFFSET($H$3,0,0,'Données projet'!$E$9+1,1))</f>
        <v>151.58413719376074</v>
      </c>
      <c r="T16" s="62">
        <f t="shared" si="34"/>
        <v>310.105543138185</v>
      </c>
      <c r="U16" s="16">
        <f>IF(ISNA(VLOOKUP(A16,'Données projet'!$A$35:$I$55,3,0)),0,VLOOKUP(A16,'Données projet'!$A$35:$I$55,3,0))</f>
        <v>1</v>
      </c>
      <c r="V16" s="16">
        <f>IF(ISNA(VLOOKUP(A16,'Données projet'!$A$35:$I$55,4,0)),0,VLOOKUP(A16,'Données projet'!$A$35:$I$55,4,0))</f>
        <v>28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1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18.958097589783147</v>
      </c>
      <c r="AC16" s="24">
        <f t="shared" si="3"/>
        <v>18.958097589783147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0</v>
      </c>
      <c r="AI16" s="14">
        <f>IF('Données projet'!$A$62&gt;35,AI15+AH16-AQ15,IF(A16&lt;'Données projet'!$A$62,$AF$205^A16,IF(A16='Données projet'!$A$62,'Données projet'!$B$62,AI15+AH16-AQ15)))</f>
        <v>0</v>
      </c>
      <c r="AJ16" s="14" t="e">
        <f>AI16*VLOOKUP('Données projet'!$B$10,Paramètres!$A$1:$I$89,3,0)*VLOOKUP('Données projet'!$B$10,Paramètres!$A$1:$I$89,5,0)</f>
        <v>#N/A</v>
      </c>
      <c r="AK16" s="14" t="e">
        <f t="shared" si="35"/>
        <v>#N/A</v>
      </c>
      <c r="AL16" s="22" t="e">
        <f t="shared" si="4"/>
        <v>#N/A</v>
      </c>
      <c r="AM16" s="62" t="e">
        <f t="shared" si="5"/>
        <v>#N/A</v>
      </c>
      <c r="AN16" s="62" t="e">
        <f ca="1">AVERAGE(OFFSET($AM$3,0,0,'Données projet'!$E$10+1,1))-AVERAGE(OFFSET($H$3,0,0,'Données projet'!$E$10+1,1))</f>
        <v>#N/A</v>
      </c>
      <c r="AO16" s="62" t="e">
        <f t="shared" si="36"/>
        <v>#N/A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 t="e">
        <f>EXP(-LN(2)/35)*AU15+(1-EXP(-LN(2)/35))/(LN(2)/35)*AQ16*AR16*VLOOKUP('Données projet'!$B$10,Paramètres!$A$1:$I$89,3,0)*0.475*44/12</f>
        <v>#N/A</v>
      </c>
      <c r="AV16" s="23" t="e">
        <f>EXP(-LN(2)/25)*AV15+(1-EXP(-LN(2)/25))/(LN(2)/25)*Calculateur!AQ16*Calculateur!AS16*VLOOKUP('Données projet'!$B$10,Paramètres!$A$1:$I$89,3,0)*0.475*44/12</f>
        <v>#N/A</v>
      </c>
      <c r="AW16" s="23" t="e">
        <f>EXP(-LN(2)/2)*AW15+(1-EXP(-LN(2)/2))/(LN(2)/2)*AQ16*AT16*VLOOKUP('Données projet'!$B$10,Paramètres!$A$1:$I$89,3,0)*0.475*44/12</f>
        <v>#N/A</v>
      </c>
      <c r="AX16" s="23" t="e">
        <f t="shared" si="6"/>
        <v>#N/A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2">
        <f t="shared" si="32"/>
        <v>3.0127560231104038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70">
        <f t="shared" si="1"/>
        <v>313.16178340691727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18.600000000000001</v>
      </c>
      <c r="N17" s="14">
        <f>IF('Données projet'!$A$36&gt;35,N16+M17-V16,IF(A17&lt;'Données projet'!$A$36,$K$205^A17,IF(A17='Données projet'!$A$36,'Données projet'!$B$36,N16+M17-V16)))</f>
        <v>91.6</v>
      </c>
      <c r="O17" s="14">
        <f>N17*VLOOKUP('Données projet'!$B$9,Paramètres!$A$1:$I$89,3,0)*VLOOKUP('Données projet'!$B$9,Paramètres!$A$1:$I$89,5,0)</f>
        <v>54.776799999999994</v>
      </c>
      <c r="P17" s="14">
        <f t="shared" si="33"/>
        <v>15.840762095818524</v>
      </c>
      <c r="Q17" s="22">
        <f t="shared" si="2"/>
        <v>122.99225398355058</v>
      </c>
      <c r="R17" s="62">
        <f t="shared" si="0"/>
        <v>416.32558731688391</v>
      </c>
      <c r="S17" s="62">
        <f ca="1">AVERAGE(OFFSET($R$3,0,0,'Données projet'!$E$9+1,1))-AVERAGE(OFFSET($H$3,0,0,'Données projet'!$E$9+1,1))</f>
        <v>151.58413719376074</v>
      </c>
      <c r="T17" s="62">
        <f t="shared" si="34"/>
        <v>310.105543138185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13.405399364132007</v>
      </c>
      <c r="AC17" s="24">
        <f t="shared" si="3"/>
        <v>13.405399364132007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0</v>
      </c>
      <c r="AI17" s="14">
        <f>IF('Données projet'!$A$62&gt;35,AI16+AH17-AQ16,IF(A17&lt;'Données projet'!$A$62,$AF$205^A17,IF(A17='Données projet'!$A$62,'Données projet'!$B$62,AI16+AH17-AQ16)))</f>
        <v>0</v>
      </c>
      <c r="AJ17" s="14" t="e">
        <f>AI17*VLOOKUP('Données projet'!$B$10,Paramètres!$A$1:$I$89,3,0)*VLOOKUP('Données projet'!$B$10,Paramètres!$A$1:$I$89,5,0)</f>
        <v>#N/A</v>
      </c>
      <c r="AK17" s="14" t="e">
        <f t="shared" si="35"/>
        <v>#N/A</v>
      </c>
      <c r="AL17" s="22" t="e">
        <f t="shared" si="4"/>
        <v>#N/A</v>
      </c>
      <c r="AM17" s="62" t="e">
        <f t="shared" si="5"/>
        <v>#N/A</v>
      </c>
      <c r="AN17" s="62" t="e">
        <f ca="1">AVERAGE(OFFSET($AM$3,0,0,'Données projet'!$E$10+1,1))-AVERAGE(OFFSET($H$3,0,0,'Données projet'!$E$10+1,1))</f>
        <v>#N/A</v>
      </c>
      <c r="AO17" s="62" t="e">
        <f t="shared" si="36"/>
        <v>#N/A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 t="e">
        <f>EXP(-LN(2)/35)*AU16+(1-EXP(-LN(2)/35))/(LN(2)/35)*AQ17*AR17*VLOOKUP('Données projet'!$B$10,Paramètres!$A$1:$I$89,3,0)*0.475*44/12</f>
        <v>#N/A</v>
      </c>
      <c r="AV17" s="23" t="e">
        <f>EXP(-LN(2)/25)*AV16+(1-EXP(-LN(2)/25))/(LN(2)/25)*Calculateur!AQ17*Calculateur!AS17*VLOOKUP('Données projet'!$B$10,Paramètres!$A$1:$I$89,3,0)*0.475*44/12</f>
        <v>#N/A</v>
      </c>
      <c r="AW17" s="23" t="e">
        <f>EXP(-LN(2)/2)*AW16+(1-EXP(-LN(2)/2))/(LN(2)/2)*AQ17*AT17*VLOOKUP('Données projet'!$B$10,Paramètres!$A$1:$I$89,3,0)*0.475*44/12</f>
        <v>#N/A</v>
      </c>
      <c r="AX17" s="23" t="e">
        <f t="shared" si="6"/>
        <v>#N/A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2">
        <f t="shared" si="32"/>
        <v>3.2021337464957651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70">
        <f t="shared" si="1"/>
        <v>314.53313294181345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18.600000000000001</v>
      </c>
      <c r="N18" s="14">
        <f>IF('Données projet'!$A$36&gt;35,N17+M18-V17,IF(A18&lt;'Données projet'!$A$36,$K$205^A18,IF(A18='Données projet'!$A$36,'Données projet'!$B$36,N17+M18-V17)))</f>
        <v>110.19999999999999</v>
      </c>
      <c r="O18" s="14">
        <f>N18*VLOOKUP('Données projet'!$B$9,Paramètres!$A$1:$I$89,3,0)*VLOOKUP('Données projet'!$B$9,Paramètres!$A$1:$I$89,5,0)</f>
        <v>65.899600000000007</v>
      </c>
      <c r="P18" s="14">
        <f t="shared" si="33"/>
        <v>18.651634138580526</v>
      </c>
      <c r="Q18" s="22">
        <f t="shared" si="2"/>
        <v>147.26006612469442</v>
      </c>
      <c r="R18" s="62">
        <f t="shared" si="0"/>
        <v>440.59339945802776</v>
      </c>
      <c r="S18" s="62">
        <f ca="1">AVERAGE(OFFSET($R$3,0,0,'Données projet'!$E$9+1,1))-AVERAGE(OFFSET($H$3,0,0,'Données projet'!$E$9+1,1))</f>
        <v>151.58413719376074</v>
      </c>
      <c r="T18" s="62">
        <f t="shared" si="34"/>
        <v>310.105543138185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9.4790487948915754</v>
      </c>
      <c r="AC18" s="24">
        <f t="shared" si="3"/>
        <v>9.4790487948915754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0</v>
      </c>
      <c r="AI18" s="14">
        <f>IF('Données projet'!$A$62&gt;35,AI17+AH18-AQ17,IF(A18&lt;'Données projet'!$A$62,$AF$205^A18,IF(A18='Données projet'!$A$62,'Données projet'!$B$62,AI17+AH18-AQ17)))</f>
        <v>0</v>
      </c>
      <c r="AJ18" s="14" t="e">
        <f>AI18*VLOOKUP('Données projet'!$B$10,Paramètres!$A$1:$I$89,3,0)*VLOOKUP('Données projet'!$B$10,Paramètres!$A$1:$I$89,5,0)</f>
        <v>#N/A</v>
      </c>
      <c r="AK18" s="14" t="e">
        <f t="shared" si="35"/>
        <v>#N/A</v>
      </c>
      <c r="AL18" s="22" t="e">
        <f t="shared" si="4"/>
        <v>#N/A</v>
      </c>
      <c r="AM18" s="62" t="e">
        <f t="shared" si="5"/>
        <v>#N/A</v>
      </c>
      <c r="AN18" s="62" t="e">
        <f ca="1">AVERAGE(OFFSET($AM$3,0,0,'Données projet'!$E$10+1,1))-AVERAGE(OFFSET($H$3,0,0,'Données projet'!$E$10+1,1))</f>
        <v>#N/A</v>
      </c>
      <c r="AO18" s="62" t="e">
        <f t="shared" si="36"/>
        <v>#N/A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 t="e">
        <f>EXP(-LN(2)/35)*AU17+(1-EXP(-LN(2)/35))/(LN(2)/35)*AQ18*AR18*VLOOKUP('Données projet'!$B$10,Paramètres!$A$1:$I$89,3,0)*0.475*44/12</f>
        <v>#N/A</v>
      </c>
      <c r="AV18" s="23" t="e">
        <f>EXP(-LN(2)/25)*AV17+(1-EXP(-LN(2)/25))/(LN(2)/25)*Calculateur!AQ18*Calculateur!AS18*VLOOKUP('Données projet'!$B$10,Paramètres!$A$1:$I$89,3,0)*0.475*44/12</f>
        <v>#N/A</v>
      </c>
      <c r="AW18" s="23" t="e">
        <f>EXP(-LN(2)/2)*AW17+(1-EXP(-LN(2)/2))/(LN(2)/2)*AQ18*AT18*VLOOKUP('Données projet'!$B$10,Paramètres!$A$1:$I$89,3,0)*0.475*44/12</f>
        <v>#N/A</v>
      </c>
      <c r="AX18" s="23" t="e">
        <f t="shared" si="6"/>
        <v>#N/A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2">
        <f t="shared" si="32"/>
        <v>3.3900464408124646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70">
        <f t="shared" si="1"/>
        <v>315.90193088441504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18.600000000000001</v>
      </c>
      <c r="N19" s="14">
        <f>IF('Données projet'!$A$36&gt;35,N18+M19-V18,IF(A19&lt;'Données projet'!$A$36,$K$205^A19,IF(A19='Données projet'!$A$36,'Données projet'!$B$36,N18+M19-V18)))</f>
        <v>128.79999999999998</v>
      </c>
      <c r="O19" s="14">
        <f>N19*VLOOKUP('Données projet'!$B$9,Paramètres!$A$1:$I$89,3,0)*VLOOKUP('Données projet'!$B$9,Paramètres!$A$1:$I$89,5,0)</f>
        <v>77.022400000000005</v>
      </c>
      <c r="P19" s="14">
        <f t="shared" si="33"/>
        <v>21.407546084466961</v>
      </c>
      <c r="Q19" s="22">
        <f t="shared" si="2"/>
        <v>171.43215609711328</v>
      </c>
      <c r="R19" s="62">
        <f t="shared" si="0"/>
        <v>464.76548943044656</v>
      </c>
      <c r="S19" s="62">
        <f ca="1">AVERAGE(OFFSET($R$3,0,0,'Données projet'!$E$9+1,1))-AVERAGE(OFFSET($H$3,0,0,'Données projet'!$E$9+1,1))</f>
        <v>151.58413719376074</v>
      </c>
      <c r="T19" s="62">
        <f t="shared" si="34"/>
        <v>310.105543138185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6.7026996820660045</v>
      </c>
      <c r="AC19" s="24">
        <f t="shared" si="3"/>
        <v>6.7026996820660045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0</v>
      </c>
      <c r="AI19" s="14">
        <f>IF('Données projet'!$A$62&gt;35,AI18+AH19-AQ18,IF(A19&lt;'Données projet'!$A$62,$AF$205^A19,IF(A19='Données projet'!$A$62,'Données projet'!$B$62,AI18+AH19-AQ18)))</f>
        <v>0</v>
      </c>
      <c r="AJ19" s="14" t="e">
        <f>AI19*VLOOKUP('Données projet'!$B$10,Paramètres!$A$1:$I$89,3,0)*VLOOKUP('Données projet'!$B$10,Paramètres!$A$1:$I$89,5,0)</f>
        <v>#N/A</v>
      </c>
      <c r="AK19" s="14" t="e">
        <f t="shared" si="35"/>
        <v>#N/A</v>
      </c>
      <c r="AL19" s="22" t="e">
        <f t="shared" si="4"/>
        <v>#N/A</v>
      </c>
      <c r="AM19" s="62" t="e">
        <f t="shared" si="5"/>
        <v>#N/A</v>
      </c>
      <c r="AN19" s="62" t="e">
        <f ca="1">AVERAGE(OFFSET($AM$3,0,0,'Données projet'!$E$10+1,1))-AVERAGE(OFFSET($H$3,0,0,'Données projet'!$E$10+1,1))</f>
        <v>#N/A</v>
      </c>
      <c r="AO19" s="62" t="e">
        <f t="shared" si="36"/>
        <v>#N/A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 t="e">
        <f>EXP(-LN(2)/35)*AU18+(1-EXP(-LN(2)/35))/(LN(2)/35)*AQ19*AR19*VLOOKUP('Données projet'!$B$10,Paramètres!$A$1:$I$89,3,0)*0.475*44/12</f>
        <v>#N/A</v>
      </c>
      <c r="AV19" s="23" t="e">
        <f>EXP(-LN(2)/25)*AV18+(1-EXP(-LN(2)/25))/(LN(2)/25)*Calculateur!AQ19*Calculateur!AS19*VLOOKUP('Données projet'!$B$10,Paramètres!$A$1:$I$89,3,0)*0.475*44/12</f>
        <v>#N/A</v>
      </c>
      <c r="AW19" s="23" t="e">
        <f>EXP(-LN(2)/2)*AW18+(1-EXP(-LN(2)/2))/(LN(2)/2)*AQ19*AT19*VLOOKUP('Données projet'!$B$10,Paramètres!$A$1:$I$89,3,0)*0.475*44/12</f>
        <v>#N/A</v>
      </c>
      <c r="AX19" s="23" t="e">
        <f t="shared" si="6"/>
        <v>#N/A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2">
        <f t="shared" si="32"/>
        <v>3.576596094420871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70">
        <f t="shared" si="1"/>
        <v>317.26835486444969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18.600000000000001</v>
      </c>
      <c r="N20" s="14">
        <f>IF('Données projet'!$A$36&gt;35,N19+M20-V19,IF(A20&lt;'Données projet'!$A$36,$K$205^A20,IF(A20='Données projet'!$A$36,'Données projet'!$B$36,N19+M20-V19)))</f>
        <v>147.39999999999998</v>
      </c>
      <c r="O20" s="14">
        <f>N20*VLOOKUP('Données projet'!$B$9,Paramètres!$A$1:$I$89,3,0)*VLOOKUP('Données projet'!$B$9,Paramètres!$A$1:$I$89,5,0)</f>
        <v>88.145199999999988</v>
      </c>
      <c r="P20" s="14">
        <f t="shared" si="33"/>
        <v>24.117351189004136</v>
      </c>
      <c r="Q20" s="22">
        <f t="shared" si="2"/>
        <v>195.52394332084884</v>
      </c>
      <c r="R20" s="62">
        <f t="shared" si="0"/>
        <v>488.85727665418216</v>
      </c>
      <c r="S20" s="62">
        <f ca="1">AVERAGE(OFFSET($R$3,0,0,'Données projet'!$E$9+1,1))-AVERAGE(OFFSET($H$3,0,0,'Données projet'!$E$9+1,1))</f>
        <v>151.58413719376074</v>
      </c>
      <c r="T20" s="62">
        <f t="shared" si="34"/>
        <v>310.105543138185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4.7395243974457886</v>
      </c>
      <c r="AC20" s="24">
        <f t="shared" si="3"/>
        <v>4.7395243974457886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0</v>
      </c>
      <c r="AI20" s="14">
        <f>IF('Données projet'!$A$62&gt;35,AI19+AH20-AQ19,IF(A20&lt;'Données projet'!$A$62,$AF$205^A20,IF(A20='Données projet'!$A$62,'Données projet'!$B$62,AI19+AH20-AQ19)))</f>
        <v>0</v>
      </c>
      <c r="AJ20" s="14" t="e">
        <f>AI20*VLOOKUP('Données projet'!$B$10,Paramètres!$A$1:$I$89,3,0)*VLOOKUP('Données projet'!$B$10,Paramètres!$A$1:$I$89,5,0)</f>
        <v>#N/A</v>
      </c>
      <c r="AK20" s="14" t="e">
        <f t="shared" si="35"/>
        <v>#N/A</v>
      </c>
      <c r="AL20" s="22" t="e">
        <f t="shared" si="4"/>
        <v>#N/A</v>
      </c>
      <c r="AM20" s="62" t="e">
        <f t="shared" si="5"/>
        <v>#N/A</v>
      </c>
      <c r="AN20" s="62" t="e">
        <f ca="1">AVERAGE(OFFSET($AM$3,0,0,'Données projet'!$E$10+1,1))-AVERAGE(OFFSET($H$3,0,0,'Données projet'!$E$10+1,1))</f>
        <v>#N/A</v>
      </c>
      <c r="AO20" s="62" t="e">
        <f t="shared" si="36"/>
        <v>#N/A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 t="e">
        <f>EXP(-LN(2)/35)*AU19+(1-EXP(-LN(2)/35))/(LN(2)/35)*AQ20*AR20*VLOOKUP('Données projet'!$B$10,Paramètres!$A$1:$I$89,3,0)*0.475*44/12</f>
        <v>#N/A</v>
      </c>
      <c r="AV20" s="23" t="e">
        <f>EXP(-LN(2)/25)*AV19+(1-EXP(-LN(2)/25))/(LN(2)/25)*Calculateur!AQ20*Calculateur!AS20*VLOOKUP('Données projet'!$B$10,Paramètres!$A$1:$I$89,3,0)*0.475*44/12</f>
        <v>#N/A</v>
      </c>
      <c r="AW20" s="23" t="e">
        <f>EXP(-LN(2)/2)*AW19+(1-EXP(-LN(2)/2))/(LN(2)/2)*AQ20*AT20*VLOOKUP('Données projet'!$B$10,Paramètres!$A$1:$I$89,3,0)*0.475*44/12</f>
        <v>#N/A</v>
      </c>
      <c r="AX20" s="23" t="e">
        <f t="shared" si="6"/>
        <v>#N/A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2">
        <f t="shared" si="32"/>
        <v>3.76187201923933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70">
        <f t="shared" si="1"/>
        <v>318.6325604335085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166</v>
      </c>
      <c r="L21" s="13">
        <f>VLOOKUP(A21,'Données projet'!$A$35:$I$55,9,0)</f>
        <v>18.600000000000001</v>
      </c>
      <c r="M21" s="13">
        <f t="array" ref="M21">INDEX(L:L,MIN(IF(ISNUMBER(L21:L217),ROW(L21:L217),"")))</f>
        <v>18.600000000000001</v>
      </c>
      <c r="N21" s="14">
        <f>IF('Données projet'!$A$36&gt;35,N20+M21-V20,IF(A21&lt;'Données projet'!$A$36,$K$205^A21,IF(A21='Données projet'!$A$36,'Données projet'!$B$36,N20+M21-V20)))</f>
        <v>165.99999999999997</v>
      </c>
      <c r="O21" s="14">
        <f>N21*VLOOKUP('Données projet'!$B$9,Paramètres!$A$1:$I$89,3,0)*VLOOKUP('Données projet'!$B$9,Paramètres!$A$1:$I$89,5,0)</f>
        <v>99.267999999999986</v>
      </c>
      <c r="P21" s="14">
        <f t="shared" si="33"/>
        <v>26.78753414535981</v>
      </c>
      <c r="Q21" s="22">
        <f t="shared" si="2"/>
        <v>219.54672196983498</v>
      </c>
      <c r="R21" s="62">
        <f t="shared" si="0"/>
        <v>512.88005530316832</v>
      </c>
      <c r="S21" s="62">
        <f ca="1">AVERAGE(OFFSET($R$3,0,0,'Données projet'!$E$9+1,1))-AVERAGE(OFFSET($H$3,0,0,'Données projet'!$E$9+1,1))</f>
        <v>151.58413719376074</v>
      </c>
      <c r="T21" s="62">
        <f t="shared" si="34"/>
        <v>310.105543138185</v>
      </c>
      <c r="U21" s="16">
        <f>IF(ISNA(VLOOKUP(A21,'Données projet'!$A$35:$I$55,3,0)),0,VLOOKUP(A21,'Données projet'!$A$35:$I$55,3,0))</f>
        <v>2</v>
      </c>
      <c r="V21" s="16">
        <f>IF(ISNA(VLOOKUP(A21,'Données projet'!$A$35:$I$55,4,0)),0,VLOOKUP(A21,'Données projet'!$A$35:$I$55,4,0))</f>
        <v>40</v>
      </c>
      <c r="W21" s="17">
        <f>IF(ISNA(VLOOKUP(A21,'Données projet'!$A$35:$I$55,5,0)),0%,VLOOKUP(A21,'Données projet'!$A$35:$I$55,5,0)*VLOOKUP('Données projet'!$B$9,Paramètres!$A$1:$I$89,7,0))</f>
        <v>0.1125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0.75</v>
      </c>
      <c r="Z21" s="23">
        <f>EXP(-LN(2)/35)*Z20+(1-EXP(-LN(2)/35))/(LN(2)/35)*V21*W21*VLOOKUP('Données projet'!$B$9,Paramètres!$A$1:$I$89,3,0)*0.475*44/12</f>
        <v>3.5697849495878025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23.663597258657802</v>
      </c>
      <c r="AC21" s="24">
        <f t="shared" si="3"/>
        <v>27.233382208245605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0</v>
      </c>
      <c r="AI21" s="14">
        <f>IF('Données projet'!$A$62&gt;35,AI20+AH21-AQ20,IF(A21&lt;'Données projet'!$A$62,$AF$205^A21,IF(A21='Données projet'!$A$62,'Données projet'!$B$62,AI20+AH21-AQ20)))</f>
        <v>0</v>
      </c>
      <c r="AJ21" s="14" t="e">
        <f>AI21*VLOOKUP('Données projet'!$B$10,Paramètres!$A$1:$I$89,3,0)*VLOOKUP('Données projet'!$B$10,Paramètres!$A$1:$I$89,5,0)</f>
        <v>#N/A</v>
      </c>
      <c r="AK21" s="14" t="e">
        <f t="shared" si="35"/>
        <v>#N/A</v>
      </c>
      <c r="AL21" s="22" t="e">
        <f t="shared" si="4"/>
        <v>#N/A</v>
      </c>
      <c r="AM21" s="62" t="e">
        <f t="shared" si="5"/>
        <v>#N/A</v>
      </c>
      <c r="AN21" s="62" t="e">
        <f ca="1">AVERAGE(OFFSET($AM$3,0,0,'Données projet'!$E$10+1,1))-AVERAGE(OFFSET($H$3,0,0,'Données projet'!$E$10+1,1))</f>
        <v>#N/A</v>
      </c>
      <c r="AO21" s="62" t="e">
        <f t="shared" si="36"/>
        <v>#N/A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 t="e">
        <f>EXP(-LN(2)/35)*AU20+(1-EXP(-LN(2)/35))/(LN(2)/35)*AQ21*AR21*VLOOKUP('Données projet'!$B$10,Paramètres!$A$1:$I$89,3,0)*0.475*44/12</f>
        <v>#N/A</v>
      </c>
      <c r="AV21" s="23" t="e">
        <f>EXP(-LN(2)/25)*AV20+(1-EXP(-LN(2)/25))/(LN(2)/25)*Calculateur!AQ21*Calculateur!AS21*VLOOKUP('Données projet'!$B$10,Paramètres!$A$1:$I$89,3,0)*0.475*44/12</f>
        <v>#N/A</v>
      </c>
      <c r="AW21" s="23" t="e">
        <f>EXP(-LN(2)/2)*AW20+(1-EXP(-LN(2)/2))/(LN(2)/2)*AQ21*AT21*VLOOKUP('Données projet'!$B$10,Paramètres!$A$1:$I$89,3,0)*0.475*44/12</f>
        <v>#N/A</v>
      </c>
      <c r="AX21" s="23" t="e">
        <f t="shared" si="6"/>
        <v>#N/A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2">
        <f t="shared" si="32"/>
        <v>3.9459530431682608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70">
        <f t="shared" si="1"/>
        <v>319.99468488351806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17.8</v>
      </c>
      <c r="N22" s="14">
        <f>IF('Données projet'!$A$36&gt;35,N21+M22-V21,IF(A22&lt;'Données projet'!$A$36,$K$205^A22,IF(A22='Données projet'!$A$36,'Données projet'!$B$36,N21+M22-V21)))</f>
        <v>143.79999999999998</v>
      </c>
      <c r="O22" s="14">
        <f>N22*VLOOKUP('Données projet'!$B$9,Paramètres!$A$1:$I$89,3,0)*VLOOKUP('Données projet'!$B$9,Paramètres!$A$1:$I$89,5,0)</f>
        <v>85.992400000000004</v>
      </c>
      <c r="P22" s="14">
        <f t="shared" si="33"/>
        <v>23.596141005324462</v>
      </c>
      <c r="Q22" s="22">
        <f t="shared" si="2"/>
        <v>190.86670891760676</v>
      </c>
      <c r="R22" s="62">
        <f t="shared" si="0"/>
        <v>484.2000422509401</v>
      </c>
      <c r="S22" s="62">
        <f ca="1">AVERAGE(OFFSET($R$3,0,0,'Données projet'!$E$9+1,1))-AVERAGE(OFFSET($H$3,0,0,'Données projet'!$E$9+1,1))</f>
        <v>151.58413719376074</v>
      </c>
      <c r="T22" s="62">
        <f t="shared" si="34"/>
        <v>310.105543138185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3.499783644080209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16.732690088864331</v>
      </c>
      <c r="AC22" s="24">
        <f t="shared" si="3"/>
        <v>20.232473732944541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 t="e">
        <f>AI22*VLOOKUP('Données projet'!$B$10,Paramètres!$A$1:$I$89,3,0)*VLOOKUP('Données projet'!$B$10,Paramètres!$A$1:$I$89,5,0)</f>
        <v>#N/A</v>
      </c>
      <c r="AK22" s="14" t="e">
        <f t="shared" si="35"/>
        <v>#N/A</v>
      </c>
      <c r="AL22" s="22" t="e">
        <f t="shared" si="4"/>
        <v>#N/A</v>
      </c>
      <c r="AM22" s="62" t="e">
        <f t="shared" si="5"/>
        <v>#N/A</v>
      </c>
      <c r="AN22" s="62" t="e">
        <f ca="1">AVERAGE(OFFSET($AM$3,0,0,'Données projet'!$E$10+1,1))-AVERAGE(OFFSET($H$3,0,0,'Données projet'!$E$10+1,1))</f>
        <v>#N/A</v>
      </c>
      <c r="AO22" s="62" t="e">
        <f t="shared" si="36"/>
        <v>#N/A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 t="e">
        <f>EXP(-LN(2)/35)*AU21+(1-EXP(-LN(2)/35))/(LN(2)/35)*AQ22*AR22*VLOOKUP('Données projet'!$B$10,Paramètres!$A$1:$I$89,3,0)*0.475*44/12</f>
        <v>#N/A</v>
      </c>
      <c r="AV22" s="23" t="e">
        <f>EXP(-LN(2)/25)*AV21+(1-EXP(-LN(2)/25))/(LN(2)/25)*Calculateur!AQ22*Calculateur!AS22*VLOOKUP('Données projet'!$B$10,Paramètres!$A$1:$I$89,3,0)*0.475*44/12</f>
        <v>#N/A</v>
      </c>
      <c r="AW22" s="23" t="e">
        <f>EXP(-LN(2)/2)*AW21+(1-EXP(-LN(2)/2))/(LN(2)/2)*AQ22*AT22*VLOOKUP('Données projet'!$B$10,Paramètres!$A$1:$I$89,3,0)*0.475*44/12</f>
        <v>#N/A</v>
      </c>
      <c r="AX22" s="23" t="e">
        <f t="shared" si="6"/>
        <v>#N/A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2">
        <f t="shared" si="32"/>
        <v>4.1289092277839252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70">
        <f t="shared" si="1"/>
        <v>321.35485023839033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17.8</v>
      </c>
      <c r="N23" s="14">
        <f>IF('Données projet'!$A$36&gt;35,N22+M23-V22,IF(A23&lt;'Données projet'!$A$36,$K$205^A23,IF(A23='Données projet'!$A$36,'Données projet'!$B$36,N22+M23-V22)))</f>
        <v>161.6</v>
      </c>
      <c r="O23" s="14">
        <f>N23*VLOOKUP('Données projet'!$B$9,Paramètres!$A$1:$I$89,3,0)*VLOOKUP('Données projet'!$B$9,Paramètres!$A$1:$I$89,5,0)</f>
        <v>96.636800000000008</v>
      </c>
      <c r="P23" s="14">
        <f t="shared" si="33"/>
        <v>26.159173215164081</v>
      </c>
      <c r="Q23" s="22">
        <f t="shared" si="2"/>
        <v>213.86965334974411</v>
      </c>
      <c r="R23" s="62">
        <f t="shared" si="0"/>
        <v>507.20298668307743</v>
      </c>
      <c r="S23" s="62">
        <f ca="1">AVERAGE(OFFSET($R$3,0,0,'Données projet'!$E$9+1,1))-AVERAGE(OFFSET($H$3,0,0,'Données projet'!$E$9+1,1))</f>
        <v>151.58413719376074</v>
      </c>
      <c r="T23" s="62">
        <f t="shared" si="34"/>
        <v>310.105543138185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3.4311550214770392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11.831798629328903</v>
      </c>
      <c r="AC23" s="24">
        <f t="shared" si="3"/>
        <v>15.262953650805942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 t="e">
        <f>AI23*VLOOKUP('Données projet'!$B$10,Paramètres!$A$1:$I$89,3,0)*VLOOKUP('Données projet'!$B$10,Paramètres!$A$1:$I$89,5,0)</f>
        <v>#N/A</v>
      </c>
      <c r="AK23" s="14" t="e">
        <f t="shared" si="35"/>
        <v>#N/A</v>
      </c>
      <c r="AL23" s="22" t="e">
        <f t="shared" si="4"/>
        <v>#N/A</v>
      </c>
      <c r="AM23" s="62" t="e">
        <f t="shared" si="5"/>
        <v>#N/A</v>
      </c>
      <c r="AN23" s="62" t="e">
        <f ca="1">AVERAGE(OFFSET($AM$3,0,0,'Données projet'!$E$10+1,1))-AVERAGE(OFFSET($H$3,0,0,'Données projet'!$E$10+1,1))</f>
        <v>#N/A</v>
      </c>
      <c r="AO23" s="62" t="e">
        <f t="shared" si="36"/>
        <v>#N/A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 t="e">
        <f>EXP(-LN(2)/35)*AU22+(1-EXP(-LN(2)/35))/(LN(2)/35)*AQ23*AR23*VLOOKUP('Données projet'!$B$10,Paramètres!$A$1:$I$89,3,0)*0.475*44/12</f>
        <v>#N/A</v>
      </c>
      <c r="AV23" s="23" t="e">
        <f>EXP(-LN(2)/25)*AV22+(1-EXP(-LN(2)/25))/(LN(2)/25)*Calculateur!AQ23*Calculateur!AS23*VLOOKUP('Données projet'!$B$10,Paramètres!$A$1:$I$89,3,0)*0.475*44/12</f>
        <v>#N/A</v>
      </c>
      <c r="AW23" s="23" t="e">
        <f>EXP(-LN(2)/2)*AW22+(1-EXP(-LN(2)/2))/(LN(2)/2)*AQ23*AT23*VLOOKUP('Données projet'!$B$10,Paramètres!$A$1:$I$89,3,0)*0.475*44/12</f>
        <v>#N/A</v>
      </c>
      <c r="AX23" s="23" t="e">
        <f t="shared" si="6"/>
        <v>#N/A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2">
        <f t="shared" si="32"/>
        <v>4.3108032327306534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70">
        <f t="shared" si="1"/>
        <v>322.71316563033923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17.8</v>
      </c>
      <c r="N24" s="14">
        <f>IF('Données projet'!$A$36&gt;35,N23+M24-V23,IF(A24&lt;'Données projet'!$A$36,$K$205^A24,IF(A24='Données projet'!$A$36,'Données projet'!$B$36,N23+M24-V23)))</f>
        <v>179.4</v>
      </c>
      <c r="O24" s="14">
        <f>N24*VLOOKUP('Données projet'!$B$9,Paramètres!$A$1:$I$89,3,0)*VLOOKUP('Données projet'!$B$9,Paramètres!$A$1:$I$89,5,0)</f>
        <v>107.2812</v>
      </c>
      <c r="P24" s="14">
        <f t="shared" si="33"/>
        <v>28.68948404302737</v>
      </c>
      <c r="Q24" s="22">
        <f t="shared" si="2"/>
        <v>236.81560804160597</v>
      </c>
      <c r="R24" s="62">
        <f t="shared" si="0"/>
        <v>530.14894137493934</v>
      </c>
      <c r="S24" s="62">
        <f ca="1">AVERAGE(OFFSET($R$3,0,0,'Données projet'!$E$9+1,1))-AVERAGE(OFFSET($H$3,0,0,'Données projet'!$E$9+1,1))</f>
        <v>151.58413719376074</v>
      </c>
      <c r="T24" s="62">
        <f t="shared" si="34"/>
        <v>310.105543138185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3.3638721643037908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8.3663450444321654</v>
      </c>
      <c r="AC24" s="24">
        <f t="shared" si="3"/>
        <v>11.730217208735956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 t="e">
        <f>AI24*VLOOKUP('Données projet'!$B$10,Paramètres!$A$1:$I$89,3,0)*VLOOKUP('Données projet'!$B$10,Paramètres!$A$1:$I$89,5,0)</f>
        <v>#N/A</v>
      </c>
      <c r="AK24" s="14" t="e">
        <f t="shared" si="35"/>
        <v>#N/A</v>
      </c>
      <c r="AL24" s="22" t="e">
        <f t="shared" si="4"/>
        <v>#N/A</v>
      </c>
      <c r="AM24" s="62" t="e">
        <f t="shared" si="5"/>
        <v>#N/A</v>
      </c>
      <c r="AN24" s="62" t="e">
        <f ca="1">AVERAGE(OFFSET($AM$3,0,0,'Données projet'!$E$10+1,1))-AVERAGE(OFFSET($H$3,0,0,'Données projet'!$E$10+1,1))</f>
        <v>#N/A</v>
      </c>
      <c r="AO24" s="62" t="e">
        <f t="shared" si="36"/>
        <v>#N/A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 t="e">
        <f>EXP(-LN(2)/35)*AU23+(1-EXP(-LN(2)/35))/(LN(2)/35)*AQ24*AR24*VLOOKUP('Données projet'!$B$10,Paramètres!$A$1:$I$89,3,0)*0.475*44/12</f>
        <v>#N/A</v>
      </c>
      <c r="AV24" s="23" t="e">
        <f>EXP(-LN(2)/25)*AV23+(1-EXP(-LN(2)/25))/(LN(2)/25)*Calculateur!AQ24*Calculateur!AS24*VLOOKUP('Données projet'!$B$10,Paramètres!$A$1:$I$89,3,0)*0.475*44/12</f>
        <v>#N/A</v>
      </c>
      <c r="AW24" s="23" t="e">
        <f>EXP(-LN(2)/2)*AW23+(1-EXP(-LN(2)/2))/(LN(2)/2)*AQ24*AT24*VLOOKUP('Données projet'!$B$10,Paramètres!$A$1:$I$89,3,0)*0.475*44/12</f>
        <v>#N/A</v>
      </c>
      <c r="AX24" s="23" t="e">
        <f t="shared" si="6"/>
        <v>#N/A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2">
        <f t="shared" si="32"/>
        <v>4.4916914128654328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70">
        <f t="shared" si="1"/>
        <v>324.0697292107406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17.8</v>
      </c>
      <c r="N25" s="14">
        <f>IF('Données projet'!$A$36&gt;35,N24+M25-V24,IF(A25&lt;'Données projet'!$A$36,$K$205^A25,IF(A25='Données projet'!$A$36,'Données projet'!$B$36,N24+M25-V24)))</f>
        <v>197.20000000000002</v>
      </c>
      <c r="O25" s="14">
        <f>N25*VLOOKUP('Données projet'!$B$9,Paramètres!$A$1:$I$89,3,0)*VLOOKUP('Données projet'!$B$9,Paramètres!$A$1:$I$89,5,0)</f>
        <v>117.92560000000003</v>
      </c>
      <c r="P25" s="14">
        <f t="shared" si="33"/>
        <v>31.190689636070587</v>
      </c>
      <c r="Q25" s="22">
        <f t="shared" si="2"/>
        <v>259.71087111615634</v>
      </c>
      <c r="R25" s="62">
        <f t="shared" si="0"/>
        <v>553.0442044494896</v>
      </c>
      <c r="S25" s="62">
        <f ca="1">AVERAGE(OFFSET($R$3,0,0,'Données projet'!$E$9+1,1))-AVERAGE(OFFSET($H$3,0,0,'Données projet'!$E$9+1,1))</f>
        <v>151.58413719376074</v>
      </c>
      <c r="T25" s="62">
        <f t="shared" si="34"/>
        <v>310.105543138185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3.2979086829212192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5.9158993146644514</v>
      </c>
      <c r="AC25" s="24">
        <f t="shared" si="3"/>
        <v>9.2138079975856702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 t="e">
        <f>AI25*VLOOKUP('Données projet'!$B$10,Paramètres!$A$1:$I$89,3,0)*VLOOKUP('Données projet'!$B$10,Paramètres!$A$1:$I$89,5,0)</f>
        <v>#N/A</v>
      </c>
      <c r="AK25" s="14" t="e">
        <f t="shared" si="35"/>
        <v>#N/A</v>
      </c>
      <c r="AL25" s="22" t="e">
        <f t="shared" si="4"/>
        <v>#N/A</v>
      </c>
      <c r="AM25" s="62" t="e">
        <f t="shared" si="5"/>
        <v>#N/A</v>
      </c>
      <c r="AN25" s="62" t="e">
        <f ca="1">AVERAGE(OFFSET($AM$3,0,0,'Données projet'!$E$10+1,1))-AVERAGE(OFFSET($H$3,0,0,'Données projet'!$E$10+1,1))</f>
        <v>#N/A</v>
      </c>
      <c r="AO25" s="62" t="e">
        <f t="shared" si="36"/>
        <v>#N/A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 t="e">
        <f>EXP(-LN(2)/35)*AU24+(1-EXP(-LN(2)/35))/(LN(2)/35)*AQ25*AR25*VLOOKUP('Données projet'!$B$10,Paramètres!$A$1:$I$89,3,0)*0.475*44/12</f>
        <v>#N/A</v>
      </c>
      <c r="AV25" s="23" t="e">
        <f>EXP(-LN(2)/25)*AV24+(1-EXP(-LN(2)/25))/(LN(2)/25)*Calculateur!AQ25*Calculateur!AS25*VLOOKUP('Données projet'!$B$10,Paramètres!$A$1:$I$89,3,0)*0.475*44/12</f>
        <v>#N/A</v>
      </c>
      <c r="AW25" s="23" t="e">
        <f>EXP(-LN(2)/2)*AW24+(1-EXP(-LN(2)/2))/(LN(2)/2)*AQ25*AT25*VLOOKUP('Données projet'!$B$10,Paramètres!$A$1:$I$89,3,0)*0.475*44/12</f>
        <v>#N/A</v>
      </c>
      <c r="AX25" s="23" t="e">
        <f t="shared" si="6"/>
        <v>#N/A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2">
        <f t="shared" si="32"/>
        <v>4.6716247102827966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70">
        <f t="shared" si="1"/>
        <v>325.42462970374254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>
        <f>VLOOKUP(A26,'Données projet'!$A$35:$I$55,2,0)</f>
        <v>215</v>
      </c>
      <c r="L26" s="13">
        <f>VLOOKUP(A26,'Données projet'!$A$35:$I$55,9,0)</f>
        <v>17.8</v>
      </c>
      <c r="M26" s="13">
        <f t="array" ref="M26">INDEX(L:L,MIN(IF(ISNUMBER(L26:L222),ROW(L26:L222),"")))</f>
        <v>17.8</v>
      </c>
      <c r="N26" s="14">
        <f>IF('Données projet'!$A$36&gt;35,N25+M26-V25,IF(A26&lt;'Données projet'!$A$36,$K$205^A26,IF(A26='Données projet'!$A$36,'Données projet'!$B$36,N25+M26-V25)))</f>
        <v>215.00000000000003</v>
      </c>
      <c r="O26" s="14">
        <f>N26*VLOOKUP('Données projet'!$B$9,Paramètres!$A$1:$I$89,3,0)*VLOOKUP('Données projet'!$B$9,Paramètres!$A$1:$I$89,5,0)</f>
        <v>128.57000000000002</v>
      </c>
      <c r="P26" s="14">
        <f t="shared" si="33"/>
        <v>33.665715905233277</v>
      </c>
      <c r="Q26" s="22">
        <f t="shared" si="2"/>
        <v>282.56053853494797</v>
      </c>
      <c r="R26" s="62">
        <f t="shared" si="0"/>
        <v>575.89387186828128</v>
      </c>
      <c r="S26" s="62">
        <f ca="1">AVERAGE(OFFSET($R$3,0,0,'Données projet'!$E$9+1,1))-AVERAGE(OFFSET($H$3,0,0,'Données projet'!$E$9+1,1))</f>
        <v>151.58413719376074</v>
      </c>
      <c r="T26" s="62">
        <f t="shared" si="34"/>
        <v>310.105543138185</v>
      </c>
      <c r="U26" s="16">
        <f>IF(ISNA(VLOOKUP(A26,'Données projet'!$A$35:$I$55,3,0)),0,VLOOKUP(A26,'Données projet'!$A$35:$I$55,3,0))</f>
        <v>3</v>
      </c>
      <c r="V26" s="16">
        <f>IF(ISNA(VLOOKUP(A26,'Données projet'!$A$35:$I$55,4,0)),0,VLOOKUP(A26,'Données projet'!$A$35:$I$55,4,0))</f>
        <v>52</v>
      </c>
      <c r="W26" s="17">
        <f>IF(ISNA(VLOOKUP(A26,'Données projet'!$A$35:$I$55,5,0)),0%,VLOOKUP(A26,'Données projet'!$A$35:$I$55,5,0)*VLOOKUP('Données projet'!$B$9,Paramètres!$A$1:$I$89,7,0))</f>
        <v>0.22500000000000001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0.5</v>
      </c>
      <c r="Z26" s="23">
        <f>EXP(-LN(2)/35)*Z25+(1-EXP(-LN(2)/35))/(LN(2)/35)*V26*W26*VLOOKUP('Données projet'!$B$9,Paramètres!$A$1:$I$89,3,0)*0.475*44/12</f>
        <v>12.514679574103097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21.787120284157577</v>
      </c>
      <c r="AC26" s="24">
        <f t="shared" si="3"/>
        <v>34.301799858260672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 t="e">
        <f>AI26*VLOOKUP('Données projet'!$B$10,Paramètres!$A$1:$I$89,3,0)*VLOOKUP('Données projet'!$B$10,Paramètres!$A$1:$I$89,5,0)</f>
        <v>#N/A</v>
      </c>
      <c r="AK26" s="14" t="e">
        <f t="shared" si="35"/>
        <v>#N/A</v>
      </c>
      <c r="AL26" s="22" t="e">
        <f t="shared" si="4"/>
        <v>#N/A</v>
      </c>
      <c r="AM26" s="62" t="e">
        <f t="shared" si="5"/>
        <v>#N/A</v>
      </c>
      <c r="AN26" s="62" t="e">
        <f ca="1">AVERAGE(OFFSET($AM$3,0,0,'Données projet'!$E$10+1,1))-AVERAGE(OFFSET($H$3,0,0,'Données projet'!$E$10+1,1))</f>
        <v>#N/A</v>
      </c>
      <c r="AO26" s="62" t="e">
        <f t="shared" si="36"/>
        <v>#N/A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 t="e">
        <f>EXP(-LN(2)/35)*AU25+(1-EXP(-LN(2)/35))/(LN(2)/35)*AQ26*AR26*VLOOKUP('Données projet'!$B$10,Paramètres!$A$1:$I$89,3,0)*0.475*44/12</f>
        <v>#N/A</v>
      </c>
      <c r="AV26" s="23" t="e">
        <f>EXP(-LN(2)/25)*AV25+(1-EXP(-LN(2)/25))/(LN(2)/25)*Calculateur!AQ26*Calculateur!AS26*VLOOKUP('Données projet'!$B$10,Paramètres!$A$1:$I$89,3,0)*0.475*44/12</f>
        <v>#N/A</v>
      </c>
      <c r="AW26" s="23" t="e">
        <f>EXP(-LN(2)/2)*AW25+(1-EXP(-LN(2)/2))/(LN(2)/2)*AQ26*AT26*VLOOKUP('Données projet'!$B$10,Paramètres!$A$1:$I$89,3,0)*0.475*44/12</f>
        <v>#N/A</v>
      </c>
      <c r="AX26" s="23" t="e">
        <f t="shared" si="6"/>
        <v>#N/A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2">
        <f t="shared" si="32"/>
        <v>4.8506493868275271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70">
        <f t="shared" si="1"/>
        <v>326.77794768205791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15.142857142857142</v>
      </c>
      <c r="N27" s="14">
        <f>IF('Données projet'!$A$36&gt;35,N26+M27-V26,IF(A27&lt;'Données projet'!$A$36,$K$205^A27,IF(A27='Données projet'!$A$36,'Données projet'!$B$36,N26+M27-V26)))</f>
        <v>178.14285714285717</v>
      </c>
      <c r="O27" s="14">
        <f>N27*VLOOKUP('Données projet'!$B$9,Paramètres!$A$1:$I$89,3,0)*VLOOKUP('Données projet'!$B$9,Paramètres!$A$1:$I$89,5,0)</f>
        <v>106.5294285714286</v>
      </c>
      <c r="P27" s="14">
        <f t="shared" si="33"/>
        <v>28.511771457031461</v>
      </c>
      <c r="Q27" s="22">
        <f t="shared" si="2"/>
        <v>235.19675671623455</v>
      </c>
      <c r="R27" s="62">
        <f t="shared" si="0"/>
        <v>528.53009004956789</v>
      </c>
      <c r="S27" s="62">
        <f ca="1">AVERAGE(OFFSET($R$3,0,0,'Données projet'!$E$9+1,1))-AVERAGE(OFFSET($H$3,0,0,'Données projet'!$E$9+1,1))</f>
        <v>151.58413719376074</v>
      </c>
      <c r="T27" s="62">
        <f t="shared" si="34"/>
        <v>310.105543138185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12.269274340855759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15.405820495454805</v>
      </c>
      <c r="AC27" s="24">
        <f t="shared" si="3"/>
        <v>27.675094836310564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 t="e">
        <f>AI27*VLOOKUP('Données projet'!$B$10,Paramètres!$A$1:$I$89,3,0)*VLOOKUP('Données projet'!$B$10,Paramètres!$A$1:$I$89,5,0)</f>
        <v>#N/A</v>
      </c>
      <c r="AK27" s="14" t="e">
        <f t="shared" si="35"/>
        <v>#N/A</v>
      </c>
      <c r="AL27" s="22" t="e">
        <f t="shared" si="4"/>
        <v>#N/A</v>
      </c>
      <c r="AM27" s="62" t="e">
        <f t="shared" si="5"/>
        <v>#N/A</v>
      </c>
      <c r="AN27" s="62" t="e">
        <f ca="1">AVERAGE(OFFSET($AM$3,0,0,'Données projet'!$E$10+1,1))-AVERAGE(OFFSET($H$3,0,0,'Données projet'!$E$10+1,1))</f>
        <v>#N/A</v>
      </c>
      <c r="AO27" s="62" t="e">
        <f t="shared" si="36"/>
        <v>#N/A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 t="e">
        <f>EXP(-LN(2)/35)*AU26+(1-EXP(-LN(2)/35))/(LN(2)/35)*AQ27*AR27*VLOOKUP('Données projet'!$B$10,Paramètres!$A$1:$I$89,3,0)*0.475*44/12</f>
        <v>#N/A</v>
      </c>
      <c r="AV27" s="23" t="e">
        <f>EXP(-LN(2)/25)*AV26+(1-EXP(-LN(2)/25))/(LN(2)/25)*Calculateur!AQ27*Calculateur!AS27*VLOOKUP('Données projet'!$B$10,Paramètres!$A$1:$I$89,3,0)*0.475*44/12</f>
        <v>#N/A</v>
      </c>
      <c r="AW27" s="23" t="e">
        <f>EXP(-LN(2)/2)*AW26+(1-EXP(-LN(2)/2))/(LN(2)/2)*AQ27*AT27*VLOOKUP('Données projet'!$B$10,Paramètres!$A$1:$I$89,3,0)*0.475*44/12</f>
        <v>#N/A</v>
      </c>
      <c r="AX27" s="23" t="e">
        <f t="shared" si="6"/>
        <v>#N/A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2">
        <f t="shared" si="32"/>
        <v>5.02880763108175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70">
        <f t="shared" si="1"/>
        <v>328.12975662413402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15.142857142857142</v>
      </c>
      <c r="N28" s="14">
        <f>IF('Données projet'!$A$36&gt;35,N27+M28-V27,IF(A28&lt;'Données projet'!$A$36,$K$205^A28,IF(A28='Données projet'!$A$36,'Données projet'!$B$36,N27+M28-V27)))</f>
        <v>193.28571428571431</v>
      </c>
      <c r="O28" s="14">
        <f>N28*VLOOKUP('Données projet'!$B$9,Paramètres!$A$1:$I$89,3,0)*VLOOKUP('Données projet'!$B$9,Paramètres!$A$1:$I$89,5,0)</f>
        <v>115.58485714285716</v>
      </c>
      <c r="P28" s="14">
        <f t="shared" si="33"/>
        <v>30.643003864758004</v>
      </c>
      <c r="Q28" s="22">
        <f t="shared" si="2"/>
        <v>254.68019125492972</v>
      </c>
      <c r="R28" s="62">
        <f t="shared" si="0"/>
        <v>548.01352458826307</v>
      </c>
      <c r="S28" s="62">
        <f ca="1">AVERAGE(OFFSET($R$3,0,0,'Données projet'!$E$9+1,1))-AVERAGE(OFFSET($H$3,0,0,'Données projet'!$E$9+1,1))</f>
        <v>151.58413719376074</v>
      </c>
      <c r="T28" s="62">
        <f t="shared" si="34"/>
        <v>310.105543138185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12.02868135454999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10.89356014207879</v>
      </c>
      <c r="AC28" s="24">
        <f t="shared" si="3"/>
        <v>22.922241496628779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 t="e">
        <f>AI28*VLOOKUP('Données projet'!$B$10,Paramètres!$A$1:$I$89,3,0)*VLOOKUP('Données projet'!$B$10,Paramètres!$A$1:$I$89,5,0)</f>
        <v>#N/A</v>
      </c>
      <c r="AK28" s="14" t="e">
        <f t="shared" si="35"/>
        <v>#N/A</v>
      </c>
      <c r="AL28" s="22" t="e">
        <f t="shared" si="4"/>
        <v>#N/A</v>
      </c>
      <c r="AM28" s="62" t="e">
        <f t="shared" si="5"/>
        <v>#N/A</v>
      </c>
      <c r="AN28" s="62" t="e">
        <f ca="1">AVERAGE(OFFSET($AM$3,0,0,'Données projet'!$E$10+1,1))-AVERAGE(OFFSET($H$3,0,0,'Données projet'!$E$10+1,1))</f>
        <v>#N/A</v>
      </c>
      <c r="AO28" s="62" t="e">
        <f t="shared" si="36"/>
        <v>#N/A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 t="e">
        <f>EXP(-LN(2)/35)*AU27+(1-EXP(-LN(2)/35))/(LN(2)/35)*AQ28*AR28*VLOOKUP('Données projet'!$B$10,Paramètres!$A$1:$I$89,3,0)*0.475*44/12</f>
        <v>#N/A</v>
      </c>
      <c r="AV28" s="23" t="e">
        <f>EXP(-LN(2)/25)*AV27+(1-EXP(-LN(2)/25))/(LN(2)/25)*Calculateur!AQ28*Calculateur!AS28*VLOOKUP('Données projet'!$B$10,Paramètres!$A$1:$I$89,3,0)*0.475*44/12</f>
        <v>#N/A</v>
      </c>
      <c r="AW28" s="23" t="e">
        <f>EXP(-LN(2)/2)*AW27+(1-EXP(-LN(2)/2))/(LN(2)/2)*AQ28*AT28*VLOOKUP('Données projet'!$B$10,Paramètres!$A$1:$I$89,3,0)*0.475*44/12</f>
        <v>#N/A</v>
      </c>
      <c r="AX28" s="23" t="e">
        <f t="shared" si="6"/>
        <v>#N/A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2">
        <f t="shared" si="32"/>
        <v>5.2061380655003466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70">
        <f t="shared" si="1"/>
        <v>329.48012379741311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15.142857142857142</v>
      </c>
      <c r="N29" s="14">
        <f>IF('Données projet'!$A$36&gt;35,N28+M29-V28,IF(A29&lt;'Données projet'!$A$36,$K$205^A29,IF(A29='Données projet'!$A$36,'Données projet'!$B$36,N28+M29-V28)))</f>
        <v>208.42857142857144</v>
      </c>
      <c r="O29" s="14">
        <f>N29*VLOOKUP('Données projet'!$B$9,Paramètres!$A$1:$I$89,3,0)*VLOOKUP('Données projet'!$B$9,Paramètres!$A$1:$I$89,5,0)</f>
        <v>124.64028571428574</v>
      </c>
      <c r="P29" s="14">
        <f t="shared" si="33"/>
        <v>32.754868392894572</v>
      </c>
      <c r="Q29" s="22">
        <f t="shared" si="2"/>
        <v>274.129893403339</v>
      </c>
      <c r="R29" s="62">
        <f t="shared" si="0"/>
        <v>567.46322673667237</v>
      </c>
      <c r="S29" s="62">
        <f ca="1">AVERAGE(OFFSET($R$3,0,0,'Données projet'!$E$9+1,1))-AVERAGE(OFFSET($H$3,0,0,'Données projet'!$E$9+1,1))</f>
        <v>151.58413719376074</v>
      </c>
      <c r="T29" s="62">
        <f t="shared" si="34"/>
        <v>310.105543138185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11.792806249958446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7.7029102477274032</v>
      </c>
      <c r="AC29" s="24">
        <f t="shared" si="3"/>
        <v>19.495716497685848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 t="e">
        <f>AI29*VLOOKUP('Données projet'!$B$10,Paramètres!$A$1:$I$89,3,0)*VLOOKUP('Données projet'!$B$10,Paramètres!$A$1:$I$89,5,0)</f>
        <v>#N/A</v>
      </c>
      <c r="AK29" s="14" t="e">
        <f t="shared" si="35"/>
        <v>#N/A</v>
      </c>
      <c r="AL29" s="22" t="e">
        <f t="shared" si="4"/>
        <v>#N/A</v>
      </c>
      <c r="AM29" s="62" t="e">
        <f t="shared" si="5"/>
        <v>#N/A</v>
      </c>
      <c r="AN29" s="62" t="e">
        <f ca="1">AVERAGE(OFFSET($AM$3,0,0,'Données projet'!$E$10+1,1))-AVERAGE(OFFSET($H$3,0,0,'Données projet'!$E$10+1,1))</f>
        <v>#N/A</v>
      </c>
      <c r="AO29" s="62" t="e">
        <f t="shared" si="36"/>
        <v>#N/A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 t="e">
        <f>EXP(-LN(2)/35)*AU28+(1-EXP(-LN(2)/35))/(LN(2)/35)*AQ29*AR29*VLOOKUP('Données projet'!$B$10,Paramètres!$A$1:$I$89,3,0)*0.475*44/12</f>
        <v>#N/A</v>
      </c>
      <c r="AV29" s="23" t="e">
        <f>EXP(-LN(2)/25)*AV28+(1-EXP(-LN(2)/25))/(LN(2)/25)*Calculateur!AQ29*Calculateur!AS29*VLOOKUP('Données projet'!$B$10,Paramètres!$A$1:$I$89,3,0)*0.475*44/12</f>
        <v>#N/A</v>
      </c>
      <c r="AW29" s="23" t="e">
        <f>EXP(-LN(2)/2)*AW28+(1-EXP(-LN(2)/2))/(LN(2)/2)*AQ29*AT29*VLOOKUP('Données projet'!$B$10,Paramètres!$A$1:$I$89,3,0)*0.475*44/12</f>
        <v>#N/A</v>
      </c>
      <c r="AX29" s="23" t="e">
        <f t="shared" si="6"/>
        <v>#N/A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2">
        <f t="shared" si="32"/>
        <v>5.3826761733310189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70">
        <f t="shared" si="1"/>
        <v>330.82911100188483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15.142857142857142</v>
      </c>
      <c r="N30" s="14">
        <f>IF('Données projet'!$A$36&gt;35,N29+M30-V29,IF(A30&lt;'Données projet'!$A$36,$K$205^A30,IF(A30='Données projet'!$A$36,'Données projet'!$B$36,N29+M30-V29)))</f>
        <v>223.57142857142858</v>
      </c>
      <c r="O30" s="14">
        <f>N30*VLOOKUP('Données projet'!$B$9,Paramètres!$A$1:$I$89,3,0)*VLOOKUP('Données projet'!$B$9,Paramètres!$A$1:$I$89,5,0)</f>
        <v>133.6957142857143</v>
      </c>
      <c r="P30" s="14">
        <f t="shared" si="33"/>
        <v>34.848932189999701</v>
      </c>
      <c r="Q30" s="22">
        <f t="shared" si="2"/>
        <v>293.54859261186851</v>
      </c>
      <c r="R30" s="62">
        <f t="shared" si="0"/>
        <v>586.88192594520183</v>
      </c>
      <c r="S30" s="62">
        <f ca="1">AVERAGE(OFFSET($R$3,0,0,'Données projet'!$E$9+1,1))-AVERAGE(OFFSET($H$3,0,0,'Données projet'!$E$9+1,1))</f>
        <v>151.58413719376074</v>
      </c>
      <c r="T30" s="62">
        <f t="shared" si="34"/>
        <v>310.105543138185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11.561556512298333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5.4467800710393961</v>
      </c>
      <c r="AC30" s="24">
        <f t="shared" si="3"/>
        <v>17.00833658333773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 t="e">
        <f>AI30*VLOOKUP('Données projet'!$B$10,Paramètres!$A$1:$I$89,3,0)*VLOOKUP('Données projet'!$B$10,Paramètres!$A$1:$I$89,5,0)</f>
        <v>#N/A</v>
      </c>
      <c r="AK30" s="14" t="e">
        <f t="shared" si="35"/>
        <v>#N/A</v>
      </c>
      <c r="AL30" s="22" t="e">
        <f t="shared" si="4"/>
        <v>#N/A</v>
      </c>
      <c r="AM30" s="62" t="e">
        <f t="shared" si="5"/>
        <v>#N/A</v>
      </c>
      <c r="AN30" s="62" t="e">
        <f ca="1">AVERAGE(OFFSET($AM$3,0,0,'Données projet'!$E$10+1,1))-AVERAGE(OFFSET($H$3,0,0,'Données projet'!$E$10+1,1))</f>
        <v>#N/A</v>
      </c>
      <c r="AO30" s="62" t="e">
        <f t="shared" si="36"/>
        <v>#N/A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 t="e">
        <f>EXP(-LN(2)/35)*AU29+(1-EXP(-LN(2)/35))/(LN(2)/35)*AQ30*AR30*VLOOKUP('Données projet'!$B$10,Paramètres!$A$1:$I$89,3,0)*0.475*44/12</f>
        <v>#N/A</v>
      </c>
      <c r="AV30" s="23" t="e">
        <f>EXP(-LN(2)/25)*AV29+(1-EXP(-LN(2)/25))/(LN(2)/25)*Calculateur!AQ30*Calculateur!AS30*VLOOKUP('Données projet'!$B$10,Paramètres!$A$1:$I$89,3,0)*0.475*44/12</f>
        <v>#N/A</v>
      </c>
      <c r="AW30" s="23" t="e">
        <f>EXP(-LN(2)/2)*AW29+(1-EXP(-LN(2)/2))/(LN(2)/2)*AQ30*AT30*VLOOKUP('Données projet'!$B$10,Paramètres!$A$1:$I$89,3,0)*0.475*44/12</f>
        <v>#N/A</v>
      </c>
      <c r="AX30" s="23" t="e">
        <f t="shared" si="6"/>
        <v>#N/A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2">
        <f t="shared" si="32"/>
        <v>5.5584546605089464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70">
        <f t="shared" si="1"/>
        <v>332.17677520038643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15.142857142857142</v>
      </c>
      <c r="N31" s="14">
        <f>IF('Données projet'!$A$36&gt;35,N30+M31-V30,IF(A31&lt;'Données projet'!$A$36,$K$205^A31,IF(A31='Données projet'!$A$36,'Données projet'!$B$36,N30+M31-V30)))</f>
        <v>238.71428571428572</v>
      </c>
      <c r="O31" s="14">
        <f>N31*VLOOKUP('Données projet'!$B$9,Paramètres!$A$1:$I$89,3,0)*VLOOKUP('Données projet'!$B$9,Paramètres!$A$1:$I$89,5,0)</f>
        <v>142.75114285714287</v>
      </c>
      <c r="P31" s="14">
        <f t="shared" si="33"/>
        <v>36.926538099571019</v>
      </c>
      <c r="Q31" s="22">
        <f t="shared" si="2"/>
        <v>312.93862766627666</v>
      </c>
      <c r="R31" s="62">
        <f t="shared" si="0"/>
        <v>606.27196099960997</v>
      </c>
      <c r="S31" s="62">
        <f ca="1">AVERAGE(OFFSET($R$3,0,0,'Données projet'!$E$9+1,1))-AVERAGE(OFFSET($H$3,0,0,'Données projet'!$E$9+1,1))</f>
        <v>151.58413719376074</v>
      </c>
      <c r="T31" s="62">
        <f t="shared" si="34"/>
        <v>310.105543138185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11.334841440945322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3.8514551238637025</v>
      </c>
      <c r="AC31" s="24">
        <f t="shared" si="3"/>
        <v>15.186296564809025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 t="e">
        <f>AI31*VLOOKUP('Données projet'!$B$10,Paramètres!$A$1:$I$89,3,0)*VLOOKUP('Données projet'!$B$10,Paramètres!$A$1:$I$89,5,0)</f>
        <v>#N/A</v>
      </c>
      <c r="AK31" s="14" t="e">
        <f t="shared" si="35"/>
        <v>#N/A</v>
      </c>
      <c r="AL31" s="22" t="e">
        <f t="shared" si="4"/>
        <v>#N/A</v>
      </c>
      <c r="AM31" s="62" t="e">
        <f t="shared" si="5"/>
        <v>#N/A</v>
      </c>
      <c r="AN31" s="62" t="e">
        <f ca="1">AVERAGE(OFFSET($AM$3,0,0,'Données projet'!$E$10+1,1))-AVERAGE(OFFSET($H$3,0,0,'Données projet'!$E$10+1,1))</f>
        <v>#N/A</v>
      </c>
      <c r="AO31" s="62" t="e">
        <f t="shared" si="36"/>
        <v>#N/A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 t="e">
        <f>EXP(-LN(2)/35)*AU30+(1-EXP(-LN(2)/35))/(LN(2)/35)*AQ31*AR31*VLOOKUP('Données projet'!$B$10,Paramètres!$A$1:$I$89,3,0)*0.475*44/12</f>
        <v>#N/A</v>
      </c>
      <c r="AV31" s="23" t="e">
        <f>EXP(-LN(2)/25)*AV30+(1-EXP(-LN(2)/25))/(LN(2)/25)*Calculateur!AQ31*Calculateur!AS31*VLOOKUP('Données projet'!$B$10,Paramètres!$A$1:$I$89,3,0)*0.475*44/12</f>
        <v>#N/A</v>
      </c>
      <c r="AW31" s="23" t="e">
        <f>EXP(-LN(2)/2)*AW30+(1-EXP(-LN(2)/2))/(LN(2)/2)*AQ31*AT31*VLOOKUP('Données projet'!$B$10,Paramètres!$A$1:$I$89,3,0)*0.475*44/12</f>
        <v>#N/A</v>
      </c>
      <c r="AX31" s="23" t="e">
        <f t="shared" si="6"/>
        <v>#N/A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2">
        <f t="shared" si="32"/>
        <v>5.7335037643993987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70">
        <f t="shared" si="1"/>
        <v>333.52316905632892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15.142857142857142</v>
      </c>
      <c r="N32" s="14">
        <f>IF('Données projet'!$A$36&gt;35,N31+M32-V31,IF(A32&lt;'Données projet'!$A$36,$K$205^A32,IF(A32='Données projet'!$A$36,'Données projet'!$B$36,N31+M32-V31)))</f>
        <v>253.85714285714286</v>
      </c>
      <c r="O32" s="14">
        <f>N32*VLOOKUP('Données projet'!$B$9,Paramètres!$A$1:$I$89,3,0)*VLOOKUP('Données projet'!$B$9,Paramètres!$A$1:$I$89,5,0)</f>
        <v>151.80657142857146</v>
      </c>
      <c r="P32" s="14">
        <f t="shared" si="33"/>
        <v>38.988848967460292</v>
      </c>
      <c r="Q32" s="22">
        <f t="shared" si="2"/>
        <v>332.30202385642195</v>
      </c>
      <c r="R32" s="62">
        <f t="shared" si="0"/>
        <v>625.63535718975527</v>
      </c>
      <c r="S32" s="62">
        <f ca="1">AVERAGE(OFFSET($R$3,0,0,'Données projet'!$E$9+1,1))-AVERAGE(OFFSET($H$3,0,0,'Données projet'!$E$9+1,1))</f>
        <v>151.58413719376074</v>
      </c>
      <c r="T32" s="62">
        <f t="shared" si="34"/>
        <v>310.105543138185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11.112572113859004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2.7233900355196985</v>
      </c>
      <c r="AC32" s="24">
        <f t="shared" si="3"/>
        <v>13.835962149378702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 t="e">
        <f>AI32*VLOOKUP('Données projet'!$B$10,Paramètres!$A$1:$I$89,3,0)*VLOOKUP('Données projet'!$B$10,Paramètres!$A$1:$I$89,5,0)</f>
        <v>#N/A</v>
      </c>
      <c r="AK32" s="14" t="e">
        <f t="shared" si="35"/>
        <v>#N/A</v>
      </c>
      <c r="AL32" s="22" t="e">
        <f t="shared" si="4"/>
        <v>#N/A</v>
      </c>
      <c r="AM32" s="62" t="e">
        <f t="shared" si="5"/>
        <v>#N/A</v>
      </c>
      <c r="AN32" s="62" t="e">
        <f ca="1">AVERAGE(OFFSET($AM$3,0,0,'Données projet'!$E$10+1,1))-AVERAGE(OFFSET($H$3,0,0,'Données projet'!$E$10+1,1))</f>
        <v>#N/A</v>
      </c>
      <c r="AO32" s="62" t="e">
        <f t="shared" si="36"/>
        <v>#N/A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 t="e">
        <f>EXP(-LN(2)/35)*AU31+(1-EXP(-LN(2)/35))/(LN(2)/35)*AQ32*AR32*VLOOKUP('Données projet'!$B$10,Paramètres!$A$1:$I$89,3,0)*0.475*44/12</f>
        <v>#N/A</v>
      </c>
      <c r="AV32" s="23" t="e">
        <f>EXP(-LN(2)/25)*AV31+(1-EXP(-LN(2)/25))/(LN(2)/25)*Calculateur!AQ32*Calculateur!AS32*VLOOKUP('Données projet'!$B$10,Paramètres!$A$1:$I$89,3,0)*0.475*44/12</f>
        <v>#N/A</v>
      </c>
      <c r="AW32" s="23" t="e">
        <f>EXP(-LN(2)/2)*AW31+(1-EXP(-LN(2)/2))/(LN(2)/2)*AQ32*AT32*VLOOKUP('Données projet'!$B$10,Paramètres!$A$1:$I$89,3,0)*0.475*44/12</f>
        <v>#N/A</v>
      </c>
      <c r="AX32" s="23" t="e">
        <f t="shared" si="6"/>
        <v>#N/A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2">
        <f t="shared" si="32"/>
        <v>5.907851518758747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70">
        <f t="shared" si="1"/>
        <v>334.86834139517146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269</v>
      </c>
      <c r="L33" s="13">
        <f>VLOOKUP(A33,'Données projet'!$A$35:$I$55,9,0)</f>
        <v>15.142857142857142</v>
      </c>
      <c r="M33" s="13">
        <f t="array" ref="M33">INDEX(L:L,MIN(IF(ISNUMBER(L33:L229),ROW(L33:L229),"")))</f>
        <v>15.142857142857142</v>
      </c>
      <c r="N33" s="14">
        <f>IF('Données projet'!$A$36&gt;35,N32+M33-V32,IF(A33&lt;'Données projet'!$A$36,$K$205^A33,IF(A33='Données projet'!$A$36,'Données projet'!$B$36,N32+M33-V32)))</f>
        <v>269</v>
      </c>
      <c r="O33" s="14">
        <f>N33*VLOOKUP('Données projet'!$B$9,Paramètres!$A$1:$I$89,3,0)*VLOOKUP('Données projet'!$B$9,Paramètres!$A$1:$I$89,5,0)</f>
        <v>160.86200000000002</v>
      </c>
      <c r="P33" s="14">
        <f t="shared" si="33"/>
        <v>41.03688107178359</v>
      </c>
      <c r="Q33" s="22">
        <f t="shared" si="2"/>
        <v>351.64055120002314</v>
      </c>
      <c r="R33" s="62">
        <f t="shared" si="0"/>
        <v>644.97388453335645</v>
      </c>
      <c r="S33" s="62">
        <f ca="1">AVERAGE(OFFSET($R$3,0,0,'Données projet'!$E$9+1,1))-AVERAGE(OFFSET($H$3,0,0,'Données projet'!$E$9+1,1))</f>
        <v>151.58413719376074</v>
      </c>
      <c r="T33" s="62">
        <f t="shared" si="34"/>
        <v>310.105543138185</v>
      </c>
      <c r="U33" s="16">
        <f>IF(ISNA(VLOOKUP(A33,'Données projet'!$A$35:$I$55,3,0)),0,VLOOKUP(A33,'Données projet'!$A$35:$I$55,3,0))</f>
        <v>4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10.894661352705947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1.9257275619318515</v>
      </c>
      <c r="AC33" s="24">
        <f t="shared" si="3"/>
        <v>12.8203889146378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 t="e">
        <f>AI33*VLOOKUP('Données projet'!$B$10,Paramètres!$A$1:$I$89,3,0)*VLOOKUP('Données projet'!$B$10,Paramètres!$A$1:$I$89,5,0)</f>
        <v>#N/A</v>
      </c>
      <c r="AK33" s="14" t="e">
        <f t="shared" si="35"/>
        <v>#N/A</v>
      </c>
      <c r="AL33" s="22" t="e">
        <f t="shared" si="4"/>
        <v>#N/A</v>
      </c>
      <c r="AM33" s="62" t="e">
        <f t="shared" si="5"/>
        <v>#N/A</v>
      </c>
      <c r="AN33" s="62" t="e">
        <f ca="1">AVERAGE(OFFSET($AM$3,0,0,'Données projet'!$E$10+1,1))-AVERAGE(OFFSET($H$3,0,0,'Données projet'!$E$10+1,1))</f>
        <v>#N/A</v>
      </c>
      <c r="AO33" s="62" t="e">
        <f t="shared" si="36"/>
        <v>#N/A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 t="e">
        <f>EXP(-LN(2)/35)*AU32+(1-EXP(-LN(2)/35))/(LN(2)/35)*AQ33*AR33*VLOOKUP('Données projet'!$B$10,Paramètres!$A$1:$I$89,3,0)*0.475*44/12</f>
        <v>#N/A</v>
      </c>
      <c r="AV33" s="23" t="e">
        <f>EXP(-LN(2)/25)*AV32+(1-EXP(-LN(2)/25))/(LN(2)/25)*Calculateur!AQ33*Calculateur!AS33*VLOOKUP('Données projet'!$B$10,Paramètres!$A$1:$I$89,3,0)*0.475*44/12</f>
        <v>#N/A</v>
      </c>
      <c r="AW33" s="23" t="e">
        <f>EXP(-LN(2)/2)*AW32+(1-EXP(-LN(2)/2))/(LN(2)/2)*AQ33*AT33*VLOOKUP('Données projet'!$B$10,Paramètres!$A$1:$I$89,3,0)*0.475*44/12</f>
        <v>#N/A</v>
      </c>
      <c r="AX33" s="23" t="e">
        <f t="shared" si="6"/>
        <v>#N/A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2">
        <f t="shared" si="32"/>
        <v>6.0815239823749314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70">
        <f t="shared" si="1"/>
        <v>336.21233760263635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</v>
      </c>
      <c r="N34" s="14">
        <f>IF('Données projet'!$A$36&gt;35,N33+M34-V33,IF(A34&lt;'Données projet'!$A$36,$K$205^A34,IF(A34='Données projet'!$A$36,'Données projet'!$B$36,N33+M34-V33)))</f>
        <v>283</v>
      </c>
      <c r="O34" s="14">
        <f>N34*VLOOKUP('Données projet'!$B$9,Paramètres!$A$1:$I$89,3,0)*VLOOKUP('Données projet'!$B$9,Paramètres!$A$1:$I$89,5,0)</f>
        <v>169.23400000000001</v>
      </c>
      <c r="P34" s="14">
        <f t="shared" si="33"/>
        <v>42.918420001269354</v>
      </c>
      <c r="Q34" s="22">
        <f t="shared" si="2"/>
        <v>369.4987981688775</v>
      </c>
      <c r="R34" s="62">
        <f t="shared" si="0"/>
        <v>662.83213150221081</v>
      </c>
      <c r="S34" s="62">
        <f ca="1">AVERAGE(OFFSET($R$3,0,0,'Données projet'!$E$9+1,1))-AVERAGE(OFFSET($H$3,0,0,'Données projet'!$E$9+1,1))</f>
        <v>151.58413719376074</v>
      </c>
      <c r="T34" s="62">
        <f t="shared" si="34"/>
        <v>310.105543138185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10.681023688666661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1.3616950177598495</v>
      </c>
      <c r="AC34" s="24">
        <f t="shared" si="3"/>
        <v>12.042718706426511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 t="e">
        <f>AI34*VLOOKUP('Données projet'!$B$10,Paramètres!$A$1:$I$89,3,0)*VLOOKUP('Données projet'!$B$10,Paramètres!$A$1:$I$89,5,0)</f>
        <v>#N/A</v>
      </c>
      <c r="AK34" s="14" t="e">
        <f t="shared" si="35"/>
        <v>#N/A</v>
      </c>
      <c r="AL34" s="22" t="e">
        <f t="shared" si="4"/>
        <v>#N/A</v>
      </c>
      <c r="AM34" s="62" t="e">
        <f t="shared" si="5"/>
        <v>#N/A</v>
      </c>
      <c r="AN34" s="62" t="e">
        <f ca="1">AVERAGE(OFFSET($AM$3,0,0,'Données projet'!$E$10+1,1))-AVERAGE(OFFSET($H$3,0,0,'Données projet'!$E$10+1,1))</f>
        <v>#N/A</v>
      </c>
      <c r="AO34" s="62" t="e">
        <f t="shared" si="36"/>
        <v>#N/A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 t="e">
        <f>EXP(-LN(2)/35)*AU33+(1-EXP(-LN(2)/35))/(LN(2)/35)*AQ34*AR34*VLOOKUP('Données projet'!$B$10,Paramètres!$A$1:$I$89,3,0)*0.475*44/12</f>
        <v>#N/A</v>
      </c>
      <c r="AV34" s="23" t="e">
        <f>EXP(-LN(2)/25)*AV33+(1-EXP(-LN(2)/25))/(LN(2)/25)*Calculateur!AQ34*Calculateur!AS34*VLOOKUP('Données projet'!$B$10,Paramètres!$A$1:$I$89,3,0)*0.475*44/12</f>
        <v>#N/A</v>
      </c>
      <c r="AW34" s="23" t="e">
        <f>EXP(-LN(2)/2)*AW33+(1-EXP(-LN(2)/2))/(LN(2)/2)*AQ34*AT34*VLOOKUP('Données projet'!$B$10,Paramètres!$A$1:$I$89,3,0)*0.475*44/12</f>
        <v>#N/A</v>
      </c>
      <c r="AX34" s="23" t="e">
        <f t="shared" si="6"/>
        <v>#N/A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2">
        <f t="shared" si="32"/>
        <v>6.2545454373771854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70">
        <f t="shared" si="1"/>
        <v>337.55519997009856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</v>
      </c>
      <c r="N35" s="14">
        <f>IF('Données projet'!$A$36&gt;35,N34+M35-V34,IF(A35&lt;'Données projet'!$A$36,$K$205^A35,IF(A35='Données projet'!$A$36,'Données projet'!$B$36,N34+M35-V34)))</f>
        <v>297</v>
      </c>
      <c r="O35" s="14">
        <f>N35*VLOOKUP('Données projet'!$B$9,Paramètres!$A$1:$I$89,3,0)*VLOOKUP('Données projet'!$B$9,Paramètres!$A$1:$I$89,5,0)</f>
        <v>177.60600000000002</v>
      </c>
      <c r="P35" s="14">
        <f t="shared" si="33"/>
        <v>44.789150937858665</v>
      </c>
      <c r="Q35" s="22">
        <f t="shared" ref="Q35:Q66" si="53">(O35+P35)*0.475*44/12</f>
        <v>387.33822121677053</v>
      </c>
      <c r="R35" s="62">
        <f t="shared" si="0"/>
        <v>680.67155455010379</v>
      </c>
      <c r="S35" s="62">
        <f ca="1">AVERAGE(OFFSET($R$3,0,0,'Données projet'!$E$9+1,1))-AVERAGE(OFFSET($H$3,0,0,'Données projet'!$E$9+1,1))</f>
        <v>151.58413719376074</v>
      </c>
      <c r="T35" s="62">
        <f t="shared" si="34"/>
        <v>310.105543138185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10.471575328913076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0.96286378096592584</v>
      </c>
      <c r="AC35" s="24">
        <f t="shared" si="3"/>
        <v>11.434439109879001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 t="e">
        <f>AI35*VLOOKUP('Données projet'!$B$10,Paramètres!$A$1:$I$89,3,0)*VLOOKUP('Données projet'!$B$10,Paramètres!$A$1:$I$89,5,0)</f>
        <v>#N/A</v>
      </c>
      <c r="AK35" s="14" t="e">
        <f t="shared" si="35"/>
        <v>#N/A</v>
      </c>
      <c r="AL35" s="22" t="e">
        <f t="shared" si="4"/>
        <v>#N/A</v>
      </c>
      <c r="AM35" s="62" t="e">
        <f t="shared" si="5"/>
        <v>#N/A</v>
      </c>
      <c r="AN35" s="62" t="e">
        <f ca="1">AVERAGE(OFFSET($AM$3,0,0,'Données projet'!$E$10+1,1))-AVERAGE(OFFSET($H$3,0,0,'Données projet'!$E$10+1,1))</f>
        <v>#N/A</v>
      </c>
      <c r="AO35" s="62" t="e">
        <f t="shared" si="36"/>
        <v>#N/A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 t="e">
        <f>EXP(-LN(2)/35)*AU34+(1-EXP(-LN(2)/35))/(LN(2)/35)*AQ35*AR35*VLOOKUP('Données projet'!$B$10,Paramètres!$A$1:$I$89,3,0)*0.475*44/12</f>
        <v>#N/A</v>
      </c>
      <c r="AV35" s="23" t="e">
        <f>EXP(-LN(2)/25)*AV34+(1-EXP(-LN(2)/25))/(LN(2)/25)*Calculateur!AQ35*Calculateur!AS35*VLOOKUP('Données projet'!$B$10,Paramètres!$A$1:$I$89,3,0)*0.475*44/12</f>
        <v>#N/A</v>
      </c>
      <c r="AW35" s="23" t="e">
        <f>EXP(-LN(2)/2)*AW34+(1-EXP(-LN(2)/2))/(LN(2)/2)*AQ35*AT35*VLOOKUP('Données projet'!$B$10,Paramètres!$A$1:$I$89,3,0)*0.475*44/12</f>
        <v>#N/A</v>
      </c>
      <c r="AX35" s="23" t="e">
        <f t="shared" si="6"/>
        <v>#N/A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2">
        <f t="shared" si="32"/>
        <v>6.4269385620606752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70">
        <f t="shared" si="1"/>
        <v>338.89696799558897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</v>
      </c>
      <c r="N36" s="14">
        <f>IF('Données projet'!$A$36&gt;35,N35+M36-V35,IF(A36&lt;'Données projet'!$A$36,$K$205^A36,IF(A36='Données projet'!$A$36,'Données projet'!$B$36,N35+M36-V35)))</f>
        <v>311</v>
      </c>
      <c r="O36" s="14">
        <f>N36*VLOOKUP('Données projet'!$B$9,Paramètres!$A$1:$I$89,3,0)*VLOOKUP('Données projet'!$B$9,Paramètres!$A$1:$I$89,5,0)</f>
        <v>185.97800000000001</v>
      </c>
      <c r="P36" s="14">
        <f t="shared" si="33"/>
        <v>46.649641523668571</v>
      </c>
      <c r="Q36" s="22">
        <f t="shared" si="53"/>
        <v>405.15980898705612</v>
      </c>
      <c r="R36" s="62">
        <f t="shared" si="0"/>
        <v>698.49314232038944</v>
      </c>
      <c r="S36" s="62">
        <f ca="1">AVERAGE(OFFSET($R$3,0,0,'Données projet'!$E$9+1,1))-AVERAGE(OFFSET($H$3,0,0,'Données projet'!$E$9+1,1))</f>
        <v>151.58413719376074</v>
      </c>
      <c r="T36" s="62">
        <f t="shared" si="34"/>
        <v>310.105543138185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10.266234123743374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0.68084750887992485</v>
      </c>
      <c r="AC36" s="24">
        <f t="shared" si="3"/>
        <v>10.947081632623298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 t="e">
        <f>AI36*VLOOKUP('Données projet'!$B$10,Paramètres!$A$1:$I$89,3,0)*VLOOKUP('Données projet'!$B$10,Paramètres!$A$1:$I$89,5,0)</f>
        <v>#N/A</v>
      </c>
      <c r="AK36" s="14" t="e">
        <f t="shared" si="35"/>
        <v>#N/A</v>
      </c>
      <c r="AL36" s="22" t="e">
        <f t="shared" si="4"/>
        <v>#N/A</v>
      </c>
      <c r="AM36" s="62" t="e">
        <f t="shared" si="5"/>
        <v>#N/A</v>
      </c>
      <c r="AN36" s="62" t="e">
        <f ca="1">AVERAGE(OFFSET($AM$3,0,0,'Données projet'!$E$10+1,1))-AVERAGE(OFFSET($H$3,0,0,'Données projet'!$E$10+1,1))</f>
        <v>#N/A</v>
      </c>
      <c r="AO36" s="62" t="e">
        <f t="shared" si="36"/>
        <v>#N/A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 t="e">
        <f>EXP(-LN(2)/35)*AU35+(1-EXP(-LN(2)/35))/(LN(2)/35)*AQ36*AR36*VLOOKUP('Données projet'!$B$10,Paramètres!$A$1:$I$89,3,0)*0.475*44/12</f>
        <v>#N/A</v>
      </c>
      <c r="AV36" s="23" t="e">
        <f>EXP(-LN(2)/25)*AV35+(1-EXP(-LN(2)/25))/(LN(2)/25)*Calculateur!AQ36*Calculateur!AS36*VLOOKUP('Données projet'!$B$10,Paramètres!$A$1:$I$89,3,0)*0.475*44/12</f>
        <v>#N/A</v>
      </c>
      <c r="AW36" s="23" t="e">
        <f>EXP(-LN(2)/2)*AW35+(1-EXP(-LN(2)/2))/(LN(2)/2)*AQ36*AT36*VLOOKUP('Données projet'!$B$10,Paramètres!$A$1:$I$89,3,0)*0.475*44/12</f>
        <v>#N/A</v>
      </c>
      <c r="AX36" s="23" t="e">
        <f t="shared" si="6"/>
        <v>#N/A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2">
        <f t="shared" si="32"/>
        <v>6.5987245821741247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70">
        <f t="shared" si="1"/>
        <v>340.2376786472866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>
        <f>VLOOKUP(A37,'Données projet'!$A$35:$I$55,2,0)</f>
        <v>325</v>
      </c>
      <c r="L37" s="13">
        <f>VLOOKUP(A37,'Données projet'!$A$35:$I$55,9,0)</f>
        <v>14</v>
      </c>
      <c r="M37" s="13">
        <f t="array" ref="M37">INDEX(L:L,MIN(IF(ISNUMBER(L37:L233),ROW(L37:L233),"")))</f>
        <v>14</v>
      </c>
      <c r="N37" s="14">
        <f>IF('Données projet'!$A$36&gt;35,N36+M37-V36,IF(A37&lt;'Données projet'!$A$36,$K$205^A37,IF(A37='Données projet'!$A$36,'Données projet'!$B$36,N36+M37-V36)))</f>
        <v>325</v>
      </c>
      <c r="O37" s="14">
        <f>N37*VLOOKUP('Données projet'!$B$9,Paramètres!$A$1:$I$89,3,0)*VLOOKUP('Données projet'!$B$9,Paramètres!$A$1:$I$89,5,0)</f>
        <v>194.35</v>
      </c>
      <c r="P37" s="14">
        <f t="shared" si="33"/>
        <v>48.500405405690429</v>
      </c>
      <c r="Q37" s="22">
        <f t="shared" si="53"/>
        <v>422.96445608157745</v>
      </c>
      <c r="R37" s="62">
        <f t="shared" si="0"/>
        <v>716.29778941491077</v>
      </c>
      <c r="S37" s="62">
        <f ca="1">AVERAGE(OFFSET($R$3,0,0,'Données projet'!$E$9+1,1))-AVERAGE(OFFSET($H$3,0,0,'Données projet'!$E$9+1,1))</f>
        <v>151.58413719376074</v>
      </c>
      <c r="T37" s="62">
        <f t="shared" si="34"/>
        <v>310.105543138185</v>
      </c>
      <c r="U37" s="16">
        <f>IF(ISNA(VLOOKUP(A37,'Données projet'!$A$35:$I$55,3,0)),0,VLOOKUP(A37,'Données projet'!$A$35:$I$55,3,0))</f>
        <v>5</v>
      </c>
      <c r="V37" s="16">
        <f>IF(ISNA(VLOOKUP(A37,'Données projet'!$A$35:$I$55,4,0)),0,VLOOKUP(A37,'Données projet'!$A$35:$I$55,4,0))</f>
        <v>325</v>
      </c>
      <c r="W37" s="17">
        <f>IF(ISNA(VLOOKUP(A37,'Données projet'!$A$35:$I$55,5,0)),0%,VLOOKUP(A37,'Données projet'!$A$35:$I$55,5,0)*VLOOKUP('Données projet'!$B$9,Paramètres!$A$1:$I$89,7,0))</f>
        <v>0.315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0.3</v>
      </c>
      <c r="Z37" s="23">
        <f>EXP(-LN(2)/35)*Z36+(1-EXP(-LN(2)/35))/(LN(2)/35)*V37*W37*VLOOKUP('Données projet'!$B$9,Paramètres!$A$1:$I$89,3,0)*0.475*44/12</f>
        <v>91.277527137483801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66.496235997763563</v>
      </c>
      <c r="AC37" s="24">
        <f t="shared" si="3"/>
        <v>157.77376313524735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 t="e">
        <f>AI37*VLOOKUP('Données projet'!$B$10,Paramètres!$A$1:$I$89,3,0)*VLOOKUP('Données projet'!$B$10,Paramètres!$A$1:$I$89,5,0)</f>
        <v>#N/A</v>
      </c>
      <c r="AK37" s="14" t="e">
        <f t="shared" si="35"/>
        <v>#N/A</v>
      </c>
      <c r="AL37" s="22" t="e">
        <f t="shared" si="4"/>
        <v>#N/A</v>
      </c>
      <c r="AM37" s="62" t="e">
        <f t="shared" si="5"/>
        <v>#N/A</v>
      </c>
      <c r="AN37" s="62" t="e">
        <f ca="1">AVERAGE(OFFSET($AM$3,0,0,'Données projet'!$E$10+1,1))-AVERAGE(OFFSET($H$3,0,0,'Données projet'!$E$10+1,1))</f>
        <v>#N/A</v>
      </c>
      <c r="AO37" s="62" t="e">
        <f t="shared" si="36"/>
        <v>#N/A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 t="e">
        <f>EXP(-LN(2)/35)*AU36+(1-EXP(-LN(2)/35))/(LN(2)/35)*AQ37*AR37*VLOOKUP('Données projet'!$B$10,Paramètres!$A$1:$I$89,3,0)*0.475*44/12</f>
        <v>#N/A</v>
      </c>
      <c r="AV37" s="23" t="e">
        <f>EXP(-LN(2)/25)*AV36+(1-EXP(-LN(2)/25))/(LN(2)/25)*Calculateur!AQ37*Calculateur!AS37*VLOOKUP('Données projet'!$B$10,Paramètres!$A$1:$I$89,3,0)*0.475*44/12</f>
        <v>#N/A</v>
      </c>
      <c r="AW37" s="23" t="e">
        <f>EXP(-LN(2)/2)*AW36+(1-EXP(-LN(2)/2))/(LN(2)/2)*AQ37*AT37*VLOOKUP('Données projet'!$B$10,Paramètres!$A$1:$I$89,3,0)*0.475*44/12</f>
        <v>#N/A</v>
      </c>
      <c r="AX37" s="23" t="e">
        <f t="shared" si="6"/>
        <v>#N/A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2">
        <f t="shared" si="32"/>
        <v>6.7699234039087761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70">
        <f t="shared" si="1"/>
        <v>341.57736659514109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151.58413719376074</v>
      </c>
      <c r="T38" s="62">
        <f t="shared" si="34"/>
        <v>310.105543138185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89.487630504111962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47.019939397399625</v>
      </c>
      <c r="AC38" s="24">
        <f t="shared" si="3"/>
        <v>136.5075699015116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 t="e">
        <f>AI38*VLOOKUP('Données projet'!$B$10,Paramètres!$A$1:$I$89,3,0)*VLOOKUP('Données projet'!$B$10,Paramètres!$A$1:$I$89,5,0)</f>
        <v>#N/A</v>
      </c>
      <c r="AK38" s="14" t="e">
        <f t="shared" si="35"/>
        <v>#N/A</v>
      </c>
      <c r="AL38" s="22" t="e">
        <f t="shared" si="4"/>
        <v>#N/A</v>
      </c>
      <c r="AM38" s="62" t="e">
        <f t="shared" si="5"/>
        <v>#N/A</v>
      </c>
      <c r="AN38" s="62" t="e">
        <f ca="1">AVERAGE(OFFSET($AM$3,0,0,'Données projet'!$E$10+1,1))-AVERAGE(OFFSET($H$3,0,0,'Données projet'!$E$10+1,1))</f>
        <v>#N/A</v>
      </c>
      <c r="AO38" s="62" t="e">
        <f t="shared" si="36"/>
        <v>#N/A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 t="e">
        <f>EXP(-LN(2)/35)*AU37+(1-EXP(-LN(2)/35))/(LN(2)/35)*AQ38*AR38*VLOOKUP('Données projet'!$B$10,Paramètres!$A$1:$I$89,3,0)*0.475*44/12</f>
        <v>#N/A</v>
      </c>
      <c r="AV38" s="23" t="e">
        <f>EXP(-LN(2)/25)*AV37+(1-EXP(-LN(2)/25))/(LN(2)/25)*Calculateur!AQ38*Calculateur!AS38*VLOOKUP('Données projet'!$B$10,Paramètres!$A$1:$I$89,3,0)*0.475*44/12</f>
        <v>#N/A</v>
      </c>
      <c r="AW38" s="23" t="e">
        <f>EXP(-LN(2)/2)*AW37+(1-EXP(-LN(2)/2))/(LN(2)/2)*AQ38*AT38*VLOOKUP('Données projet'!$B$10,Paramètres!$A$1:$I$89,3,0)*0.475*44/12</f>
        <v>#N/A</v>
      </c>
      <c r="AX38" s="23" t="e">
        <f t="shared" si="6"/>
        <v>#N/A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2">
        <f t="shared" si="32"/>
        <v>6.9405537312613585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70">
        <f t="shared" si="1"/>
        <v>342.91606441528018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151.58413719376074</v>
      </c>
      <c r="T39" s="62">
        <f t="shared" si="34"/>
        <v>310.105543138185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87.732832651991401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33.248117998881781</v>
      </c>
      <c r="AC39" s="24">
        <f t="shared" si="3"/>
        <v>120.98095065087318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 t="e">
        <f>AI39*VLOOKUP('Données projet'!$B$10,Paramètres!$A$1:$I$89,3,0)*VLOOKUP('Données projet'!$B$10,Paramètres!$A$1:$I$89,5,0)</f>
        <v>#N/A</v>
      </c>
      <c r="AK39" s="14" t="e">
        <f t="shared" si="35"/>
        <v>#N/A</v>
      </c>
      <c r="AL39" s="22" t="e">
        <f t="shared" si="4"/>
        <v>#N/A</v>
      </c>
      <c r="AM39" s="62" t="e">
        <f t="shared" si="5"/>
        <v>#N/A</v>
      </c>
      <c r="AN39" s="62" t="e">
        <f ca="1">AVERAGE(OFFSET($AM$3,0,0,'Données projet'!$E$10+1,1))-AVERAGE(OFFSET($H$3,0,0,'Données projet'!$E$10+1,1))</f>
        <v>#N/A</v>
      </c>
      <c r="AO39" s="62" t="e">
        <f t="shared" si="36"/>
        <v>#N/A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 t="e">
        <f>EXP(-LN(2)/35)*AU38+(1-EXP(-LN(2)/35))/(LN(2)/35)*AQ39*AR39*VLOOKUP('Données projet'!$B$10,Paramètres!$A$1:$I$89,3,0)*0.475*44/12</f>
        <v>#N/A</v>
      </c>
      <c r="AV39" s="23" t="e">
        <f>EXP(-LN(2)/25)*AV38+(1-EXP(-LN(2)/25))/(LN(2)/25)*Calculateur!AQ39*Calculateur!AS39*VLOOKUP('Données projet'!$B$10,Paramètres!$A$1:$I$89,3,0)*0.475*44/12</f>
        <v>#N/A</v>
      </c>
      <c r="AW39" s="23" t="e">
        <f>EXP(-LN(2)/2)*AW38+(1-EXP(-LN(2)/2))/(LN(2)/2)*AQ39*AT39*VLOOKUP('Données projet'!$B$10,Paramètres!$A$1:$I$89,3,0)*0.475*44/12</f>
        <v>#N/A</v>
      </c>
      <c r="AX39" s="23" t="e">
        <f t="shared" si="6"/>
        <v>#N/A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2">
        <f t="shared" si="32"/>
        <v>7.1106331699901926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70">
        <f t="shared" si="1"/>
        <v>344.25380277106626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151.58413719376074</v>
      </c>
      <c r="T40" s="62">
        <f t="shared" si="34"/>
        <v>310.105543138185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86.012445315429929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23.509969698699813</v>
      </c>
      <c r="AC40" s="24">
        <f t="shared" si="3"/>
        <v>109.52241501412973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 t="e">
        <f>AI40*VLOOKUP('Données projet'!$B$10,Paramètres!$A$1:$I$89,3,0)*VLOOKUP('Données projet'!$B$10,Paramètres!$A$1:$I$89,5,0)</f>
        <v>#N/A</v>
      </c>
      <c r="AK40" s="14" t="e">
        <f t="shared" si="35"/>
        <v>#N/A</v>
      </c>
      <c r="AL40" s="22" t="e">
        <f t="shared" si="4"/>
        <v>#N/A</v>
      </c>
      <c r="AM40" s="62" t="e">
        <f t="shared" si="5"/>
        <v>#N/A</v>
      </c>
      <c r="AN40" s="62" t="e">
        <f ca="1">AVERAGE(OFFSET($AM$3,0,0,'Données projet'!$E$10+1,1))-AVERAGE(OFFSET($H$3,0,0,'Données projet'!$E$10+1,1))</f>
        <v>#N/A</v>
      </c>
      <c r="AO40" s="62" t="e">
        <f t="shared" si="36"/>
        <v>#N/A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 t="e">
        <f>EXP(-LN(2)/35)*AU39+(1-EXP(-LN(2)/35))/(LN(2)/35)*AQ40*AR40*VLOOKUP('Données projet'!$B$10,Paramètres!$A$1:$I$89,3,0)*0.475*44/12</f>
        <v>#N/A</v>
      </c>
      <c r="AV40" s="23" t="e">
        <f>EXP(-LN(2)/25)*AV39+(1-EXP(-LN(2)/25))/(LN(2)/25)*Calculateur!AQ40*Calculateur!AS40*VLOOKUP('Données projet'!$B$10,Paramètres!$A$1:$I$89,3,0)*0.475*44/12</f>
        <v>#N/A</v>
      </c>
      <c r="AW40" s="23" t="e">
        <f>EXP(-LN(2)/2)*AW39+(1-EXP(-LN(2)/2))/(LN(2)/2)*AQ40*AT40*VLOOKUP('Données projet'!$B$10,Paramètres!$A$1:$I$89,3,0)*0.475*44/12</f>
        <v>#N/A</v>
      </c>
      <c r="AX40" s="23" t="e">
        <f t="shared" si="6"/>
        <v>#N/A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2">
        <f t="shared" si="32"/>
        <v>7.2801783200166916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70">
        <f t="shared" si="1"/>
        <v>345.59061057402903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151.58413719376074</v>
      </c>
      <c r="T41" s="62">
        <f t="shared" si="34"/>
        <v>310.105543138185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84.325793725205756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16.624058999440891</v>
      </c>
      <c r="AC41" s="24">
        <f t="shared" si="3"/>
        <v>100.94985272464665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 t="e">
        <f>AI41*VLOOKUP('Données projet'!$B$10,Paramètres!$A$1:$I$89,3,0)*VLOOKUP('Données projet'!$B$10,Paramètres!$A$1:$I$89,5,0)</f>
        <v>#N/A</v>
      </c>
      <c r="AK41" s="14" t="e">
        <f t="shared" si="35"/>
        <v>#N/A</v>
      </c>
      <c r="AL41" s="22" t="e">
        <f t="shared" si="4"/>
        <v>#N/A</v>
      </c>
      <c r="AM41" s="62" t="e">
        <f t="shared" si="5"/>
        <v>#N/A</v>
      </c>
      <c r="AN41" s="62" t="e">
        <f ca="1">AVERAGE(OFFSET($AM$3,0,0,'Données projet'!$E$10+1,1))-AVERAGE(OFFSET($H$3,0,0,'Données projet'!$E$10+1,1))</f>
        <v>#N/A</v>
      </c>
      <c r="AO41" s="62" t="e">
        <f t="shared" si="36"/>
        <v>#N/A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 t="e">
        <f>EXP(-LN(2)/35)*AU40+(1-EXP(-LN(2)/35))/(LN(2)/35)*AQ41*AR41*VLOOKUP('Données projet'!$B$10,Paramètres!$A$1:$I$89,3,0)*0.475*44/12</f>
        <v>#N/A</v>
      </c>
      <c r="AV41" s="23" t="e">
        <f>EXP(-LN(2)/25)*AV40+(1-EXP(-LN(2)/25))/(LN(2)/25)*Calculateur!AQ41*Calculateur!AS41*VLOOKUP('Données projet'!$B$10,Paramètres!$A$1:$I$89,3,0)*0.475*44/12</f>
        <v>#N/A</v>
      </c>
      <c r="AW41" s="23" t="e">
        <f>EXP(-LN(2)/2)*AW40+(1-EXP(-LN(2)/2))/(LN(2)/2)*AQ41*AT41*VLOOKUP('Données projet'!$B$10,Paramètres!$A$1:$I$89,3,0)*0.475*44/12</f>
        <v>#N/A</v>
      </c>
      <c r="AX41" s="23" t="e">
        <f t="shared" si="6"/>
        <v>#N/A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2">
        <f t="shared" si="32"/>
        <v>7.4492048578268033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70">
        <f t="shared" si="1"/>
        <v>346.92651512738166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151.58413719376074</v>
      </c>
      <c r="T42" s="62">
        <f t="shared" si="34"/>
        <v>310.105543138185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82.672216343909994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11.754984849349906</v>
      </c>
      <c r="AC42" s="24">
        <f t="shared" si="3"/>
        <v>94.427201193259904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 t="e">
        <f>AI42*VLOOKUP('Données projet'!$B$10,Paramètres!$A$1:$I$89,3,0)*VLOOKUP('Données projet'!$B$10,Paramètres!$A$1:$I$89,5,0)</f>
        <v>#N/A</v>
      </c>
      <c r="AK42" s="14" t="e">
        <f t="shared" si="35"/>
        <v>#N/A</v>
      </c>
      <c r="AL42" s="22" t="e">
        <f t="shared" si="4"/>
        <v>#N/A</v>
      </c>
      <c r="AM42" s="62" t="e">
        <f t="shared" si="5"/>
        <v>#N/A</v>
      </c>
      <c r="AN42" s="62" t="e">
        <f ca="1">AVERAGE(OFFSET($AM$3,0,0,'Données projet'!$E$10+1,1))-AVERAGE(OFFSET($H$3,0,0,'Données projet'!$E$10+1,1))</f>
        <v>#N/A</v>
      </c>
      <c r="AO42" s="62" t="e">
        <f t="shared" si="36"/>
        <v>#N/A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 t="e">
        <f>EXP(-LN(2)/35)*AU41+(1-EXP(-LN(2)/35))/(LN(2)/35)*AQ42*AR42*VLOOKUP('Données projet'!$B$10,Paramètres!$A$1:$I$89,3,0)*0.475*44/12</f>
        <v>#N/A</v>
      </c>
      <c r="AV42" s="23" t="e">
        <f>EXP(-LN(2)/25)*AV41+(1-EXP(-LN(2)/25))/(LN(2)/25)*Calculateur!AQ42*Calculateur!AS42*VLOOKUP('Données projet'!$B$10,Paramètres!$A$1:$I$89,3,0)*0.475*44/12</f>
        <v>#N/A</v>
      </c>
      <c r="AW42" s="23" t="e">
        <f>EXP(-LN(2)/2)*AW41+(1-EXP(-LN(2)/2))/(LN(2)/2)*AQ42*AT42*VLOOKUP('Données projet'!$B$10,Paramètres!$A$1:$I$89,3,0)*0.475*44/12</f>
        <v>#N/A</v>
      </c>
      <c r="AX42" s="23" t="e">
        <f t="shared" si="6"/>
        <v>#N/A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2">
        <f t="shared" si="32"/>
        <v>7.6177276101832261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70">
        <f t="shared" si="1"/>
        <v>348.2615422544024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151.58413719376074</v>
      </c>
      <c r="T43" s="62">
        <f t="shared" si="34"/>
        <v>310.105543138185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81.051064606478832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8.3120294997204454</v>
      </c>
      <c r="AC43" s="24">
        <f t="shared" si="3"/>
        <v>89.36309410619927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 t="e">
        <f>AI43*VLOOKUP('Données projet'!$B$10,Paramètres!$A$1:$I$89,3,0)*VLOOKUP('Données projet'!$B$10,Paramètres!$A$1:$I$89,5,0)</f>
        <v>#N/A</v>
      </c>
      <c r="AK43" s="14" t="e">
        <f t="shared" si="35"/>
        <v>#N/A</v>
      </c>
      <c r="AL43" s="22" t="e">
        <f t="shared" si="4"/>
        <v>#N/A</v>
      </c>
      <c r="AM43" s="62" t="e">
        <f t="shared" si="5"/>
        <v>#N/A</v>
      </c>
      <c r="AN43" s="62" t="e">
        <f ca="1">AVERAGE(OFFSET($AM$3,0,0,'Données projet'!$E$10+1,1))-AVERAGE(OFFSET($H$3,0,0,'Données projet'!$E$10+1,1))</f>
        <v>#N/A</v>
      </c>
      <c r="AO43" s="62" t="e">
        <f t="shared" si="36"/>
        <v>#N/A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 t="e">
        <f>EXP(-LN(2)/35)*AU42+(1-EXP(-LN(2)/35))/(LN(2)/35)*AQ43*AR43*VLOOKUP('Données projet'!$B$10,Paramètres!$A$1:$I$89,3,0)*0.475*44/12</f>
        <v>#N/A</v>
      </c>
      <c r="AV43" s="23" t="e">
        <f>EXP(-LN(2)/25)*AV42+(1-EXP(-LN(2)/25))/(LN(2)/25)*Calculateur!AQ43*Calculateur!AS43*VLOOKUP('Données projet'!$B$10,Paramètres!$A$1:$I$89,3,0)*0.475*44/12</f>
        <v>#N/A</v>
      </c>
      <c r="AW43" s="23" t="e">
        <f>EXP(-LN(2)/2)*AW42+(1-EXP(-LN(2)/2))/(LN(2)/2)*AQ43*AT43*VLOOKUP('Données projet'!$B$10,Paramètres!$A$1:$I$89,3,0)*0.475*44/12</f>
        <v>#N/A</v>
      </c>
      <c r="AX43" s="23" t="e">
        <f t="shared" si="6"/>
        <v>#N/A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2">
        <f t="shared" si="32"/>
        <v>7.7857606202588796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70">
        <f t="shared" si="1"/>
        <v>349.59571641361754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151.58413719376074</v>
      </c>
      <c r="T44" s="62">
        <f t="shared" si="34"/>
        <v>310.105543138185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79.46170266581376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5.8774924246749531</v>
      </c>
      <c r="AC44" s="24">
        <f t="shared" si="3"/>
        <v>85.339195090488715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 t="e">
        <f>AI44*VLOOKUP('Données projet'!$B$10,Paramètres!$A$1:$I$89,3,0)*VLOOKUP('Données projet'!$B$10,Paramètres!$A$1:$I$89,5,0)</f>
        <v>#N/A</v>
      </c>
      <c r="AK44" s="14" t="e">
        <f t="shared" si="35"/>
        <v>#N/A</v>
      </c>
      <c r="AL44" s="22" t="e">
        <f t="shared" si="4"/>
        <v>#N/A</v>
      </c>
      <c r="AM44" s="62" t="e">
        <f t="shared" si="5"/>
        <v>#N/A</v>
      </c>
      <c r="AN44" s="62" t="e">
        <f ca="1">AVERAGE(OFFSET($AM$3,0,0,'Données projet'!$E$10+1,1))-AVERAGE(OFFSET($H$3,0,0,'Données projet'!$E$10+1,1))</f>
        <v>#N/A</v>
      </c>
      <c r="AO44" s="62" t="e">
        <f t="shared" si="36"/>
        <v>#N/A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 t="e">
        <f>EXP(-LN(2)/35)*AU43+(1-EXP(-LN(2)/35))/(LN(2)/35)*AQ44*AR44*VLOOKUP('Données projet'!$B$10,Paramètres!$A$1:$I$89,3,0)*0.475*44/12</f>
        <v>#N/A</v>
      </c>
      <c r="AV44" s="23" t="e">
        <f>EXP(-LN(2)/25)*AV43+(1-EXP(-LN(2)/25))/(LN(2)/25)*Calculateur!AQ44*Calculateur!AS44*VLOOKUP('Données projet'!$B$10,Paramètres!$A$1:$I$89,3,0)*0.475*44/12</f>
        <v>#N/A</v>
      </c>
      <c r="AW44" s="23" t="e">
        <f>EXP(-LN(2)/2)*AW43+(1-EXP(-LN(2)/2))/(LN(2)/2)*AQ44*AT44*VLOOKUP('Données projet'!$B$10,Paramètres!$A$1:$I$89,3,0)*0.475*44/12</f>
        <v>#N/A</v>
      </c>
      <c r="AX44" s="23" t="e">
        <f t="shared" si="6"/>
        <v>#N/A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2">
        <f t="shared" si="32"/>
        <v>7.9533172071366991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70">
        <f t="shared" si="1"/>
        <v>350.92906080242972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151.58413719376074</v>
      </c>
      <c r="T45" s="62">
        <f t="shared" si="34"/>
        <v>310.105543138185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77.903507143390073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4.1560147498602227</v>
      </c>
      <c r="AC45" s="24">
        <f t="shared" si="3"/>
        <v>82.059521893250292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 t="e">
        <f>AI45*VLOOKUP('Données projet'!$B$10,Paramètres!$A$1:$I$89,3,0)*VLOOKUP('Données projet'!$B$10,Paramètres!$A$1:$I$89,5,0)</f>
        <v>#N/A</v>
      </c>
      <c r="AK45" s="14" t="e">
        <f t="shared" si="35"/>
        <v>#N/A</v>
      </c>
      <c r="AL45" s="22" t="e">
        <f t="shared" si="4"/>
        <v>#N/A</v>
      </c>
      <c r="AM45" s="62" t="e">
        <f t="shared" si="5"/>
        <v>#N/A</v>
      </c>
      <c r="AN45" s="62" t="e">
        <f ca="1">AVERAGE(OFFSET($AM$3,0,0,'Données projet'!$E$10+1,1))-AVERAGE(OFFSET($H$3,0,0,'Données projet'!$E$10+1,1))</f>
        <v>#N/A</v>
      </c>
      <c r="AO45" s="62" t="e">
        <f t="shared" si="36"/>
        <v>#N/A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 t="e">
        <f>EXP(-LN(2)/35)*AU44+(1-EXP(-LN(2)/35))/(LN(2)/35)*AQ45*AR45*VLOOKUP('Données projet'!$B$10,Paramètres!$A$1:$I$89,3,0)*0.475*44/12</f>
        <v>#N/A</v>
      </c>
      <c r="AV45" s="23" t="e">
        <f>EXP(-LN(2)/25)*AV44+(1-EXP(-LN(2)/25))/(LN(2)/25)*Calculateur!AQ45*Calculateur!AS45*VLOOKUP('Données projet'!$B$10,Paramètres!$A$1:$I$89,3,0)*0.475*44/12</f>
        <v>#N/A</v>
      </c>
      <c r="AW45" s="23" t="e">
        <f>EXP(-LN(2)/2)*AW44+(1-EXP(-LN(2)/2))/(LN(2)/2)*AQ45*AT45*VLOOKUP('Données projet'!$B$10,Paramètres!$A$1:$I$89,3,0)*0.475*44/12</f>
        <v>#N/A</v>
      </c>
      <c r="AX45" s="23" t="e">
        <f t="shared" si="6"/>
        <v>#N/A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2">
        <f t="shared" si="32"/>
        <v>8.1204100194831259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70">
        <f t="shared" si="1"/>
        <v>352.26159745059977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151.58413719376074</v>
      </c>
      <c r="T46" s="62">
        <f t="shared" si="34"/>
        <v>310.105543138185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76.375866884755695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2.9387462123374766</v>
      </c>
      <c r="AC46" s="24">
        <f t="shared" si="3"/>
        <v>79.314613097093172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 t="e">
        <f>AI46*VLOOKUP('Données projet'!$B$10,Paramètres!$A$1:$I$89,3,0)*VLOOKUP('Données projet'!$B$10,Paramètres!$A$1:$I$89,5,0)</f>
        <v>#N/A</v>
      </c>
      <c r="AK46" s="14" t="e">
        <f t="shared" si="35"/>
        <v>#N/A</v>
      </c>
      <c r="AL46" s="22" t="e">
        <f t="shared" si="4"/>
        <v>#N/A</v>
      </c>
      <c r="AM46" s="62" t="e">
        <f t="shared" si="5"/>
        <v>#N/A</v>
      </c>
      <c r="AN46" s="62" t="e">
        <f ca="1">AVERAGE(OFFSET($AM$3,0,0,'Données projet'!$E$10+1,1))-AVERAGE(OFFSET($H$3,0,0,'Données projet'!$E$10+1,1))</f>
        <v>#N/A</v>
      </c>
      <c r="AO46" s="62" t="e">
        <f t="shared" si="36"/>
        <v>#N/A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 t="e">
        <f>EXP(-LN(2)/35)*AU45+(1-EXP(-LN(2)/35))/(LN(2)/35)*AQ46*AR46*VLOOKUP('Données projet'!$B$10,Paramètres!$A$1:$I$89,3,0)*0.475*44/12</f>
        <v>#N/A</v>
      </c>
      <c r="AV46" s="23" t="e">
        <f>EXP(-LN(2)/25)*AV45+(1-EXP(-LN(2)/25))/(LN(2)/25)*Calculateur!AQ46*Calculateur!AS46*VLOOKUP('Données projet'!$B$10,Paramètres!$A$1:$I$89,3,0)*0.475*44/12</f>
        <v>#N/A</v>
      </c>
      <c r="AW46" s="23" t="e">
        <f>EXP(-LN(2)/2)*AW45+(1-EXP(-LN(2)/2))/(LN(2)/2)*AQ46*AT46*VLOOKUP('Données projet'!$B$10,Paramètres!$A$1:$I$89,3,0)*0.475*44/12</f>
        <v>#N/A</v>
      </c>
      <c r="AX46" s="23" t="e">
        <f t="shared" si="6"/>
        <v>#N/A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2">
        <f t="shared" si="32"/>
        <v>8.2870510840880431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70">
        <f t="shared" si="1"/>
        <v>353.59334730478662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151.58413719376074</v>
      </c>
      <c r="T47" s="62">
        <f t="shared" si="34"/>
        <v>310.105543138185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74.878182719824579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2.0780073749301113</v>
      </c>
      <c r="AC47" s="24">
        <f t="shared" si="3"/>
        <v>76.956190094754689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 t="e">
        <f>AI47*VLOOKUP('Données projet'!$B$10,Paramètres!$A$1:$I$89,3,0)*VLOOKUP('Données projet'!$B$10,Paramètres!$A$1:$I$89,5,0)</f>
        <v>#N/A</v>
      </c>
      <c r="AK47" s="14" t="e">
        <f t="shared" si="35"/>
        <v>#N/A</v>
      </c>
      <c r="AL47" s="22" t="e">
        <f t="shared" si="4"/>
        <v>#N/A</v>
      </c>
      <c r="AM47" s="62" t="e">
        <f t="shared" si="5"/>
        <v>#N/A</v>
      </c>
      <c r="AN47" s="62" t="e">
        <f ca="1">AVERAGE(OFFSET($AM$3,0,0,'Données projet'!$E$10+1,1))-AVERAGE(OFFSET($H$3,0,0,'Données projet'!$E$10+1,1))</f>
        <v>#N/A</v>
      </c>
      <c r="AO47" s="62" t="e">
        <f t="shared" si="36"/>
        <v>#N/A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 t="e">
        <f>EXP(-LN(2)/35)*AU46+(1-EXP(-LN(2)/35))/(LN(2)/35)*AQ47*AR47*VLOOKUP('Données projet'!$B$10,Paramètres!$A$1:$I$89,3,0)*0.475*44/12</f>
        <v>#N/A</v>
      </c>
      <c r="AV47" s="23" t="e">
        <f>EXP(-LN(2)/25)*AV46+(1-EXP(-LN(2)/25))/(LN(2)/25)*Calculateur!AQ47*Calculateur!AS47*VLOOKUP('Données projet'!$B$10,Paramètres!$A$1:$I$89,3,0)*0.475*44/12</f>
        <v>#N/A</v>
      </c>
      <c r="AW47" s="23" t="e">
        <f>EXP(-LN(2)/2)*AW46+(1-EXP(-LN(2)/2))/(LN(2)/2)*AQ47*AT47*VLOOKUP('Données projet'!$B$10,Paramètres!$A$1:$I$89,3,0)*0.475*44/12</f>
        <v>#N/A</v>
      </c>
      <c r="AX47" s="23" t="e">
        <f t="shared" si="6"/>
        <v>#N/A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2">
        <f t="shared" si="32"/>
        <v>8.4532518498676339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70">
        <f t="shared" si="1"/>
        <v>354.92433030518612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151.58413719376074</v>
      </c>
      <c r="T48" s="62">
        <f t="shared" si="34"/>
        <v>310.105543138185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73.40986722787062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1.4693731061687383</v>
      </c>
      <c r="AC48" s="24">
        <f t="shared" si="3"/>
        <v>74.879240334039352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 t="e">
        <f>AI48*VLOOKUP('Données projet'!$B$10,Paramètres!$A$1:$I$89,3,0)*VLOOKUP('Données projet'!$B$10,Paramètres!$A$1:$I$89,5,0)</f>
        <v>#N/A</v>
      </c>
      <c r="AK48" s="14" t="e">
        <f t="shared" si="35"/>
        <v>#N/A</v>
      </c>
      <c r="AL48" s="22" t="e">
        <f t="shared" si="4"/>
        <v>#N/A</v>
      </c>
      <c r="AM48" s="62" t="e">
        <f t="shared" si="5"/>
        <v>#N/A</v>
      </c>
      <c r="AN48" s="62" t="e">
        <f ca="1">AVERAGE(OFFSET($AM$3,0,0,'Données projet'!$E$10+1,1))-AVERAGE(OFFSET($H$3,0,0,'Données projet'!$E$10+1,1))</f>
        <v>#N/A</v>
      </c>
      <c r="AO48" s="62" t="e">
        <f t="shared" si="36"/>
        <v>#N/A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 t="e">
        <f>EXP(-LN(2)/35)*AU47+(1-EXP(-LN(2)/35))/(LN(2)/35)*AQ48*AR48*VLOOKUP('Données projet'!$B$10,Paramètres!$A$1:$I$89,3,0)*0.475*44/12</f>
        <v>#N/A</v>
      </c>
      <c r="AV48" s="23" t="e">
        <f>EXP(-LN(2)/25)*AV47+(1-EXP(-LN(2)/25))/(LN(2)/25)*Calculateur!AQ48*Calculateur!AS48*VLOOKUP('Données projet'!$B$10,Paramètres!$A$1:$I$89,3,0)*0.475*44/12</f>
        <v>#N/A</v>
      </c>
      <c r="AW48" s="23" t="e">
        <f>EXP(-LN(2)/2)*AW47+(1-EXP(-LN(2)/2))/(LN(2)/2)*AQ48*AT48*VLOOKUP('Données projet'!$B$10,Paramètres!$A$1:$I$89,3,0)*0.475*44/12</f>
        <v>#N/A</v>
      </c>
      <c r="AX48" s="23" t="e">
        <f t="shared" si="6"/>
        <v>#N/A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2">
        <f t="shared" si="32"/>
        <v>8.6190232278455454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70">
        <f t="shared" si="1"/>
        <v>356.25456545516431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151.58413719376074</v>
      </c>
      <c r="T49" s="62">
        <f t="shared" si="34"/>
        <v>310.105543138185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71.970344507129866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1.0390036874650557</v>
      </c>
      <c r="AC49" s="24">
        <f t="shared" si="3"/>
        <v>73.009348194594921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 t="e">
        <f>AI49*VLOOKUP('Données projet'!$B$10,Paramètres!$A$1:$I$89,3,0)*VLOOKUP('Données projet'!$B$10,Paramètres!$A$1:$I$89,5,0)</f>
        <v>#N/A</v>
      </c>
      <c r="AK49" s="14" t="e">
        <f t="shared" si="35"/>
        <v>#N/A</v>
      </c>
      <c r="AL49" s="22" t="e">
        <f t="shared" si="4"/>
        <v>#N/A</v>
      </c>
      <c r="AM49" s="62" t="e">
        <f t="shared" si="5"/>
        <v>#N/A</v>
      </c>
      <c r="AN49" s="62" t="e">
        <f ca="1">AVERAGE(OFFSET($AM$3,0,0,'Données projet'!$E$10+1,1))-AVERAGE(OFFSET($H$3,0,0,'Données projet'!$E$10+1,1))</f>
        <v>#N/A</v>
      </c>
      <c r="AO49" s="62" t="e">
        <f t="shared" si="36"/>
        <v>#N/A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 t="e">
        <f>EXP(-LN(2)/35)*AU48+(1-EXP(-LN(2)/35))/(LN(2)/35)*AQ49*AR49*VLOOKUP('Données projet'!$B$10,Paramètres!$A$1:$I$89,3,0)*0.475*44/12</f>
        <v>#N/A</v>
      </c>
      <c r="AV49" s="23" t="e">
        <f>EXP(-LN(2)/25)*AV48+(1-EXP(-LN(2)/25))/(LN(2)/25)*Calculateur!AQ49*Calculateur!AS49*VLOOKUP('Données projet'!$B$10,Paramètres!$A$1:$I$89,3,0)*0.475*44/12</f>
        <v>#N/A</v>
      </c>
      <c r="AW49" s="23" t="e">
        <f>EXP(-LN(2)/2)*AW48+(1-EXP(-LN(2)/2))/(LN(2)/2)*AQ49*AT49*VLOOKUP('Données projet'!$B$10,Paramètres!$A$1:$I$89,3,0)*0.475*44/12</f>
        <v>#N/A</v>
      </c>
      <c r="AX49" s="23" t="e">
        <f t="shared" si="6"/>
        <v>#N/A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2">
        <f t="shared" si="32"/>
        <v>8.7843756275593741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70">
        <f t="shared" si="1"/>
        <v>357.58407088466589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151.58413719376074</v>
      </c>
      <c r="T50" s="62">
        <f t="shared" si="34"/>
        <v>310.105543138185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70.559049948920674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0.73468655308436914</v>
      </c>
      <c r="AC50" s="24">
        <f t="shared" si="3"/>
        <v>71.293736502005046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 t="e">
        <f>AI50*VLOOKUP('Données projet'!$B$10,Paramètres!$A$1:$I$89,3,0)*VLOOKUP('Données projet'!$B$10,Paramètres!$A$1:$I$89,5,0)</f>
        <v>#N/A</v>
      </c>
      <c r="AK50" s="14" t="e">
        <f t="shared" si="35"/>
        <v>#N/A</v>
      </c>
      <c r="AL50" s="22" t="e">
        <f t="shared" si="4"/>
        <v>#N/A</v>
      </c>
      <c r="AM50" s="62" t="e">
        <f t="shared" si="5"/>
        <v>#N/A</v>
      </c>
      <c r="AN50" s="62" t="e">
        <f ca="1">AVERAGE(OFFSET($AM$3,0,0,'Données projet'!$E$10+1,1))-AVERAGE(OFFSET($H$3,0,0,'Données projet'!$E$10+1,1))</f>
        <v>#N/A</v>
      </c>
      <c r="AO50" s="62" t="e">
        <f t="shared" si="36"/>
        <v>#N/A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 t="e">
        <f>EXP(-LN(2)/35)*AU49+(1-EXP(-LN(2)/35))/(LN(2)/35)*AQ50*AR50*VLOOKUP('Données projet'!$B$10,Paramètres!$A$1:$I$89,3,0)*0.475*44/12</f>
        <v>#N/A</v>
      </c>
      <c r="AV50" s="23" t="e">
        <f>EXP(-LN(2)/25)*AV49+(1-EXP(-LN(2)/25))/(LN(2)/25)*Calculateur!AQ50*Calculateur!AS50*VLOOKUP('Données projet'!$B$10,Paramètres!$A$1:$I$89,3,0)*0.475*44/12</f>
        <v>#N/A</v>
      </c>
      <c r="AW50" s="23" t="e">
        <f>EXP(-LN(2)/2)*AW49+(1-EXP(-LN(2)/2))/(LN(2)/2)*AQ50*AT50*VLOOKUP('Données projet'!$B$10,Paramètres!$A$1:$I$89,3,0)*0.475*44/12</f>
        <v>#N/A</v>
      </c>
      <c r="AX50" s="23" t="e">
        <f t="shared" si="6"/>
        <v>#N/A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2">
        <f t="shared" si="32"/>
        <v>8.9493189902812986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70">
        <f t="shared" si="1"/>
        <v>358.91286390807323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151.58413719376074</v>
      </c>
      <c r="T51" s="62">
        <f t="shared" si="34"/>
        <v>310.105543138185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69.175430016193275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0.51950184373252783</v>
      </c>
      <c r="AC51" s="24">
        <f t="shared" si="3"/>
        <v>69.694931859925802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 t="e">
        <f>AI51*VLOOKUP('Données projet'!$B$10,Paramètres!$A$1:$I$89,3,0)*VLOOKUP('Données projet'!$B$10,Paramètres!$A$1:$I$89,5,0)</f>
        <v>#N/A</v>
      </c>
      <c r="AK51" s="14" t="e">
        <f t="shared" si="35"/>
        <v>#N/A</v>
      </c>
      <c r="AL51" s="22" t="e">
        <f t="shared" si="4"/>
        <v>#N/A</v>
      </c>
      <c r="AM51" s="62" t="e">
        <f t="shared" si="5"/>
        <v>#N/A</v>
      </c>
      <c r="AN51" s="62" t="e">
        <f ca="1">AVERAGE(OFFSET($AM$3,0,0,'Données projet'!$E$10+1,1))-AVERAGE(OFFSET($H$3,0,0,'Données projet'!$E$10+1,1))</f>
        <v>#N/A</v>
      </c>
      <c r="AO51" s="62" t="e">
        <f t="shared" si="36"/>
        <v>#N/A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 t="e">
        <f>EXP(-LN(2)/35)*AU50+(1-EXP(-LN(2)/35))/(LN(2)/35)*AQ51*AR51*VLOOKUP('Données projet'!$B$10,Paramètres!$A$1:$I$89,3,0)*0.475*44/12</f>
        <v>#N/A</v>
      </c>
      <c r="AV51" s="23" t="e">
        <f>EXP(-LN(2)/25)*AV50+(1-EXP(-LN(2)/25))/(LN(2)/25)*Calculateur!AQ51*Calculateur!AS51*VLOOKUP('Données projet'!$B$10,Paramètres!$A$1:$I$89,3,0)*0.475*44/12</f>
        <v>#N/A</v>
      </c>
      <c r="AW51" s="23" t="e">
        <f>EXP(-LN(2)/2)*AW50+(1-EXP(-LN(2)/2))/(LN(2)/2)*AQ51*AT51*VLOOKUP('Données projet'!$B$10,Paramètres!$A$1:$I$89,3,0)*0.475*44/12</f>
        <v>#N/A</v>
      </c>
      <c r="AX51" s="23" t="e">
        <f t="shared" si="6"/>
        <v>#N/A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2">
        <f t="shared" si="32"/>
        <v>9.1138628193922067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70">
        <f t="shared" si="1"/>
        <v>360.24096107710801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151.58413719376074</v>
      </c>
      <c r="T52" s="62">
        <f t="shared" si="34"/>
        <v>310.105543138185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67.818942026421837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0.36734327654218457</v>
      </c>
      <c r="AC52" s="24">
        <f t="shared" si="3"/>
        <v>68.186285302964023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 t="e">
        <f>AI52*VLOOKUP('Données projet'!$B$10,Paramètres!$A$1:$I$89,3,0)*VLOOKUP('Données projet'!$B$10,Paramètres!$A$1:$I$89,5,0)</f>
        <v>#N/A</v>
      </c>
      <c r="AK52" s="14" t="e">
        <f t="shared" si="35"/>
        <v>#N/A</v>
      </c>
      <c r="AL52" s="22" t="e">
        <f t="shared" si="4"/>
        <v>#N/A</v>
      </c>
      <c r="AM52" s="62" t="e">
        <f t="shared" si="5"/>
        <v>#N/A</v>
      </c>
      <c r="AN52" s="62" t="e">
        <f ca="1">AVERAGE(OFFSET($AM$3,0,0,'Données projet'!$E$10+1,1))-AVERAGE(OFFSET($H$3,0,0,'Données projet'!$E$10+1,1))</f>
        <v>#N/A</v>
      </c>
      <c r="AO52" s="62" t="e">
        <f t="shared" si="36"/>
        <v>#N/A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 t="e">
        <f>EXP(-LN(2)/35)*AU51+(1-EXP(-LN(2)/35))/(LN(2)/35)*AQ52*AR52*VLOOKUP('Données projet'!$B$10,Paramètres!$A$1:$I$89,3,0)*0.475*44/12</f>
        <v>#N/A</v>
      </c>
      <c r="AV52" s="23" t="e">
        <f>EXP(-LN(2)/25)*AV51+(1-EXP(-LN(2)/25))/(LN(2)/25)*Calculateur!AQ52*Calculateur!AS52*VLOOKUP('Données projet'!$B$10,Paramètres!$A$1:$I$89,3,0)*0.475*44/12</f>
        <v>#N/A</v>
      </c>
      <c r="AW52" s="23" t="e">
        <f>EXP(-LN(2)/2)*AW51+(1-EXP(-LN(2)/2))/(LN(2)/2)*AQ52*AT52*VLOOKUP('Données projet'!$B$10,Paramètres!$A$1:$I$89,3,0)*0.475*44/12</f>
        <v>#N/A</v>
      </c>
      <c r="AX52" s="23" t="e">
        <f t="shared" si="6"/>
        <v>#N/A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2">
        <f t="shared" si="32"/>
        <v>9.2780162082062319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70">
        <f t="shared" si="1"/>
        <v>361.56837822929248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151.58413719376074</v>
      </c>
      <c r="T53" s="62">
        <f t="shared" si="34"/>
        <v>310.105543138185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66.489053938753841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0.25975092186626392</v>
      </c>
      <c r="AC53" s="24">
        <f t="shared" si="3"/>
        <v>66.748804860620112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 t="e">
        <f>AI53*VLOOKUP('Données projet'!$B$10,Paramètres!$A$1:$I$89,3,0)*VLOOKUP('Données projet'!$B$10,Paramètres!$A$1:$I$89,5,0)</f>
        <v>#N/A</v>
      </c>
      <c r="AK53" s="14" t="e">
        <f t="shared" si="35"/>
        <v>#N/A</v>
      </c>
      <c r="AL53" s="22" t="e">
        <f t="shared" si="4"/>
        <v>#N/A</v>
      </c>
      <c r="AM53" s="62" t="e">
        <f t="shared" si="5"/>
        <v>#N/A</v>
      </c>
      <c r="AN53" s="62" t="e">
        <f ca="1">AVERAGE(OFFSET($AM$3,0,0,'Données projet'!$E$10+1,1))-AVERAGE(OFFSET($H$3,0,0,'Données projet'!$E$10+1,1))</f>
        <v>#N/A</v>
      </c>
      <c r="AO53" s="62" t="e">
        <f t="shared" si="36"/>
        <v>#N/A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 t="e">
        <f>EXP(-LN(2)/35)*AU52+(1-EXP(-LN(2)/35))/(LN(2)/35)*AQ53*AR53*VLOOKUP('Données projet'!$B$10,Paramètres!$A$1:$I$89,3,0)*0.475*44/12</f>
        <v>#N/A</v>
      </c>
      <c r="AV53" s="23" t="e">
        <f>EXP(-LN(2)/25)*AV52+(1-EXP(-LN(2)/25))/(LN(2)/25)*Calculateur!AQ53*Calculateur!AS53*VLOOKUP('Données projet'!$B$10,Paramètres!$A$1:$I$89,3,0)*0.475*44/12</f>
        <v>#N/A</v>
      </c>
      <c r="AW53" s="23" t="e">
        <f>EXP(-LN(2)/2)*AW52+(1-EXP(-LN(2)/2))/(LN(2)/2)*AQ53*AT53*VLOOKUP('Données projet'!$B$10,Paramètres!$A$1:$I$89,3,0)*0.475*44/12</f>
        <v>#N/A</v>
      </c>
      <c r="AX53" s="23" t="e">
        <f t="shared" si="6"/>
        <v>#N/A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2">
        <f t="shared" si="32"/>
        <v>9.4417878655064946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70">
        <f t="shared" si="1"/>
        <v>362.89513053242376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151.58413719376074</v>
      </c>
      <c r="T54" s="62">
        <f t="shared" si="34"/>
        <v>310.105543138185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65.185244145333371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0.18367163827109229</v>
      </c>
      <c r="AC54" s="24">
        <f t="shared" si="3"/>
        <v>65.368915783604464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 t="e">
        <f>AI54*VLOOKUP('Données projet'!$B$10,Paramètres!$A$1:$I$89,3,0)*VLOOKUP('Données projet'!$B$10,Paramètres!$A$1:$I$89,5,0)</f>
        <v>#N/A</v>
      </c>
      <c r="AK54" s="14" t="e">
        <f t="shared" si="35"/>
        <v>#N/A</v>
      </c>
      <c r="AL54" s="22" t="e">
        <f t="shared" si="4"/>
        <v>#N/A</v>
      </c>
      <c r="AM54" s="62" t="e">
        <f t="shared" si="5"/>
        <v>#N/A</v>
      </c>
      <c r="AN54" s="62" t="e">
        <f ca="1">AVERAGE(OFFSET($AM$3,0,0,'Données projet'!$E$10+1,1))-AVERAGE(OFFSET($H$3,0,0,'Données projet'!$E$10+1,1))</f>
        <v>#N/A</v>
      </c>
      <c r="AO54" s="62" t="e">
        <f t="shared" si="36"/>
        <v>#N/A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 t="e">
        <f>EXP(-LN(2)/35)*AU53+(1-EXP(-LN(2)/35))/(LN(2)/35)*AQ54*AR54*VLOOKUP('Données projet'!$B$10,Paramètres!$A$1:$I$89,3,0)*0.475*44/12</f>
        <v>#N/A</v>
      </c>
      <c r="AV54" s="23" t="e">
        <f>EXP(-LN(2)/25)*AV53+(1-EXP(-LN(2)/25))/(LN(2)/25)*Calculateur!AQ54*Calculateur!AS54*VLOOKUP('Données projet'!$B$10,Paramètres!$A$1:$I$89,3,0)*0.475*44/12</f>
        <v>#N/A</v>
      </c>
      <c r="AW54" s="23" t="e">
        <f>EXP(-LN(2)/2)*AW53+(1-EXP(-LN(2)/2))/(LN(2)/2)*AQ54*AT54*VLOOKUP('Données projet'!$B$10,Paramètres!$A$1:$I$89,3,0)*0.475*44/12</f>
        <v>#N/A</v>
      </c>
      <c r="AX54" s="23" t="e">
        <f t="shared" si="6"/>
        <v>#N/A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2">
        <f t="shared" si="32"/>
        <v>9.6051861390214377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70">
        <f t="shared" si="1"/>
        <v>364.22123252546226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151.58413719376074</v>
      </c>
      <c r="T55" s="62">
        <f t="shared" si="34"/>
        <v>310.105543138185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63.907001266716428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0.12987546093313196</v>
      </c>
      <c r="AC55" s="24">
        <f t="shared" si="3"/>
        <v>64.036876727649556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 t="e">
        <f>AI55*VLOOKUP('Données projet'!$B$10,Paramètres!$A$1:$I$89,3,0)*VLOOKUP('Données projet'!$B$10,Paramètres!$A$1:$I$89,5,0)</f>
        <v>#N/A</v>
      </c>
      <c r="AK55" s="14" t="e">
        <f t="shared" si="35"/>
        <v>#N/A</v>
      </c>
      <c r="AL55" s="22" t="e">
        <f t="shared" si="4"/>
        <v>#N/A</v>
      </c>
      <c r="AM55" s="62" t="e">
        <f t="shared" si="5"/>
        <v>#N/A</v>
      </c>
      <c r="AN55" s="62" t="e">
        <f ca="1">AVERAGE(OFFSET($AM$3,0,0,'Données projet'!$E$10+1,1))-AVERAGE(OFFSET($H$3,0,0,'Données projet'!$E$10+1,1))</f>
        <v>#N/A</v>
      </c>
      <c r="AO55" s="62" t="e">
        <f t="shared" si="36"/>
        <v>#N/A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 t="e">
        <f>EXP(-LN(2)/35)*AU54+(1-EXP(-LN(2)/35))/(LN(2)/35)*AQ55*AR55*VLOOKUP('Données projet'!$B$10,Paramètres!$A$1:$I$89,3,0)*0.475*44/12</f>
        <v>#N/A</v>
      </c>
      <c r="AV55" s="23" t="e">
        <f>EXP(-LN(2)/25)*AV54+(1-EXP(-LN(2)/25))/(LN(2)/25)*Calculateur!AQ55*Calculateur!AS55*VLOOKUP('Données projet'!$B$10,Paramètres!$A$1:$I$89,3,0)*0.475*44/12</f>
        <v>#N/A</v>
      </c>
      <c r="AW55" s="23" t="e">
        <f>EXP(-LN(2)/2)*AW54+(1-EXP(-LN(2)/2))/(LN(2)/2)*AQ55*AT55*VLOOKUP('Données projet'!$B$10,Paramètres!$A$1:$I$89,3,0)*0.475*44/12</f>
        <v>#N/A</v>
      </c>
      <c r="AX55" s="23" t="e">
        <f t="shared" si="6"/>
        <v>#N/A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2">
        <f t="shared" si="32"/>
        <v>9.768219037044215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70">
        <f t="shared" si="1"/>
        <v>365.54669815618524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151.58413719376074</v>
      </c>
      <c r="T56" s="62">
        <f t="shared" si="34"/>
        <v>310.105543138185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62.653823951297994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9.1835819135546143E-2</v>
      </c>
      <c r="AC56" s="24">
        <f t="shared" si="3"/>
        <v>62.745659770433541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 t="e">
        <f>AI56*VLOOKUP('Données projet'!$B$10,Paramètres!$A$1:$I$89,3,0)*VLOOKUP('Données projet'!$B$10,Paramètres!$A$1:$I$89,5,0)</f>
        <v>#N/A</v>
      </c>
      <c r="AK56" s="14" t="e">
        <f t="shared" si="35"/>
        <v>#N/A</v>
      </c>
      <c r="AL56" s="22" t="e">
        <f t="shared" si="4"/>
        <v>#N/A</v>
      </c>
      <c r="AM56" s="62" t="e">
        <f t="shared" si="5"/>
        <v>#N/A</v>
      </c>
      <c r="AN56" s="62" t="e">
        <f ca="1">AVERAGE(OFFSET($AM$3,0,0,'Données projet'!$E$10+1,1))-AVERAGE(OFFSET($H$3,0,0,'Données projet'!$E$10+1,1))</f>
        <v>#N/A</v>
      </c>
      <c r="AO56" s="62" t="e">
        <f t="shared" si="36"/>
        <v>#N/A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 t="e">
        <f>EXP(-LN(2)/35)*AU55+(1-EXP(-LN(2)/35))/(LN(2)/35)*AQ56*AR56*VLOOKUP('Données projet'!$B$10,Paramètres!$A$1:$I$89,3,0)*0.475*44/12</f>
        <v>#N/A</v>
      </c>
      <c r="AV56" s="23" t="e">
        <f>EXP(-LN(2)/25)*AV55+(1-EXP(-LN(2)/25))/(LN(2)/25)*Calculateur!AQ56*Calculateur!AS56*VLOOKUP('Données projet'!$B$10,Paramètres!$A$1:$I$89,3,0)*0.475*44/12</f>
        <v>#N/A</v>
      </c>
      <c r="AW56" s="23" t="e">
        <f>EXP(-LN(2)/2)*AW55+(1-EXP(-LN(2)/2))/(LN(2)/2)*AQ56*AT56*VLOOKUP('Données projet'!$B$10,Paramètres!$A$1:$I$89,3,0)*0.475*44/12</f>
        <v>#N/A</v>
      </c>
      <c r="AX56" s="23" t="e">
        <f t="shared" si="6"/>
        <v>#N/A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2">
        <f t="shared" si="32"/>
        <v>9.9308942483743348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70">
        <f t="shared" si="1"/>
        <v>366.87154081591859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151.58413719376074</v>
      </c>
      <c r="T57" s="62">
        <f t="shared" si="34"/>
        <v>310.105543138185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61.425220678672225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6.4937730466565979E-2</v>
      </c>
      <c r="AC57" s="24">
        <f t="shared" si="3"/>
        <v>61.490158409138793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 t="e">
        <f>AI57*VLOOKUP('Données projet'!$B$10,Paramètres!$A$1:$I$89,3,0)*VLOOKUP('Données projet'!$B$10,Paramètres!$A$1:$I$89,5,0)</f>
        <v>#N/A</v>
      </c>
      <c r="AK57" s="14" t="e">
        <f t="shared" si="35"/>
        <v>#N/A</v>
      </c>
      <c r="AL57" s="22" t="e">
        <f t="shared" si="4"/>
        <v>#N/A</v>
      </c>
      <c r="AM57" s="62" t="e">
        <f t="shared" si="5"/>
        <v>#N/A</v>
      </c>
      <c r="AN57" s="62" t="e">
        <f ca="1">AVERAGE(OFFSET($AM$3,0,0,'Données projet'!$E$10+1,1))-AVERAGE(OFFSET($H$3,0,0,'Données projet'!$E$10+1,1))</f>
        <v>#N/A</v>
      </c>
      <c r="AO57" s="62" t="e">
        <f t="shared" si="36"/>
        <v>#N/A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 t="e">
        <f>EXP(-LN(2)/35)*AU56+(1-EXP(-LN(2)/35))/(LN(2)/35)*AQ57*AR57*VLOOKUP('Données projet'!$B$10,Paramètres!$A$1:$I$89,3,0)*0.475*44/12</f>
        <v>#N/A</v>
      </c>
      <c r="AV57" s="23" t="e">
        <f>EXP(-LN(2)/25)*AV56+(1-EXP(-LN(2)/25))/(LN(2)/25)*Calculateur!AQ57*Calculateur!AS57*VLOOKUP('Données projet'!$B$10,Paramètres!$A$1:$I$89,3,0)*0.475*44/12</f>
        <v>#N/A</v>
      </c>
      <c r="AW57" s="23" t="e">
        <f>EXP(-LN(2)/2)*AW56+(1-EXP(-LN(2)/2))/(LN(2)/2)*AQ57*AT57*VLOOKUP('Données projet'!$B$10,Paramètres!$A$1:$I$89,3,0)*0.475*44/12</f>
        <v>#N/A</v>
      </c>
      <c r="AX57" s="23" t="e">
        <f t="shared" si="6"/>
        <v>#N/A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2">
        <f t="shared" si="32"/>
        <v>10.093219160740317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70">
        <f t="shared" si="1"/>
        <v>368.19577337162264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151.58413719376074</v>
      </c>
      <c r="T58" s="62">
        <f t="shared" si="34"/>
        <v>310.105543138185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60.220709566848647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4.5917909567773071E-2</v>
      </c>
      <c r="AC58" s="24">
        <f t="shared" si="3"/>
        <v>60.266627476416417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 t="e">
        <f>AI58*VLOOKUP('Données projet'!$B$10,Paramètres!$A$1:$I$89,3,0)*VLOOKUP('Données projet'!$B$10,Paramètres!$A$1:$I$89,5,0)</f>
        <v>#N/A</v>
      </c>
      <c r="AK58" s="14" t="e">
        <f t="shared" si="35"/>
        <v>#N/A</v>
      </c>
      <c r="AL58" s="22" t="e">
        <f t="shared" si="4"/>
        <v>#N/A</v>
      </c>
      <c r="AM58" s="62" t="e">
        <f t="shared" si="5"/>
        <v>#N/A</v>
      </c>
      <c r="AN58" s="62" t="e">
        <f ca="1">AVERAGE(OFFSET($AM$3,0,0,'Données projet'!$E$10+1,1))-AVERAGE(OFFSET($H$3,0,0,'Données projet'!$E$10+1,1))</f>
        <v>#N/A</v>
      </c>
      <c r="AO58" s="62" t="e">
        <f t="shared" si="36"/>
        <v>#N/A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 t="e">
        <f>EXP(-LN(2)/35)*AU57+(1-EXP(-LN(2)/35))/(LN(2)/35)*AQ58*AR58*VLOOKUP('Données projet'!$B$10,Paramètres!$A$1:$I$89,3,0)*0.475*44/12</f>
        <v>#N/A</v>
      </c>
      <c r="AV58" s="23" t="e">
        <f>EXP(-LN(2)/25)*AV57+(1-EXP(-LN(2)/25))/(LN(2)/25)*Calculateur!AQ58*Calculateur!AS58*VLOOKUP('Données projet'!$B$10,Paramètres!$A$1:$I$89,3,0)*0.475*44/12</f>
        <v>#N/A</v>
      </c>
      <c r="AW58" s="23" t="e">
        <f>EXP(-LN(2)/2)*AW57+(1-EXP(-LN(2)/2))/(LN(2)/2)*AQ58*AT58*VLOOKUP('Données projet'!$B$10,Paramètres!$A$1:$I$89,3,0)*0.475*44/12</f>
        <v>#N/A</v>
      </c>
      <c r="AX58" s="23" t="e">
        <f t="shared" si="6"/>
        <v>#N/A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2">
        <f t="shared" si="32"/>
        <v>10.255200877844658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70">
        <f t="shared" si="1"/>
        <v>369.51940819557939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151.58413719376074</v>
      </c>
      <c r="T59" s="62">
        <f t="shared" si="34"/>
        <v>310.105543138185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59.039818183248698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3.246886523328299E-2</v>
      </c>
      <c r="AC59" s="24">
        <f t="shared" si="3"/>
        <v>59.072287048481982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 t="e">
        <f>AI59*VLOOKUP('Données projet'!$B$10,Paramètres!$A$1:$I$89,3,0)*VLOOKUP('Données projet'!$B$10,Paramètres!$A$1:$I$89,5,0)</f>
        <v>#N/A</v>
      </c>
      <c r="AK59" s="14" t="e">
        <f t="shared" si="35"/>
        <v>#N/A</v>
      </c>
      <c r="AL59" s="22" t="e">
        <f t="shared" si="4"/>
        <v>#N/A</v>
      </c>
      <c r="AM59" s="62" t="e">
        <f t="shared" si="5"/>
        <v>#N/A</v>
      </c>
      <c r="AN59" s="62" t="e">
        <f ca="1">AVERAGE(OFFSET($AM$3,0,0,'Données projet'!$E$10+1,1))-AVERAGE(OFFSET($H$3,0,0,'Données projet'!$E$10+1,1))</f>
        <v>#N/A</v>
      </c>
      <c r="AO59" s="62" t="e">
        <f t="shared" si="36"/>
        <v>#N/A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 t="e">
        <f>EXP(-LN(2)/35)*AU58+(1-EXP(-LN(2)/35))/(LN(2)/35)*AQ59*AR59*VLOOKUP('Données projet'!$B$10,Paramètres!$A$1:$I$89,3,0)*0.475*44/12</f>
        <v>#N/A</v>
      </c>
      <c r="AV59" s="23" t="e">
        <f>EXP(-LN(2)/25)*AV58+(1-EXP(-LN(2)/25))/(LN(2)/25)*Calculateur!AQ59*Calculateur!AS59*VLOOKUP('Données projet'!$B$10,Paramètres!$A$1:$I$89,3,0)*0.475*44/12</f>
        <v>#N/A</v>
      </c>
      <c r="AW59" s="23" t="e">
        <f>EXP(-LN(2)/2)*AW58+(1-EXP(-LN(2)/2))/(LN(2)/2)*AQ59*AT59*VLOOKUP('Données projet'!$B$10,Paramètres!$A$1:$I$89,3,0)*0.475*44/12</f>
        <v>#N/A</v>
      </c>
      <c r="AX59" s="23" t="e">
        <f t="shared" si="6"/>
        <v>#N/A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2">
        <f t="shared" si="32"/>
        <v>10.41684623515679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70">
        <f t="shared" si="1"/>
        <v>370.842457192898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151.58413719376074</v>
      </c>
      <c r="T60" s="62">
        <f t="shared" si="34"/>
        <v>310.105543138185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57.882083359408519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2.2958954783886536E-2</v>
      </c>
      <c r="AC60" s="24">
        <f t="shared" si="3"/>
        <v>57.905042314192407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 t="e">
        <f>AI60*VLOOKUP('Données projet'!$B$10,Paramètres!$A$1:$I$89,3,0)*VLOOKUP('Données projet'!$B$10,Paramètres!$A$1:$I$89,5,0)</f>
        <v>#N/A</v>
      </c>
      <c r="AK60" s="14" t="e">
        <f t="shared" si="35"/>
        <v>#N/A</v>
      </c>
      <c r="AL60" s="22" t="e">
        <f t="shared" si="4"/>
        <v>#N/A</v>
      </c>
      <c r="AM60" s="62" t="e">
        <f t="shared" si="5"/>
        <v>#N/A</v>
      </c>
      <c r="AN60" s="62" t="e">
        <f ca="1">AVERAGE(OFFSET($AM$3,0,0,'Données projet'!$E$10+1,1))-AVERAGE(OFFSET($H$3,0,0,'Données projet'!$E$10+1,1))</f>
        <v>#N/A</v>
      </c>
      <c r="AO60" s="62" t="e">
        <f t="shared" si="36"/>
        <v>#N/A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 t="e">
        <f>EXP(-LN(2)/35)*AU59+(1-EXP(-LN(2)/35))/(LN(2)/35)*AQ60*AR60*VLOOKUP('Données projet'!$B$10,Paramètres!$A$1:$I$89,3,0)*0.475*44/12</f>
        <v>#N/A</v>
      </c>
      <c r="AV60" s="23" t="e">
        <f>EXP(-LN(2)/25)*AV59+(1-EXP(-LN(2)/25))/(LN(2)/25)*Calculateur!AQ60*Calculateur!AS60*VLOOKUP('Données projet'!$B$10,Paramètres!$A$1:$I$89,3,0)*0.475*44/12</f>
        <v>#N/A</v>
      </c>
      <c r="AW60" s="23" t="e">
        <f>EXP(-LN(2)/2)*AW59+(1-EXP(-LN(2)/2))/(LN(2)/2)*AQ60*AT60*VLOOKUP('Données projet'!$B$10,Paramètres!$A$1:$I$89,3,0)*0.475*44/12</f>
        <v>#N/A</v>
      </c>
      <c r="AX60" s="23" t="e">
        <f t="shared" si="6"/>
        <v>#N/A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2">
        <f t="shared" si="32"/>
        <v>10.578161814566396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70">
        <f t="shared" si="1"/>
        <v>372.16493182703641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151.58413719376074</v>
      </c>
      <c r="T61" s="62">
        <f t="shared" si="34"/>
        <v>310.105543138185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56.747051009315328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1.6234432616641495E-2</v>
      </c>
      <c r="AC61" s="24">
        <f t="shared" si="3"/>
        <v>56.76328544193197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 t="e">
        <f>AI61*VLOOKUP('Données projet'!$B$10,Paramètres!$A$1:$I$89,3,0)*VLOOKUP('Données projet'!$B$10,Paramètres!$A$1:$I$89,5,0)</f>
        <v>#N/A</v>
      </c>
      <c r="AK61" s="14" t="e">
        <f t="shared" si="35"/>
        <v>#N/A</v>
      </c>
      <c r="AL61" s="22" t="e">
        <f t="shared" si="4"/>
        <v>#N/A</v>
      </c>
      <c r="AM61" s="62" t="e">
        <f t="shared" si="5"/>
        <v>#N/A</v>
      </c>
      <c r="AN61" s="62" t="e">
        <f ca="1">AVERAGE(OFFSET($AM$3,0,0,'Données projet'!$E$10+1,1))-AVERAGE(OFFSET($H$3,0,0,'Données projet'!$E$10+1,1))</f>
        <v>#N/A</v>
      </c>
      <c r="AO61" s="62" t="e">
        <f t="shared" si="36"/>
        <v>#N/A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 t="e">
        <f>EXP(-LN(2)/35)*AU60+(1-EXP(-LN(2)/35))/(LN(2)/35)*AQ61*AR61*VLOOKUP('Données projet'!$B$10,Paramètres!$A$1:$I$89,3,0)*0.475*44/12</f>
        <v>#N/A</v>
      </c>
      <c r="AV61" s="23" t="e">
        <f>EXP(-LN(2)/25)*AV60+(1-EXP(-LN(2)/25))/(LN(2)/25)*Calculateur!AQ61*Calculateur!AS61*VLOOKUP('Données projet'!$B$10,Paramètres!$A$1:$I$89,3,0)*0.475*44/12</f>
        <v>#N/A</v>
      </c>
      <c r="AW61" s="23" t="e">
        <f>EXP(-LN(2)/2)*AW60+(1-EXP(-LN(2)/2))/(LN(2)/2)*AQ61*AT61*VLOOKUP('Données projet'!$B$10,Paramètres!$A$1:$I$89,3,0)*0.475*44/12</f>
        <v>#N/A</v>
      </c>
      <c r="AX61" s="23" t="e">
        <f t="shared" si="6"/>
        <v>#N/A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2">
        <f t="shared" si="32"/>
        <v>10.739153957997569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70">
        <f t="shared" si="1"/>
        <v>373.48684314351237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151.58413719376074</v>
      </c>
      <c r="T62" s="62">
        <f t="shared" si="34"/>
        <v>310.105543138185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55.634275951306094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1.1479477391943268E-2</v>
      </c>
      <c r="AC62" s="24">
        <f t="shared" si="3"/>
        <v>55.645755428698038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 t="e">
        <f>AI62*VLOOKUP('Données projet'!$B$10,Paramètres!$A$1:$I$89,3,0)*VLOOKUP('Données projet'!$B$10,Paramètres!$A$1:$I$89,5,0)</f>
        <v>#N/A</v>
      </c>
      <c r="AK62" s="14" t="e">
        <f t="shared" si="35"/>
        <v>#N/A</v>
      </c>
      <c r="AL62" s="22" t="e">
        <f t="shared" si="4"/>
        <v>#N/A</v>
      </c>
      <c r="AM62" s="62" t="e">
        <f t="shared" si="5"/>
        <v>#N/A</v>
      </c>
      <c r="AN62" s="62" t="e">
        <f ca="1">AVERAGE(OFFSET($AM$3,0,0,'Données projet'!$E$10+1,1))-AVERAGE(OFFSET($H$3,0,0,'Données projet'!$E$10+1,1))</f>
        <v>#N/A</v>
      </c>
      <c r="AO62" s="62" t="e">
        <f t="shared" si="36"/>
        <v>#N/A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 t="e">
        <f>EXP(-LN(2)/35)*AU61+(1-EXP(-LN(2)/35))/(LN(2)/35)*AQ62*AR62*VLOOKUP('Données projet'!$B$10,Paramètres!$A$1:$I$89,3,0)*0.475*44/12</f>
        <v>#N/A</v>
      </c>
      <c r="AV62" s="23" t="e">
        <f>EXP(-LN(2)/25)*AV61+(1-EXP(-LN(2)/25))/(LN(2)/25)*Calculateur!AQ62*Calculateur!AS62*VLOOKUP('Données projet'!$B$10,Paramètres!$A$1:$I$89,3,0)*0.475*44/12</f>
        <v>#N/A</v>
      </c>
      <c r="AW62" s="23" t="e">
        <f>EXP(-LN(2)/2)*AW61+(1-EXP(-LN(2)/2))/(LN(2)/2)*AQ62*AT62*VLOOKUP('Données projet'!$B$10,Paramètres!$A$1:$I$89,3,0)*0.475*44/12</f>
        <v>#N/A</v>
      </c>
      <c r="AX62" s="23" t="e">
        <f t="shared" si="6"/>
        <v>#N/A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2">
        <f t="shared" si="32"/>
        <v>10.89982878007377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70">
        <f t="shared" si="1"/>
        <v>374.80820179196172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151.58413719376074</v>
      </c>
      <c r="T63" s="62">
        <f t="shared" si="34"/>
        <v>310.105543138185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54.543321733458654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8.1172163083207474E-3</v>
      </c>
      <c r="AC63" s="24">
        <f t="shared" si="3"/>
        <v>54.551438949766975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 t="e">
        <f>AI63*VLOOKUP('Données projet'!$B$10,Paramètres!$A$1:$I$89,3,0)*VLOOKUP('Données projet'!$B$10,Paramètres!$A$1:$I$89,5,0)</f>
        <v>#N/A</v>
      </c>
      <c r="AK63" s="14" t="e">
        <f t="shared" si="35"/>
        <v>#N/A</v>
      </c>
      <c r="AL63" s="22" t="e">
        <f t="shared" si="4"/>
        <v>#N/A</v>
      </c>
      <c r="AM63" s="62" t="e">
        <f t="shared" si="5"/>
        <v>#N/A</v>
      </c>
      <c r="AN63" s="62" t="e">
        <f ca="1">AVERAGE(OFFSET($AM$3,0,0,'Données projet'!$E$10+1,1))-AVERAGE(OFFSET($H$3,0,0,'Données projet'!$E$10+1,1))</f>
        <v>#N/A</v>
      </c>
      <c r="AO63" s="62" t="e">
        <f t="shared" si="36"/>
        <v>#N/A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 t="e">
        <f>EXP(-LN(2)/35)*AU62+(1-EXP(-LN(2)/35))/(LN(2)/35)*AQ63*AR63*VLOOKUP('Données projet'!$B$10,Paramètres!$A$1:$I$89,3,0)*0.475*44/12</f>
        <v>#N/A</v>
      </c>
      <c r="AV63" s="23" t="e">
        <f>EXP(-LN(2)/25)*AV62+(1-EXP(-LN(2)/25))/(LN(2)/25)*Calculateur!AQ63*Calculateur!AS63*VLOOKUP('Données projet'!$B$10,Paramètres!$A$1:$I$89,3,0)*0.475*44/12</f>
        <v>#N/A</v>
      </c>
      <c r="AW63" s="23" t="e">
        <f>EXP(-LN(2)/2)*AW62+(1-EXP(-LN(2)/2))/(LN(2)/2)*AQ63*AT63*VLOOKUP('Données projet'!$B$10,Paramètres!$A$1:$I$89,3,0)*0.475*44/12</f>
        <v>#N/A</v>
      </c>
      <c r="AX63" s="23" t="e">
        <f t="shared" si="6"/>
        <v>#N/A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2">
        <f t="shared" si="32"/>
        <v>11.060192179914555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70">
        <f t="shared" si="1"/>
        <v>376.12901804668445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151.58413719376074</v>
      </c>
      <c r="T64" s="62">
        <f t="shared" si="34"/>
        <v>310.105543138185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53.47376046240683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5.7397386959716339E-3</v>
      </c>
      <c r="AC64" s="24">
        <f t="shared" si="3"/>
        <v>53.479500201102802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 t="e">
        <f>AI64*VLOOKUP('Données projet'!$B$10,Paramètres!$A$1:$I$89,3,0)*VLOOKUP('Données projet'!$B$10,Paramètres!$A$1:$I$89,5,0)</f>
        <v>#N/A</v>
      </c>
      <c r="AK64" s="14" t="e">
        <f t="shared" si="35"/>
        <v>#N/A</v>
      </c>
      <c r="AL64" s="22" t="e">
        <f t="shared" si="4"/>
        <v>#N/A</v>
      </c>
      <c r="AM64" s="62" t="e">
        <f t="shared" si="5"/>
        <v>#N/A</v>
      </c>
      <c r="AN64" s="62" t="e">
        <f ca="1">AVERAGE(OFFSET($AM$3,0,0,'Données projet'!$E$10+1,1))-AVERAGE(OFFSET($H$3,0,0,'Données projet'!$E$10+1,1))</f>
        <v>#N/A</v>
      </c>
      <c r="AO64" s="62" t="e">
        <f t="shared" si="36"/>
        <v>#N/A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 t="e">
        <f>EXP(-LN(2)/35)*AU63+(1-EXP(-LN(2)/35))/(LN(2)/35)*AQ64*AR64*VLOOKUP('Données projet'!$B$10,Paramètres!$A$1:$I$89,3,0)*0.475*44/12</f>
        <v>#N/A</v>
      </c>
      <c r="AV64" s="23" t="e">
        <f>EXP(-LN(2)/25)*AV63+(1-EXP(-LN(2)/25))/(LN(2)/25)*Calculateur!AQ64*Calculateur!AS64*VLOOKUP('Données projet'!$B$10,Paramètres!$A$1:$I$89,3,0)*0.475*44/12</f>
        <v>#N/A</v>
      </c>
      <c r="AW64" s="23" t="e">
        <f>EXP(-LN(2)/2)*AW63+(1-EXP(-LN(2)/2))/(LN(2)/2)*AQ64*AT64*VLOOKUP('Données projet'!$B$10,Paramètres!$A$1:$I$89,3,0)*0.475*44/12</f>
        <v>#N/A</v>
      </c>
      <c r="AX64" s="23" t="e">
        <f t="shared" si="6"/>
        <v>#N/A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2">
        <f t="shared" si="32"/>
        <v>11.220249852136822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70">
        <f t="shared" si="1"/>
        <v>377.44930182580492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151.58413719376074</v>
      </c>
      <c r="T65" s="62">
        <f t="shared" si="34"/>
        <v>310.105543138185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52.425172635512375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4.0586081541603737E-3</v>
      </c>
      <c r="AC65" s="24">
        <f t="shared" si="3"/>
        <v>52.429231243666536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 t="e">
        <f>AI65*VLOOKUP('Données projet'!$B$10,Paramètres!$A$1:$I$89,3,0)*VLOOKUP('Données projet'!$B$10,Paramètres!$A$1:$I$89,5,0)</f>
        <v>#N/A</v>
      </c>
      <c r="AK65" s="14" t="e">
        <f t="shared" si="35"/>
        <v>#N/A</v>
      </c>
      <c r="AL65" s="22" t="e">
        <f t="shared" si="4"/>
        <v>#N/A</v>
      </c>
      <c r="AM65" s="62" t="e">
        <f t="shared" si="5"/>
        <v>#N/A</v>
      </c>
      <c r="AN65" s="62" t="e">
        <f ca="1">AVERAGE(OFFSET($AM$3,0,0,'Données projet'!$E$10+1,1))-AVERAGE(OFFSET($H$3,0,0,'Données projet'!$E$10+1,1))</f>
        <v>#N/A</v>
      </c>
      <c r="AO65" s="62" t="e">
        <f t="shared" si="36"/>
        <v>#N/A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 t="e">
        <f>EXP(-LN(2)/35)*AU64+(1-EXP(-LN(2)/35))/(LN(2)/35)*AQ65*AR65*VLOOKUP('Données projet'!$B$10,Paramètres!$A$1:$I$89,3,0)*0.475*44/12</f>
        <v>#N/A</v>
      </c>
      <c r="AV65" s="23" t="e">
        <f>EXP(-LN(2)/25)*AV64+(1-EXP(-LN(2)/25))/(LN(2)/25)*Calculateur!AQ65*Calculateur!AS65*VLOOKUP('Données projet'!$B$10,Paramètres!$A$1:$I$89,3,0)*0.475*44/12</f>
        <v>#N/A</v>
      </c>
      <c r="AW65" s="23" t="e">
        <f>EXP(-LN(2)/2)*AW64+(1-EXP(-LN(2)/2))/(LN(2)/2)*AQ65*AT65*VLOOKUP('Données projet'!$B$10,Paramètres!$A$1:$I$89,3,0)*0.475*44/12</f>
        <v>#N/A</v>
      </c>
      <c r="AX65" s="23" t="e">
        <f t="shared" si="6"/>
        <v>#N/A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2">
        <f t="shared" si="32"/>
        <v>11.380007297126165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70">
        <f t="shared" si="1"/>
        <v>378.76906270916135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151.58413719376074</v>
      </c>
      <c r="T66" s="62">
        <f t="shared" si="34"/>
        <v>310.105543138185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51.397146976327896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2.869869347985817E-3</v>
      </c>
      <c r="AC66" s="24">
        <f t="shared" si="3"/>
        <v>51.400016845675879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 t="e">
        <f>AI66*VLOOKUP('Données projet'!$B$10,Paramètres!$A$1:$I$89,3,0)*VLOOKUP('Données projet'!$B$10,Paramètres!$A$1:$I$89,5,0)</f>
        <v>#N/A</v>
      </c>
      <c r="AK66" s="14" t="e">
        <f t="shared" si="35"/>
        <v>#N/A</v>
      </c>
      <c r="AL66" s="22" t="e">
        <f t="shared" si="4"/>
        <v>#N/A</v>
      </c>
      <c r="AM66" s="62" t="e">
        <f t="shared" si="5"/>
        <v>#N/A</v>
      </c>
      <c r="AN66" s="62" t="e">
        <f ca="1">AVERAGE(OFFSET($AM$3,0,0,'Données projet'!$E$10+1,1))-AVERAGE(OFFSET($H$3,0,0,'Données projet'!$E$10+1,1))</f>
        <v>#N/A</v>
      </c>
      <c r="AO66" s="62" t="e">
        <f t="shared" si="36"/>
        <v>#N/A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 t="e">
        <f>EXP(-LN(2)/35)*AU65+(1-EXP(-LN(2)/35))/(LN(2)/35)*AQ66*AR66*VLOOKUP('Données projet'!$B$10,Paramètres!$A$1:$I$89,3,0)*0.475*44/12</f>
        <v>#N/A</v>
      </c>
      <c r="AV66" s="23" t="e">
        <f>EXP(-LN(2)/25)*AV65+(1-EXP(-LN(2)/25))/(LN(2)/25)*Calculateur!AQ66*Calculateur!AS66*VLOOKUP('Données projet'!$B$10,Paramètres!$A$1:$I$89,3,0)*0.475*44/12</f>
        <v>#N/A</v>
      </c>
      <c r="AW66" s="23" t="e">
        <f>EXP(-LN(2)/2)*AW65+(1-EXP(-LN(2)/2))/(LN(2)/2)*AQ66*AT66*VLOOKUP('Données projet'!$B$10,Paramètres!$A$1:$I$89,3,0)*0.475*44/12</f>
        <v>#N/A</v>
      </c>
      <c r="AX66" s="23" t="e">
        <f t="shared" si="6"/>
        <v>#N/A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2">
        <f t="shared" si="32"/>
        <v>11.539469830637575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70">
        <f t="shared" si="1"/>
        <v>380.08830995502706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151.58413719376074</v>
      </c>
      <c r="T67" s="62">
        <f t="shared" si="34"/>
        <v>310.105543138185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50.389280273286289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2.0293040770801869E-3</v>
      </c>
      <c r="AC67" s="24">
        <f t="shared" si="3"/>
        <v>50.391309577363366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 t="e">
        <f>AI67*VLOOKUP('Données projet'!$B$10,Paramètres!$A$1:$I$89,3,0)*VLOOKUP('Données projet'!$B$10,Paramètres!$A$1:$I$89,5,0)</f>
        <v>#N/A</v>
      </c>
      <c r="AK67" s="14" t="e">
        <f t="shared" si="35"/>
        <v>#N/A</v>
      </c>
      <c r="AL67" s="22" t="e">
        <f t="shared" si="4"/>
        <v>#N/A</v>
      </c>
      <c r="AM67" s="62" t="e">
        <f t="shared" si="5"/>
        <v>#N/A</v>
      </c>
      <c r="AN67" s="62" t="e">
        <f ca="1">AVERAGE(OFFSET($AM$3,0,0,'Données projet'!$E$10+1,1))-AVERAGE(OFFSET($H$3,0,0,'Données projet'!$E$10+1,1))</f>
        <v>#N/A</v>
      </c>
      <c r="AO67" s="62" t="e">
        <f t="shared" si="36"/>
        <v>#N/A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 t="e">
        <f>EXP(-LN(2)/35)*AU66+(1-EXP(-LN(2)/35))/(LN(2)/35)*AQ67*AR67*VLOOKUP('Données projet'!$B$10,Paramètres!$A$1:$I$89,3,0)*0.475*44/12</f>
        <v>#N/A</v>
      </c>
      <c r="AV67" s="23" t="e">
        <f>EXP(-LN(2)/25)*AV66+(1-EXP(-LN(2)/25))/(LN(2)/25)*Calculateur!AQ67*Calculateur!AS67*VLOOKUP('Données projet'!$B$10,Paramètres!$A$1:$I$89,3,0)*0.475*44/12</f>
        <v>#N/A</v>
      </c>
      <c r="AW67" s="23" t="e">
        <f>EXP(-LN(2)/2)*AW66+(1-EXP(-LN(2)/2))/(LN(2)/2)*AQ67*AT67*VLOOKUP('Données projet'!$B$10,Paramètres!$A$1:$I$89,3,0)*0.475*44/12</f>
        <v>#N/A</v>
      </c>
      <c r="AX67" s="23" t="e">
        <f t="shared" si="6"/>
        <v>#N/A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2">
        <f t="shared" si="32"/>
        <v>11.698642592779086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70">
        <f t="shared" ref="H68:H131" si="56">(B68+E68+F68)*44/12+(C68+D68)*0.475*44/12</f>
        <v>381.40705251575685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151.58413719376074</v>
      </c>
      <c r="T68" s="62">
        <f t="shared" si="34"/>
        <v>310.105543138185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49.40117722155334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1.4349346739929085E-3</v>
      </c>
      <c r="AC68" s="24">
        <f t="shared" ref="AC68:AC131" si="57">SUM(Z68:AB68)</f>
        <v>49.402612156227335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 t="e">
        <f>AI68*VLOOKUP('Données projet'!$B$10,Paramètres!$A$1:$I$89,3,0)*VLOOKUP('Données projet'!$B$10,Paramètres!$A$1:$I$89,5,0)</f>
        <v>#N/A</v>
      </c>
      <c r="AK68" s="14" t="e">
        <f t="shared" si="35"/>
        <v>#N/A</v>
      </c>
      <c r="AL68" s="22" t="e">
        <f t="shared" ref="AL68:AL131" si="58">(AJ68+AK68)*0.475*44/12</f>
        <v>#N/A</v>
      </c>
      <c r="AM68" s="62" t="e">
        <f t="shared" ref="AM68:AM131" si="59">AL68+(AD68+AE68)*44/12</f>
        <v>#N/A</v>
      </c>
      <c r="AN68" s="62" t="e">
        <f ca="1">AVERAGE(OFFSET($AM$3,0,0,'Données projet'!$E$10+1,1))-AVERAGE(OFFSET($H$3,0,0,'Données projet'!$E$10+1,1))</f>
        <v>#N/A</v>
      </c>
      <c r="AO68" s="62" t="e">
        <f t="shared" si="36"/>
        <v>#N/A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 t="e">
        <f>EXP(-LN(2)/35)*AU67+(1-EXP(-LN(2)/35))/(LN(2)/35)*AQ68*AR68*VLOOKUP('Données projet'!$B$10,Paramètres!$A$1:$I$89,3,0)*0.475*44/12</f>
        <v>#N/A</v>
      </c>
      <c r="AV68" s="23" t="e">
        <f>EXP(-LN(2)/25)*AV67+(1-EXP(-LN(2)/25))/(LN(2)/25)*Calculateur!AQ68*Calculateur!AS68*VLOOKUP('Données projet'!$B$10,Paramètres!$A$1:$I$89,3,0)*0.475*44/12</f>
        <v>#N/A</v>
      </c>
      <c r="AW68" s="23" t="e">
        <f>EXP(-LN(2)/2)*AW67+(1-EXP(-LN(2)/2))/(LN(2)/2)*AQ68*AT68*VLOOKUP('Données projet'!$B$10,Paramètres!$A$1:$I$89,3,0)*0.475*44/12</f>
        <v>#N/A</v>
      </c>
      <c r="AX68" s="23" t="e">
        <f t="shared" ref="AX68:AX131" si="60">SUM(AU68:AW68)</f>
        <v>#N/A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2">
        <f t="shared" ref="D69:D132" si="86">IFERROR(EXP(-1.0587+0.8836*LN(C69)+0.284),0)</f>
        <v>11.857530556426889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70">
        <f t="shared" si="56"/>
        <v>382.7252990524434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151.58413719376074</v>
      </c>
      <c r="T69" s="62">
        <f t="shared" ref="T69:T132" si="88">$T$3</f>
        <v>310.105543138185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48.432450267981523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1.0146520385400934E-3</v>
      </c>
      <c r="AC69" s="24">
        <f t="shared" si="57"/>
        <v>48.433464920020064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 t="e">
        <f>AI69*VLOOKUP('Données projet'!$B$10,Paramètres!$A$1:$I$89,3,0)*VLOOKUP('Données projet'!$B$10,Paramètres!$A$1:$I$89,5,0)</f>
        <v>#N/A</v>
      </c>
      <c r="AK69" s="14" t="e">
        <f t="shared" ref="AK69:AK132" si="89">EXP(-1.0587+0.8836*LN(AJ69)+0.284)</f>
        <v>#N/A</v>
      </c>
      <c r="AL69" s="22" t="e">
        <f t="shared" si="58"/>
        <v>#N/A</v>
      </c>
      <c r="AM69" s="62" t="e">
        <f t="shared" si="59"/>
        <v>#N/A</v>
      </c>
      <c r="AN69" s="62" t="e">
        <f ca="1">AVERAGE(OFFSET($AM$3,0,0,'Données projet'!$E$10+1,1))-AVERAGE(OFFSET($H$3,0,0,'Données projet'!$E$10+1,1))</f>
        <v>#N/A</v>
      </c>
      <c r="AO69" s="62" t="e">
        <f t="shared" ref="AO69:AO132" si="90">$AO$3</f>
        <v>#N/A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 t="e">
        <f>EXP(-LN(2)/35)*AU68+(1-EXP(-LN(2)/35))/(LN(2)/35)*AQ69*AR69*VLOOKUP('Données projet'!$B$10,Paramètres!$A$1:$I$89,3,0)*0.475*44/12</f>
        <v>#N/A</v>
      </c>
      <c r="AV69" s="23" t="e">
        <f>EXP(-LN(2)/25)*AV68+(1-EXP(-LN(2)/25))/(LN(2)/25)*Calculateur!AQ69*Calculateur!AS69*VLOOKUP('Données projet'!$B$10,Paramètres!$A$1:$I$89,3,0)*0.475*44/12</f>
        <v>#N/A</v>
      </c>
      <c r="AW69" s="23" t="e">
        <f>EXP(-LN(2)/2)*AW68+(1-EXP(-LN(2)/2))/(LN(2)/2)*AQ69*AT69*VLOOKUP('Données projet'!$B$10,Paramètres!$A$1:$I$89,3,0)*0.475*44/12</f>
        <v>#N/A</v>
      </c>
      <c r="AX69" s="23" t="e">
        <f t="shared" si="60"/>
        <v>#N/A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2">
        <f t="shared" si="86"/>
        <v>12.016138535115942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70">
        <f t="shared" si="56"/>
        <v>384.04305794866019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151.58413719376074</v>
      </c>
      <c r="T70" s="62">
        <f t="shared" si="88"/>
        <v>310.105543138185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47.482719459104146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7.1746733699645424E-4</v>
      </c>
      <c r="AC70" s="24">
        <f t="shared" si="57"/>
        <v>47.483436926441144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 t="e">
        <f>AI70*VLOOKUP('Données projet'!$B$10,Paramètres!$A$1:$I$89,3,0)*VLOOKUP('Données projet'!$B$10,Paramètres!$A$1:$I$89,5,0)</f>
        <v>#N/A</v>
      </c>
      <c r="AK70" s="14" t="e">
        <f t="shared" si="89"/>
        <v>#N/A</v>
      </c>
      <c r="AL70" s="22" t="e">
        <f t="shared" si="58"/>
        <v>#N/A</v>
      </c>
      <c r="AM70" s="62" t="e">
        <f t="shared" si="59"/>
        <v>#N/A</v>
      </c>
      <c r="AN70" s="62" t="e">
        <f ca="1">AVERAGE(OFFSET($AM$3,0,0,'Données projet'!$E$10+1,1))-AVERAGE(OFFSET($H$3,0,0,'Données projet'!$E$10+1,1))</f>
        <v>#N/A</v>
      </c>
      <c r="AO70" s="62" t="e">
        <f t="shared" si="90"/>
        <v>#N/A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 t="e">
        <f>EXP(-LN(2)/35)*AU69+(1-EXP(-LN(2)/35))/(LN(2)/35)*AQ70*AR70*VLOOKUP('Données projet'!$B$10,Paramètres!$A$1:$I$89,3,0)*0.475*44/12</f>
        <v>#N/A</v>
      </c>
      <c r="AV70" s="23" t="e">
        <f>EXP(-LN(2)/25)*AV69+(1-EXP(-LN(2)/25))/(LN(2)/25)*Calculateur!AQ70*Calculateur!AS70*VLOOKUP('Données projet'!$B$10,Paramètres!$A$1:$I$89,3,0)*0.475*44/12</f>
        <v>#N/A</v>
      </c>
      <c r="AW70" s="23" t="e">
        <f>EXP(-LN(2)/2)*AW69+(1-EXP(-LN(2)/2))/(LN(2)/2)*AQ70*AT70*VLOOKUP('Données projet'!$B$10,Paramètres!$A$1:$I$89,3,0)*0.475*44/12</f>
        <v>#N/A</v>
      </c>
      <c r="AX70" s="23" t="e">
        <f t="shared" si="60"/>
        <v>#N/A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2">
        <f t="shared" si="86"/>
        <v>12.174471190446138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70">
        <f t="shared" si="56"/>
        <v>385.36033732336028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151.58413719376074</v>
      </c>
      <c r="T71" s="62">
        <f t="shared" si="88"/>
        <v>310.105543138185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46.551612292110264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5.0732601927004671E-4</v>
      </c>
      <c r="AC71" s="24">
        <f t="shared" si="57"/>
        <v>46.552119618129531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 t="e">
        <f>AI71*VLOOKUP('Données projet'!$B$10,Paramètres!$A$1:$I$89,3,0)*VLOOKUP('Données projet'!$B$10,Paramètres!$A$1:$I$89,5,0)</f>
        <v>#N/A</v>
      </c>
      <c r="AK71" s="14" t="e">
        <f t="shared" si="89"/>
        <v>#N/A</v>
      </c>
      <c r="AL71" s="22" t="e">
        <f t="shared" si="58"/>
        <v>#N/A</v>
      </c>
      <c r="AM71" s="62" t="e">
        <f t="shared" si="59"/>
        <v>#N/A</v>
      </c>
      <c r="AN71" s="62" t="e">
        <f ca="1">AVERAGE(OFFSET($AM$3,0,0,'Données projet'!$E$10+1,1))-AVERAGE(OFFSET($H$3,0,0,'Données projet'!$E$10+1,1))</f>
        <v>#N/A</v>
      </c>
      <c r="AO71" s="62" t="e">
        <f t="shared" si="90"/>
        <v>#N/A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 t="e">
        <f>EXP(-LN(2)/35)*AU70+(1-EXP(-LN(2)/35))/(LN(2)/35)*AQ71*AR71*VLOOKUP('Données projet'!$B$10,Paramètres!$A$1:$I$89,3,0)*0.475*44/12</f>
        <v>#N/A</v>
      </c>
      <c r="AV71" s="23" t="e">
        <f>EXP(-LN(2)/25)*AV70+(1-EXP(-LN(2)/25))/(LN(2)/25)*Calculateur!AQ71*Calculateur!AS71*VLOOKUP('Données projet'!$B$10,Paramètres!$A$1:$I$89,3,0)*0.475*44/12</f>
        <v>#N/A</v>
      </c>
      <c r="AW71" s="23" t="e">
        <f>EXP(-LN(2)/2)*AW70+(1-EXP(-LN(2)/2))/(LN(2)/2)*AQ71*AT71*VLOOKUP('Données projet'!$B$10,Paramètres!$A$1:$I$89,3,0)*0.475*44/12</f>
        <v>#N/A</v>
      </c>
      <c r="AX71" s="23" t="e">
        <f t="shared" si="60"/>
        <v>#N/A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2">
        <f t="shared" si="86"/>
        <v>12.332533039040444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70">
        <f t="shared" si="56"/>
        <v>386.67714504299533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151.58413719376074</v>
      </c>
      <c r="T72" s="62">
        <f t="shared" si="88"/>
        <v>310.105543138185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45.638763568741837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3.5873366849822712E-4</v>
      </c>
      <c r="AC72" s="24">
        <f t="shared" si="57"/>
        <v>45.639122302410335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 t="e">
        <f>AI72*VLOOKUP('Données projet'!$B$10,Paramètres!$A$1:$I$89,3,0)*VLOOKUP('Données projet'!$B$10,Paramètres!$A$1:$I$89,5,0)</f>
        <v>#N/A</v>
      </c>
      <c r="AK72" s="14" t="e">
        <f t="shared" si="89"/>
        <v>#N/A</v>
      </c>
      <c r="AL72" s="22" t="e">
        <f t="shared" si="58"/>
        <v>#N/A</v>
      </c>
      <c r="AM72" s="62" t="e">
        <f t="shared" si="59"/>
        <v>#N/A</v>
      </c>
      <c r="AN72" s="62" t="e">
        <f ca="1">AVERAGE(OFFSET($AM$3,0,0,'Données projet'!$E$10+1,1))-AVERAGE(OFFSET($H$3,0,0,'Données projet'!$E$10+1,1))</f>
        <v>#N/A</v>
      </c>
      <c r="AO72" s="62" t="e">
        <f t="shared" si="90"/>
        <v>#N/A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 t="e">
        <f>EXP(-LN(2)/35)*AU71+(1-EXP(-LN(2)/35))/(LN(2)/35)*AQ72*AR72*VLOOKUP('Données projet'!$B$10,Paramètres!$A$1:$I$89,3,0)*0.475*44/12</f>
        <v>#N/A</v>
      </c>
      <c r="AV72" s="23" t="e">
        <f>EXP(-LN(2)/25)*AV71+(1-EXP(-LN(2)/25))/(LN(2)/25)*Calculateur!AQ72*Calculateur!AS72*VLOOKUP('Données projet'!$B$10,Paramètres!$A$1:$I$89,3,0)*0.475*44/12</f>
        <v>#N/A</v>
      </c>
      <c r="AW72" s="23" t="e">
        <f>EXP(-LN(2)/2)*AW71+(1-EXP(-LN(2)/2))/(LN(2)/2)*AQ72*AT72*VLOOKUP('Données projet'!$B$10,Paramètres!$A$1:$I$89,3,0)*0.475*44/12</f>
        <v>#N/A</v>
      </c>
      <c r="AX72" s="23" t="e">
        <f t="shared" si="60"/>
        <v>#N/A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2">
        <f t="shared" si="86"/>
        <v>12.490328459088207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70">
        <f t="shared" si="56"/>
        <v>387.99348873291189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151.58413719376074</v>
      </c>
      <c r="T73" s="62">
        <f t="shared" si="88"/>
        <v>310.105543138185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44.743815252055924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2.5366300963502336E-4</v>
      </c>
      <c r="AC73" s="24">
        <f t="shared" si="57"/>
        <v>44.744068915065561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 t="e">
        <f>AI73*VLOOKUP('Données projet'!$B$10,Paramètres!$A$1:$I$89,3,0)*VLOOKUP('Données projet'!$B$10,Paramètres!$A$1:$I$89,5,0)</f>
        <v>#N/A</v>
      </c>
      <c r="AK73" s="14" t="e">
        <f t="shared" si="89"/>
        <v>#N/A</v>
      </c>
      <c r="AL73" s="22" t="e">
        <f t="shared" si="58"/>
        <v>#N/A</v>
      </c>
      <c r="AM73" s="62" t="e">
        <f t="shared" si="59"/>
        <v>#N/A</v>
      </c>
      <c r="AN73" s="62" t="e">
        <f ca="1">AVERAGE(OFFSET($AM$3,0,0,'Données projet'!$E$10+1,1))-AVERAGE(OFFSET($H$3,0,0,'Données projet'!$E$10+1,1))</f>
        <v>#N/A</v>
      </c>
      <c r="AO73" s="62" t="e">
        <f t="shared" si="90"/>
        <v>#N/A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 t="e">
        <f>EXP(-LN(2)/35)*AU72+(1-EXP(-LN(2)/35))/(LN(2)/35)*AQ73*AR73*VLOOKUP('Données projet'!$B$10,Paramètres!$A$1:$I$89,3,0)*0.475*44/12</f>
        <v>#N/A</v>
      </c>
      <c r="AV73" s="23" t="e">
        <f>EXP(-LN(2)/25)*AV72+(1-EXP(-LN(2)/25))/(LN(2)/25)*Calculateur!AQ73*Calculateur!AS73*VLOOKUP('Données projet'!$B$10,Paramètres!$A$1:$I$89,3,0)*0.475*44/12</f>
        <v>#N/A</v>
      </c>
      <c r="AW73" s="23" t="e">
        <f>EXP(-LN(2)/2)*AW72+(1-EXP(-LN(2)/2))/(LN(2)/2)*AQ73*AT73*VLOOKUP('Données projet'!$B$10,Paramètres!$A$1:$I$89,3,0)*0.475*44/12</f>
        <v>#N/A</v>
      </c>
      <c r="AX73" s="23" t="e">
        <f t="shared" si="60"/>
        <v>#N/A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2">
        <f t="shared" si="86"/>
        <v>12.64786169650392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70">
        <f t="shared" si="56"/>
        <v>389.30937578807755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151.58413719376074</v>
      </c>
      <c r="T74" s="62">
        <f t="shared" si="88"/>
        <v>310.105543138185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43.866416325995644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1.7936683424911356E-4</v>
      </c>
      <c r="AC74" s="24">
        <f t="shared" si="57"/>
        <v>43.86659569282989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 t="e">
        <f>AI74*VLOOKUP('Données projet'!$B$10,Paramètres!$A$1:$I$89,3,0)*VLOOKUP('Données projet'!$B$10,Paramètres!$A$1:$I$89,5,0)</f>
        <v>#N/A</v>
      </c>
      <c r="AK74" s="14" t="e">
        <f t="shared" si="89"/>
        <v>#N/A</v>
      </c>
      <c r="AL74" s="22" t="e">
        <f t="shared" si="58"/>
        <v>#N/A</v>
      </c>
      <c r="AM74" s="62" t="e">
        <f t="shared" si="59"/>
        <v>#N/A</v>
      </c>
      <c r="AN74" s="62" t="e">
        <f ca="1">AVERAGE(OFFSET($AM$3,0,0,'Données projet'!$E$10+1,1))-AVERAGE(OFFSET($H$3,0,0,'Données projet'!$E$10+1,1))</f>
        <v>#N/A</v>
      </c>
      <c r="AO74" s="62" t="e">
        <f t="shared" si="90"/>
        <v>#N/A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 t="e">
        <f>EXP(-LN(2)/35)*AU73+(1-EXP(-LN(2)/35))/(LN(2)/35)*AQ74*AR74*VLOOKUP('Données projet'!$B$10,Paramètres!$A$1:$I$89,3,0)*0.475*44/12</f>
        <v>#N/A</v>
      </c>
      <c r="AV74" s="23" t="e">
        <f>EXP(-LN(2)/25)*AV73+(1-EXP(-LN(2)/25))/(LN(2)/25)*Calculateur!AQ74*Calculateur!AS74*VLOOKUP('Données projet'!$B$10,Paramètres!$A$1:$I$89,3,0)*0.475*44/12</f>
        <v>#N/A</v>
      </c>
      <c r="AW74" s="23" t="e">
        <f>EXP(-LN(2)/2)*AW73+(1-EXP(-LN(2)/2))/(LN(2)/2)*AQ74*AT74*VLOOKUP('Données projet'!$B$10,Paramètres!$A$1:$I$89,3,0)*0.475*44/12</f>
        <v>#N/A</v>
      </c>
      <c r="AX74" s="23" t="e">
        <f t="shared" si="60"/>
        <v>#N/A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2">
        <f t="shared" si="86"/>
        <v>12.80513687072917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70">
        <f t="shared" si="56"/>
        <v>390.62481338318656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151.58413719376074</v>
      </c>
      <c r="T75" s="62">
        <f t="shared" si="88"/>
        <v>310.105543138185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43.006222657714908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1.2683150481751168E-4</v>
      </c>
      <c r="AC75" s="24">
        <f t="shared" si="57"/>
        <v>43.006349489219723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 t="e">
        <f>AI75*VLOOKUP('Données projet'!$B$10,Paramètres!$A$1:$I$89,3,0)*VLOOKUP('Données projet'!$B$10,Paramètres!$A$1:$I$89,5,0)</f>
        <v>#N/A</v>
      </c>
      <c r="AK75" s="14" t="e">
        <f t="shared" si="89"/>
        <v>#N/A</v>
      </c>
      <c r="AL75" s="22" t="e">
        <f t="shared" si="58"/>
        <v>#N/A</v>
      </c>
      <c r="AM75" s="62" t="e">
        <f t="shared" si="59"/>
        <v>#N/A</v>
      </c>
      <c r="AN75" s="62" t="e">
        <f ca="1">AVERAGE(OFFSET($AM$3,0,0,'Données projet'!$E$10+1,1))-AVERAGE(OFFSET($H$3,0,0,'Données projet'!$E$10+1,1))</f>
        <v>#N/A</v>
      </c>
      <c r="AO75" s="62" t="e">
        <f t="shared" si="90"/>
        <v>#N/A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 t="e">
        <f>EXP(-LN(2)/35)*AU74+(1-EXP(-LN(2)/35))/(LN(2)/35)*AQ75*AR75*VLOOKUP('Données projet'!$B$10,Paramètres!$A$1:$I$89,3,0)*0.475*44/12</f>
        <v>#N/A</v>
      </c>
      <c r="AV75" s="23" t="e">
        <f>EXP(-LN(2)/25)*AV74+(1-EXP(-LN(2)/25))/(LN(2)/25)*Calculateur!AQ75*Calculateur!AS75*VLOOKUP('Données projet'!$B$10,Paramètres!$A$1:$I$89,3,0)*0.475*44/12</f>
        <v>#N/A</v>
      </c>
      <c r="AW75" s="23" t="e">
        <f>EXP(-LN(2)/2)*AW74+(1-EXP(-LN(2)/2))/(LN(2)/2)*AQ75*AT75*VLOOKUP('Données projet'!$B$10,Paramètres!$A$1:$I$89,3,0)*0.475*44/12</f>
        <v>#N/A</v>
      </c>
      <c r="AX75" s="23" t="e">
        <f t="shared" si="60"/>
        <v>#N/A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2">
        <f t="shared" si="86"/>
        <v>12.962157980203079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70">
        <f t="shared" si="56"/>
        <v>391.93980848218695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151.58413719376074</v>
      </c>
      <c r="T76" s="62">
        <f t="shared" si="88"/>
        <v>310.105543138185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42.162896862602821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8.968341712455678E-5</v>
      </c>
      <c r="AC76" s="24">
        <f t="shared" si="57"/>
        <v>42.162986546019944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 t="e">
        <f>AI76*VLOOKUP('Données projet'!$B$10,Paramètres!$A$1:$I$89,3,0)*VLOOKUP('Données projet'!$B$10,Paramètres!$A$1:$I$89,5,0)</f>
        <v>#N/A</v>
      </c>
      <c r="AK76" s="14" t="e">
        <f t="shared" si="89"/>
        <v>#N/A</v>
      </c>
      <c r="AL76" s="22" t="e">
        <f t="shared" si="58"/>
        <v>#N/A</v>
      </c>
      <c r="AM76" s="62" t="e">
        <f t="shared" si="59"/>
        <v>#N/A</v>
      </c>
      <c r="AN76" s="62" t="e">
        <f ca="1">AVERAGE(OFFSET($AM$3,0,0,'Données projet'!$E$10+1,1))-AVERAGE(OFFSET($H$3,0,0,'Données projet'!$E$10+1,1))</f>
        <v>#N/A</v>
      </c>
      <c r="AO76" s="62" t="e">
        <f t="shared" si="90"/>
        <v>#N/A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 t="e">
        <f>EXP(-LN(2)/35)*AU75+(1-EXP(-LN(2)/35))/(LN(2)/35)*AQ76*AR76*VLOOKUP('Données projet'!$B$10,Paramètres!$A$1:$I$89,3,0)*0.475*44/12</f>
        <v>#N/A</v>
      </c>
      <c r="AV76" s="23" t="e">
        <f>EXP(-LN(2)/25)*AV75+(1-EXP(-LN(2)/25))/(LN(2)/25)*Calculateur!AQ76*Calculateur!AS76*VLOOKUP('Données projet'!$B$10,Paramètres!$A$1:$I$89,3,0)*0.475*44/12</f>
        <v>#N/A</v>
      </c>
      <c r="AW76" s="23" t="e">
        <f>EXP(-LN(2)/2)*AW75+(1-EXP(-LN(2)/2))/(LN(2)/2)*AQ76*AT76*VLOOKUP('Données projet'!$B$10,Paramètres!$A$1:$I$89,3,0)*0.475*44/12</f>
        <v>#N/A</v>
      </c>
      <c r="AX76" s="23" t="e">
        <f t="shared" si="60"/>
        <v>#N/A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2">
        <f t="shared" si="86"/>
        <v>13.118928907524445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70">
        <f t="shared" si="56"/>
        <v>393.25436784727162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151.58413719376074</v>
      </c>
      <c r="T77" s="62">
        <f t="shared" si="88"/>
        <v>310.105543138185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41.33610817195494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6.3415752408755839E-5</v>
      </c>
      <c r="AC77" s="24">
        <f t="shared" si="57"/>
        <v>41.336171587707348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 t="e">
        <f>AI77*VLOOKUP('Données projet'!$B$10,Paramètres!$A$1:$I$89,3,0)*VLOOKUP('Données projet'!$B$10,Paramètres!$A$1:$I$89,5,0)</f>
        <v>#N/A</v>
      </c>
      <c r="AK77" s="14" t="e">
        <f t="shared" si="89"/>
        <v>#N/A</v>
      </c>
      <c r="AL77" s="22" t="e">
        <f t="shared" si="58"/>
        <v>#N/A</v>
      </c>
      <c r="AM77" s="62" t="e">
        <f t="shared" si="59"/>
        <v>#N/A</v>
      </c>
      <c r="AN77" s="62" t="e">
        <f ca="1">AVERAGE(OFFSET($AM$3,0,0,'Données projet'!$E$10+1,1))-AVERAGE(OFFSET($H$3,0,0,'Données projet'!$E$10+1,1))</f>
        <v>#N/A</v>
      </c>
      <c r="AO77" s="62" t="e">
        <f t="shared" si="90"/>
        <v>#N/A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 t="e">
        <f>EXP(-LN(2)/35)*AU76+(1-EXP(-LN(2)/35))/(LN(2)/35)*AQ77*AR77*VLOOKUP('Données projet'!$B$10,Paramètres!$A$1:$I$89,3,0)*0.475*44/12</f>
        <v>#N/A</v>
      </c>
      <c r="AV77" s="23" t="e">
        <f>EXP(-LN(2)/25)*AV76+(1-EXP(-LN(2)/25))/(LN(2)/25)*Calculateur!AQ77*Calculateur!AS77*VLOOKUP('Données projet'!$B$10,Paramètres!$A$1:$I$89,3,0)*0.475*44/12</f>
        <v>#N/A</v>
      </c>
      <c r="AW77" s="23" t="e">
        <f>EXP(-LN(2)/2)*AW76+(1-EXP(-LN(2)/2))/(LN(2)/2)*AQ77*AT77*VLOOKUP('Données projet'!$B$10,Paramètres!$A$1:$I$89,3,0)*0.475*44/12</f>
        <v>#N/A</v>
      </c>
      <c r="AX77" s="23" t="e">
        <f t="shared" si="60"/>
        <v>#N/A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2">
        <f t="shared" si="86"/>
        <v>13.275453424326999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70">
        <f t="shared" si="56"/>
        <v>394.56849804736942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151.58413719376074</v>
      </c>
      <c r="T78" s="62">
        <f t="shared" si="88"/>
        <v>310.105543138185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40.525532303239359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4.484170856227839E-5</v>
      </c>
      <c r="AC78" s="24">
        <f t="shared" si="57"/>
        <v>40.525577144947924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 t="e">
        <f>AI78*VLOOKUP('Données projet'!$B$10,Paramètres!$A$1:$I$89,3,0)*VLOOKUP('Données projet'!$B$10,Paramètres!$A$1:$I$89,5,0)</f>
        <v>#N/A</v>
      </c>
      <c r="AK78" s="14" t="e">
        <f t="shared" si="89"/>
        <v>#N/A</v>
      </c>
      <c r="AL78" s="22" t="e">
        <f t="shared" si="58"/>
        <v>#N/A</v>
      </c>
      <c r="AM78" s="62" t="e">
        <f t="shared" si="59"/>
        <v>#N/A</v>
      </c>
      <c r="AN78" s="62" t="e">
        <f ca="1">AVERAGE(OFFSET($AM$3,0,0,'Données projet'!$E$10+1,1))-AVERAGE(OFFSET($H$3,0,0,'Données projet'!$E$10+1,1))</f>
        <v>#N/A</v>
      </c>
      <c r="AO78" s="62" t="e">
        <f t="shared" si="90"/>
        <v>#N/A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 t="e">
        <f>EXP(-LN(2)/35)*AU77+(1-EXP(-LN(2)/35))/(LN(2)/35)*AQ78*AR78*VLOOKUP('Données projet'!$B$10,Paramètres!$A$1:$I$89,3,0)*0.475*44/12</f>
        <v>#N/A</v>
      </c>
      <c r="AV78" s="23" t="e">
        <f>EXP(-LN(2)/25)*AV77+(1-EXP(-LN(2)/25))/(LN(2)/25)*Calculateur!AQ78*Calculateur!AS78*VLOOKUP('Données projet'!$B$10,Paramètres!$A$1:$I$89,3,0)*0.475*44/12</f>
        <v>#N/A</v>
      </c>
      <c r="AW78" s="23" t="e">
        <f>EXP(-LN(2)/2)*AW77+(1-EXP(-LN(2)/2))/(LN(2)/2)*AQ78*AT78*VLOOKUP('Données projet'!$B$10,Paramètres!$A$1:$I$89,3,0)*0.475*44/12</f>
        <v>#N/A</v>
      </c>
      <c r="AX78" s="23" t="e">
        <f t="shared" si="60"/>
        <v>#N/A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2">
        <f t="shared" si="86"/>
        <v>13.431735195887123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70">
        <f t="shared" si="56"/>
        <v>395.88220546616998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151.58413719376074</v>
      </c>
      <c r="T79" s="62">
        <f t="shared" si="88"/>
        <v>310.105543138185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39.73085133290683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3.170787620437792E-5</v>
      </c>
      <c r="AC79" s="24">
        <f t="shared" si="57"/>
        <v>39.730883040783034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 t="e">
        <f>AI79*VLOOKUP('Données projet'!$B$10,Paramètres!$A$1:$I$89,3,0)*VLOOKUP('Données projet'!$B$10,Paramètres!$A$1:$I$89,5,0)</f>
        <v>#N/A</v>
      </c>
      <c r="AK79" s="14" t="e">
        <f t="shared" si="89"/>
        <v>#N/A</v>
      </c>
      <c r="AL79" s="22" t="e">
        <f t="shared" si="58"/>
        <v>#N/A</v>
      </c>
      <c r="AM79" s="62" t="e">
        <f t="shared" si="59"/>
        <v>#N/A</v>
      </c>
      <c r="AN79" s="62" t="e">
        <f ca="1">AVERAGE(OFFSET($AM$3,0,0,'Données projet'!$E$10+1,1))-AVERAGE(OFFSET($H$3,0,0,'Données projet'!$E$10+1,1))</f>
        <v>#N/A</v>
      </c>
      <c r="AO79" s="62" t="e">
        <f t="shared" si="90"/>
        <v>#N/A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 t="e">
        <f>EXP(-LN(2)/35)*AU78+(1-EXP(-LN(2)/35))/(LN(2)/35)*AQ79*AR79*VLOOKUP('Données projet'!$B$10,Paramètres!$A$1:$I$89,3,0)*0.475*44/12</f>
        <v>#N/A</v>
      </c>
      <c r="AV79" s="23" t="e">
        <f>EXP(-LN(2)/25)*AV78+(1-EXP(-LN(2)/25))/(LN(2)/25)*Calculateur!AQ79*Calculateur!AS79*VLOOKUP('Données projet'!$B$10,Paramètres!$A$1:$I$89,3,0)*0.475*44/12</f>
        <v>#N/A</v>
      </c>
      <c r="AW79" s="23" t="e">
        <f>EXP(-LN(2)/2)*AW78+(1-EXP(-LN(2)/2))/(LN(2)/2)*AQ79*AT79*VLOOKUP('Données projet'!$B$10,Paramètres!$A$1:$I$89,3,0)*0.475*44/12</f>
        <v>#N/A</v>
      </c>
      <c r="AX79" s="23" t="e">
        <f t="shared" si="60"/>
        <v>#N/A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2">
        <f t="shared" si="86"/>
        <v>13.587777785482281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70">
        <f t="shared" si="56"/>
        <v>397.19549630971488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151.58413719376074</v>
      </c>
      <c r="T80" s="62">
        <f t="shared" si="88"/>
        <v>310.105543138185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38.951753571694987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2.2420854281139195E-5</v>
      </c>
      <c r="AC80" s="24">
        <f t="shared" si="57"/>
        <v>38.951775992549265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 t="e">
        <f>AI80*VLOOKUP('Données projet'!$B$10,Paramètres!$A$1:$I$89,3,0)*VLOOKUP('Données projet'!$B$10,Paramètres!$A$1:$I$89,5,0)</f>
        <v>#N/A</v>
      </c>
      <c r="AK80" s="14" t="e">
        <f t="shared" si="89"/>
        <v>#N/A</v>
      </c>
      <c r="AL80" s="22" t="e">
        <f t="shared" si="58"/>
        <v>#N/A</v>
      </c>
      <c r="AM80" s="62" t="e">
        <f t="shared" si="59"/>
        <v>#N/A</v>
      </c>
      <c r="AN80" s="62" t="e">
        <f ca="1">AVERAGE(OFFSET($AM$3,0,0,'Données projet'!$E$10+1,1))-AVERAGE(OFFSET($H$3,0,0,'Données projet'!$E$10+1,1))</f>
        <v>#N/A</v>
      </c>
      <c r="AO80" s="62" t="e">
        <f t="shared" si="90"/>
        <v>#N/A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 t="e">
        <f>EXP(-LN(2)/35)*AU79+(1-EXP(-LN(2)/35))/(LN(2)/35)*AQ80*AR80*VLOOKUP('Données projet'!$B$10,Paramètres!$A$1:$I$89,3,0)*0.475*44/12</f>
        <v>#N/A</v>
      </c>
      <c r="AV80" s="23" t="e">
        <f>EXP(-LN(2)/25)*AV79+(1-EXP(-LN(2)/25))/(LN(2)/25)*Calculateur!AQ80*Calculateur!AS80*VLOOKUP('Données projet'!$B$10,Paramètres!$A$1:$I$89,3,0)*0.475*44/12</f>
        <v>#N/A</v>
      </c>
      <c r="AW80" s="23" t="e">
        <f>EXP(-LN(2)/2)*AW79+(1-EXP(-LN(2)/2))/(LN(2)/2)*AQ80*AT80*VLOOKUP('Données projet'!$B$10,Paramètres!$A$1:$I$89,3,0)*0.475*44/12</f>
        <v>#N/A</v>
      </c>
      <c r="AX80" s="23" t="e">
        <f t="shared" si="60"/>
        <v>#N/A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2">
        <f t="shared" si="86"/>
        <v>13.74358465851647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70">
        <f t="shared" si="56"/>
        <v>398.50837661358275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151.58413719376074</v>
      </c>
      <c r="T81" s="62">
        <f t="shared" si="88"/>
        <v>310.105543138185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38.187933442377798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1.585393810218896E-5</v>
      </c>
      <c r="AC81" s="24">
        <f t="shared" si="57"/>
        <v>38.1879492963159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 t="e">
        <f>AI81*VLOOKUP('Données projet'!$B$10,Paramètres!$A$1:$I$89,3,0)*VLOOKUP('Données projet'!$B$10,Paramètres!$A$1:$I$89,5,0)</f>
        <v>#N/A</v>
      </c>
      <c r="AK81" s="14" t="e">
        <f t="shared" si="89"/>
        <v>#N/A</v>
      </c>
      <c r="AL81" s="22" t="e">
        <f t="shared" si="58"/>
        <v>#N/A</v>
      </c>
      <c r="AM81" s="62" t="e">
        <f t="shared" si="59"/>
        <v>#N/A</v>
      </c>
      <c r="AN81" s="62" t="e">
        <f ca="1">AVERAGE(OFFSET($AM$3,0,0,'Données projet'!$E$10+1,1))-AVERAGE(OFFSET($H$3,0,0,'Données projet'!$E$10+1,1))</f>
        <v>#N/A</v>
      </c>
      <c r="AO81" s="62" t="e">
        <f t="shared" si="90"/>
        <v>#N/A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 t="e">
        <f>EXP(-LN(2)/35)*AU80+(1-EXP(-LN(2)/35))/(LN(2)/35)*AQ81*AR81*VLOOKUP('Données projet'!$B$10,Paramètres!$A$1:$I$89,3,0)*0.475*44/12</f>
        <v>#N/A</v>
      </c>
      <c r="AV81" s="23" t="e">
        <f>EXP(-LN(2)/25)*AV80+(1-EXP(-LN(2)/25))/(LN(2)/25)*Calculateur!AQ81*Calculateur!AS81*VLOOKUP('Données projet'!$B$10,Paramètres!$A$1:$I$89,3,0)*0.475*44/12</f>
        <v>#N/A</v>
      </c>
      <c r="AW81" s="23" t="e">
        <f>EXP(-LN(2)/2)*AW80+(1-EXP(-LN(2)/2))/(LN(2)/2)*AQ81*AT81*VLOOKUP('Données projet'!$B$10,Paramètres!$A$1:$I$89,3,0)*0.475*44/12</f>
        <v>#N/A</v>
      </c>
      <c r="AX81" s="23" t="e">
        <f t="shared" si="60"/>
        <v>#N/A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2">
        <f t="shared" si="86"/>
        <v>13.899159186428221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70">
        <f t="shared" si="56"/>
        <v>399.82085224969569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151.58413719376074</v>
      </c>
      <c r="T82" s="62">
        <f t="shared" si="88"/>
        <v>310.105543138185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37.43909135991224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1.1210427140569598E-5</v>
      </c>
      <c r="AC82" s="24">
        <f t="shared" si="57"/>
        <v>37.439102570339379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 t="e">
        <f>AI82*VLOOKUP('Données projet'!$B$10,Paramètres!$A$1:$I$89,3,0)*VLOOKUP('Données projet'!$B$10,Paramètres!$A$1:$I$89,5,0)</f>
        <v>#N/A</v>
      </c>
      <c r="AK82" s="14" t="e">
        <f t="shared" si="89"/>
        <v>#N/A</v>
      </c>
      <c r="AL82" s="22" t="e">
        <f t="shared" si="58"/>
        <v>#N/A</v>
      </c>
      <c r="AM82" s="62" t="e">
        <f t="shared" si="59"/>
        <v>#N/A</v>
      </c>
      <c r="AN82" s="62" t="e">
        <f ca="1">AVERAGE(OFFSET($AM$3,0,0,'Données projet'!$E$10+1,1))-AVERAGE(OFFSET($H$3,0,0,'Données projet'!$E$10+1,1))</f>
        <v>#N/A</v>
      </c>
      <c r="AO82" s="62" t="e">
        <f t="shared" si="90"/>
        <v>#N/A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 t="e">
        <f>EXP(-LN(2)/35)*AU81+(1-EXP(-LN(2)/35))/(LN(2)/35)*AQ82*AR82*VLOOKUP('Données projet'!$B$10,Paramètres!$A$1:$I$89,3,0)*0.475*44/12</f>
        <v>#N/A</v>
      </c>
      <c r="AV82" s="23" t="e">
        <f>EXP(-LN(2)/25)*AV81+(1-EXP(-LN(2)/25))/(LN(2)/25)*Calculateur!AQ82*Calculateur!AS82*VLOOKUP('Données projet'!$B$10,Paramètres!$A$1:$I$89,3,0)*0.475*44/12</f>
        <v>#N/A</v>
      </c>
      <c r="AW82" s="23" t="e">
        <f>EXP(-LN(2)/2)*AW81+(1-EXP(-LN(2)/2))/(LN(2)/2)*AQ82*AT82*VLOOKUP('Données projet'!$B$10,Paramètres!$A$1:$I$89,3,0)*0.475*44/12</f>
        <v>#N/A</v>
      </c>
      <c r="AX82" s="23" t="e">
        <f t="shared" si="60"/>
        <v>#N/A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2">
        <f t="shared" si="86"/>
        <v>14.054504650394959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70">
        <f t="shared" si="56"/>
        <v>401.13292893277111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151.58413719376074</v>
      </c>
      <c r="T83" s="62">
        <f t="shared" si="88"/>
        <v>310.105543138185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36.70493361393526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7.9269690510944799E-6</v>
      </c>
      <c r="AC83" s="24">
        <f t="shared" si="57"/>
        <v>36.704941540904315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 t="e">
        <f>AI83*VLOOKUP('Données projet'!$B$10,Paramètres!$A$1:$I$89,3,0)*VLOOKUP('Données projet'!$B$10,Paramètres!$A$1:$I$89,5,0)</f>
        <v>#N/A</v>
      </c>
      <c r="AK83" s="14" t="e">
        <f t="shared" si="89"/>
        <v>#N/A</v>
      </c>
      <c r="AL83" s="22" t="e">
        <f t="shared" si="58"/>
        <v>#N/A</v>
      </c>
      <c r="AM83" s="62" t="e">
        <f t="shared" si="59"/>
        <v>#N/A</v>
      </c>
      <c r="AN83" s="62" t="e">
        <f ca="1">AVERAGE(OFFSET($AM$3,0,0,'Données projet'!$E$10+1,1))-AVERAGE(OFFSET($H$3,0,0,'Données projet'!$E$10+1,1))</f>
        <v>#N/A</v>
      </c>
      <c r="AO83" s="62" t="e">
        <f t="shared" si="90"/>
        <v>#N/A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 t="e">
        <f>EXP(-LN(2)/35)*AU82+(1-EXP(-LN(2)/35))/(LN(2)/35)*AQ83*AR83*VLOOKUP('Données projet'!$B$10,Paramètres!$A$1:$I$89,3,0)*0.475*44/12</f>
        <v>#N/A</v>
      </c>
      <c r="AV83" s="23" t="e">
        <f>EXP(-LN(2)/25)*AV82+(1-EXP(-LN(2)/25))/(LN(2)/25)*Calculateur!AQ83*Calculateur!AS83*VLOOKUP('Données projet'!$B$10,Paramètres!$A$1:$I$89,3,0)*0.475*44/12</f>
        <v>#N/A</v>
      </c>
      <c r="AW83" s="23" t="e">
        <f>EXP(-LN(2)/2)*AW82+(1-EXP(-LN(2)/2))/(LN(2)/2)*AQ83*AT83*VLOOKUP('Données projet'!$B$10,Paramètres!$A$1:$I$89,3,0)*0.475*44/12</f>
        <v>#N/A</v>
      </c>
      <c r="AX83" s="23" t="e">
        <f t="shared" si="60"/>
        <v>#N/A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2">
        <f t="shared" si="86"/>
        <v>14.209624244846959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70">
        <f t="shared" si="56"/>
        <v>402.44461222644168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151.58413719376074</v>
      </c>
      <c r="T84" s="62">
        <f t="shared" si="88"/>
        <v>310.105543138185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35.985172253564883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5.6052135702847988E-6</v>
      </c>
      <c r="AC84" s="24">
        <f t="shared" si="57"/>
        <v>35.985177858778457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 t="e">
        <f>AI84*VLOOKUP('Données projet'!$B$10,Paramètres!$A$1:$I$89,3,0)*VLOOKUP('Données projet'!$B$10,Paramètres!$A$1:$I$89,5,0)</f>
        <v>#N/A</v>
      </c>
      <c r="AK84" s="14" t="e">
        <f t="shared" si="89"/>
        <v>#N/A</v>
      </c>
      <c r="AL84" s="22" t="e">
        <f t="shared" si="58"/>
        <v>#N/A</v>
      </c>
      <c r="AM84" s="62" t="e">
        <f t="shared" si="59"/>
        <v>#N/A</v>
      </c>
      <c r="AN84" s="62" t="e">
        <f ca="1">AVERAGE(OFFSET($AM$3,0,0,'Données projet'!$E$10+1,1))-AVERAGE(OFFSET($H$3,0,0,'Données projet'!$E$10+1,1))</f>
        <v>#N/A</v>
      </c>
      <c r="AO84" s="62" t="e">
        <f t="shared" si="90"/>
        <v>#N/A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 t="e">
        <f>EXP(-LN(2)/35)*AU83+(1-EXP(-LN(2)/35))/(LN(2)/35)*AQ84*AR84*VLOOKUP('Données projet'!$B$10,Paramètres!$A$1:$I$89,3,0)*0.475*44/12</f>
        <v>#N/A</v>
      </c>
      <c r="AV84" s="23" t="e">
        <f>EXP(-LN(2)/25)*AV83+(1-EXP(-LN(2)/25))/(LN(2)/25)*Calculateur!AQ84*Calculateur!AS84*VLOOKUP('Données projet'!$B$10,Paramètres!$A$1:$I$89,3,0)*0.475*44/12</f>
        <v>#N/A</v>
      </c>
      <c r="AW84" s="23" t="e">
        <f>EXP(-LN(2)/2)*AW83+(1-EXP(-LN(2)/2))/(LN(2)/2)*AQ84*AT84*VLOOKUP('Données projet'!$B$10,Paramètres!$A$1:$I$89,3,0)*0.475*44/12</f>
        <v>#N/A</v>
      </c>
      <c r="AX84" s="23" t="e">
        <f t="shared" si="60"/>
        <v>#N/A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2">
        <f t="shared" si="86"/>
        <v>14.364521080802797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70">
        <f t="shared" si="56"/>
        <v>403.75590754906477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151.58413719376074</v>
      </c>
      <c r="T85" s="62">
        <f t="shared" si="88"/>
        <v>310.105543138185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35.279524974460287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3.96348452554724E-6</v>
      </c>
      <c r="AC85" s="24">
        <f t="shared" si="57"/>
        <v>35.279528937944811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 t="e">
        <f>AI85*VLOOKUP('Données projet'!$B$10,Paramètres!$A$1:$I$89,3,0)*VLOOKUP('Données projet'!$B$10,Paramètres!$A$1:$I$89,5,0)</f>
        <v>#N/A</v>
      </c>
      <c r="AK85" s="14" t="e">
        <f t="shared" si="89"/>
        <v>#N/A</v>
      </c>
      <c r="AL85" s="22" t="e">
        <f t="shared" si="58"/>
        <v>#N/A</v>
      </c>
      <c r="AM85" s="62" t="e">
        <f t="shared" si="59"/>
        <v>#N/A</v>
      </c>
      <c r="AN85" s="62" t="e">
        <f ca="1">AVERAGE(OFFSET($AM$3,0,0,'Données projet'!$E$10+1,1))-AVERAGE(OFFSET($H$3,0,0,'Données projet'!$E$10+1,1))</f>
        <v>#N/A</v>
      </c>
      <c r="AO85" s="62" t="e">
        <f t="shared" si="90"/>
        <v>#N/A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 t="e">
        <f>EXP(-LN(2)/35)*AU84+(1-EXP(-LN(2)/35))/(LN(2)/35)*AQ85*AR85*VLOOKUP('Données projet'!$B$10,Paramètres!$A$1:$I$89,3,0)*0.475*44/12</f>
        <v>#N/A</v>
      </c>
      <c r="AV85" s="23" t="e">
        <f>EXP(-LN(2)/25)*AV84+(1-EXP(-LN(2)/25))/(LN(2)/25)*Calculateur!AQ85*Calculateur!AS85*VLOOKUP('Données projet'!$B$10,Paramètres!$A$1:$I$89,3,0)*0.475*44/12</f>
        <v>#N/A</v>
      </c>
      <c r="AW85" s="23" t="e">
        <f>EXP(-LN(2)/2)*AW84+(1-EXP(-LN(2)/2))/(LN(2)/2)*AQ85*AT85*VLOOKUP('Données projet'!$B$10,Paramètres!$A$1:$I$89,3,0)*0.475*44/12</f>
        <v>#N/A</v>
      </c>
      <c r="AX85" s="23" t="e">
        <f t="shared" si="60"/>
        <v>#N/A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2">
        <f t="shared" si="86"/>
        <v>14.519198189037443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70">
        <f t="shared" si="56"/>
        <v>405.0668201792401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151.58413719376074</v>
      </c>
      <c r="T86" s="62">
        <f t="shared" si="88"/>
        <v>310.105543138185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34.587715008096588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2.8026067851423994E-6</v>
      </c>
      <c r="AC86" s="24">
        <f t="shared" si="57"/>
        <v>34.587717810703374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 t="e">
        <f>AI86*VLOOKUP('Données projet'!$B$10,Paramètres!$A$1:$I$89,3,0)*VLOOKUP('Données projet'!$B$10,Paramètres!$A$1:$I$89,5,0)</f>
        <v>#N/A</v>
      </c>
      <c r="AK86" s="14" t="e">
        <f t="shared" si="89"/>
        <v>#N/A</v>
      </c>
      <c r="AL86" s="22" t="e">
        <f t="shared" si="58"/>
        <v>#N/A</v>
      </c>
      <c r="AM86" s="62" t="e">
        <f t="shared" si="59"/>
        <v>#N/A</v>
      </c>
      <c r="AN86" s="62" t="e">
        <f ca="1">AVERAGE(OFFSET($AM$3,0,0,'Données projet'!$E$10+1,1))-AVERAGE(OFFSET($H$3,0,0,'Données projet'!$E$10+1,1))</f>
        <v>#N/A</v>
      </c>
      <c r="AO86" s="62" t="e">
        <f t="shared" si="90"/>
        <v>#N/A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 t="e">
        <f>EXP(-LN(2)/35)*AU85+(1-EXP(-LN(2)/35))/(LN(2)/35)*AQ86*AR86*VLOOKUP('Données projet'!$B$10,Paramètres!$A$1:$I$89,3,0)*0.475*44/12</f>
        <v>#N/A</v>
      </c>
      <c r="AV86" s="23" t="e">
        <f>EXP(-LN(2)/25)*AV85+(1-EXP(-LN(2)/25))/(LN(2)/25)*Calculateur!AQ86*Calculateur!AS86*VLOOKUP('Données projet'!$B$10,Paramètres!$A$1:$I$89,3,0)*0.475*44/12</f>
        <v>#N/A</v>
      </c>
      <c r="AW86" s="23" t="e">
        <f>EXP(-LN(2)/2)*AW85+(1-EXP(-LN(2)/2))/(LN(2)/2)*AQ86*AT86*VLOOKUP('Données projet'!$B$10,Paramètres!$A$1:$I$89,3,0)*0.475*44/12</f>
        <v>#N/A</v>
      </c>
      <c r="AX86" s="23" t="e">
        <f t="shared" si="60"/>
        <v>#N/A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2">
        <f t="shared" si="86"/>
        <v>14.673658523093403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70">
        <f t="shared" si="56"/>
        <v>406.37735526105422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151.58413719376074</v>
      </c>
      <c r="T87" s="62">
        <f t="shared" si="88"/>
        <v>310.105543138185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33.909471013210869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1.98174226277362E-6</v>
      </c>
      <c r="AC87" s="24">
        <f t="shared" si="57"/>
        <v>33.909472994953134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 t="e">
        <f>AI87*VLOOKUP('Données projet'!$B$10,Paramètres!$A$1:$I$89,3,0)*VLOOKUP('Données projet'!$B$10,Paramètres!$A$1:$I$89,5,0)</f>
        <v>#N/A</v>
      </c>
      <c r="AK87" s="14" t="e">
        <f t="shared" si="89"/>
        <v>#N/A</v>
      </c>
      <c r="AL87" s="22" t="e">
        <f t="shared" si="58"/>
        <v>#N/A</v>
      </c>
      <c r="AM87" s="62" t="e">
        <f t="shared" si="59"/>
        <v>#N/A</v>
      </c>
      <c r="AN87" s="62" t="e">
        <f ca="1">AVERAGE(OFFSET($AM$3,0,0,'Données projet'!$E$10+1,1))-AVERAGE(OFFSET($H$3,0,0,'Données projet'!$E$10+1,1))</f>
        <v>#N/A</v>
      </c>
      <c r="AO87" s="62" t="e">
        <f t="shared" si="90"/>
        <v>#N/A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 t="e">
        <f>EXP(-LN(2)/35)*AU86+(1-EXP(-LN(2)/35))/(LN(2)/35)*AQ87*AR87*VLOOKUP('Données projet'!$B$10,Paramètres!$A$1:$I$89,3,0)*0.475*44/12</f>
        <v>#N/A</v>
      </c>
      <c r="AV87" s="23" t="e">
        <f>EXP(-LN(2)/25)*AV86+(1-EXP(-LN(2)/25))/(LN(2)/25)*Calculateur!AQ87*Calculateur!AS87*VLOOKUP('Données projet'!$B$10,Paramètres!$A$1:$I$89,3,0)*0.475*44/12</f>
        <v>#N/A</v>
      </c>
      <c r="AW87" s="23" t="e">
        <f>EXP(-LN(2)/2)*AW86+(1-EXP(-LN(2)/2))/(LN(2)/2)*AQ87*AT87*VLOOKUP('Données projet'!$B$10,Paramètres!$A$1:$I$89,3,0)*0.475*44/12</f>
        <v>#N/A</v>
      </c>
      <c r="AX87" s="23" t="e">
        <f t="shared" si="60"/>
        <v>#N/A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2">
        <f t="shared" si="86"/>
        <v>14.827904962144244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70">
        <f t="shared" si="56"/>
        <v>407.6875178090678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151.58413719376074</v>
      </c>
      <c r="T88" s="62">
        <f t="shared" si="88"/>
        <v>310.105543138185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33.244526969376871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1.4013033925711997E-6</v>
      </c>
      <c r="AC88" s="24">
        <f t="shared" si="57"/>
        <v>33.244528370680264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 t="e">
        <f>AI88*VLOOKUP('Données projet'!$B$10,Paramètres!$A$1:$I$89,3,0)*VLOOKUP('Données projet'!$B$10,Paramètres!$A$1:$I$89,5,0)</f>
        <v>#N/A</v>
      </c>
      <c r="AK88" s="14" t="e">
        <f t="shared" si="89"/>
        <v>#N/A</v>
      </c>
      <c r="AL88" s="22" t="e">
        <f t="shared" si="58"/>
        <v>#N/A</v>
      </c>
      <c r="AM88" s="62" t="e">
        <f t="shared" si="59"/>
        <v>#N/A</v>
      </c>
      <c r="AN88" s="62" t="e">
        <f ca="1">AVERAGE(OFFSET($AM$3,0,0,'Données projet'!$E$10+1,1))-AVERAGE(OFFSET($H$3,0,0,'Données projet'!$E$10+1,1))</f>
        <v>#N/A</v>
      </c>
      <c r="AO88" s="62" t="e">
        <f t="shared" si="90"/>
        <v>#N/A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 t="e">
        <f>EXP(-LN(2)/35)*AU87+(1-EXP(-LN(2)/35))/(LN(2)/35)*AQ88*AR88*VLOOKUP('Données projet'!$B$10,Paramètres!$A$1:$I$89,3,0)*0.475*44/12</f>
        <v>#N/A</v>
      </c>
      <c r="AV88" s="23" t="e">
        <f>EXP(-LN(2)/25)*AV87+(1-EXP(-LN(2)/25))/(LN(2)/25)*Calculateur!AQ88*Calculateur!AS88*VLOOKUP('Données projet'!$B$10,Paramètres!$A$1:$I$89,3,0)*0.475*44/12</f>
        <v>#N/A</v>
      </c>
      <c r="AW88" s="23" t="e">
        <f>EXP(-LN(2)/2)*AW87+(1-EXP(-LN(2)/2))/(LN(2)/2)*AQ88*AT88*VLOOKUP('Données projet'!$B$10,Paramètres!$A$1:$I$89,3,0)*0.475*44/12</f>
        <v>#N/A</v>
      </c>
      <c r="AX88" s="23" t="e">
        <f t="shared" si="60"/>
        <v>#N/A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2">
        <f t="shared" si="86"/>
        <v>14.981940313719663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70">
        <f t="shared" si="56"/>
        <v>408.99731271306166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151.58413719376074</v>
      </c>
      <c r="T89" s="62">
        <f t="shared" si="88"/>
        <v>310.105543138185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32.592622072666636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9.9087113138680999E-7</v>
      </c>
      <c r="AC89" s="24">
        <f t="shared" si="57"/>
        <v>32.592623063537765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 t="e">
        <f>AI89*VLOOKUP('Données projet'!$B$10,Paramètres!$A$1:$I$89,3,0)*VLOOKUP('Données projet'!$B$10,Paramètres!$A$1:$I$89,5,0)</f>
        <v>#N/A</v>
      </c>
      <c r="AK89" s="14" t="e">
        <f t="shared" si="89"/>
        <v>#N/A</v>
      </c>
      <c r="AL89" s="22" t="e">
        <f t="shared" si="58"/>
        <v>#N/A</v>
      </c>
      <c r="AM89" s="62" t="e">
        <f t="shared" si="59"/>
        <v>#N/A</v>
      </c>
      <c r="AN89" s="62" t="e">
        <f ca="1">AVERAGE(OFFSET($AM$3,0,0,'Données projet'!$E$10+1,1))-AVERAGE(OFFSET($H$3,0,0,'Données projet'!$E$10+1,1))</f>
        <v>#N/A</v>
      </c>
      <c r="AO89" s="62" t="e">
        <f t="shared" si="90"/>
        <v>#N/A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 t="e">
        <f>EXP(-LN(2)/35)*AU88+(1-EXP(-LN(2)/35))/(LN(2)/35)*AQ89*AR89*VLOOKUP('Données projet'!$B$10,Paramètres!$A$1:$I$89,3,0)*0.475*44/12</f>
        <v>#N/A</v>
      </c>
      <c r="AV89" s="23" t="e">
        <f>EXP(-LN(2)/25)*AV88+(1-EXP(-LN(2)/25))/(LN(2)/25)*Calculateur!AQ89*Calculateur!AS89*VLOOKUP('Données projet'!$B$10,Paramètres!$A$1:$I$89,3,0)*0.475*44/12</f>
        <v>#N/A</v>
      </c>
      <c r="AW89" s="23" t="e">
        <f>EXP(-LN(2)/2)*AW88+(1-EXP(-LN(2)/2))/(LN(2)/2)*AQ89*AT89*VLOOKUP('Données projet'!$B$10,Paramètres!$A$1:$I$89,3,0)*0.475*44/12</f>
        <v>#N/A</v>
      </c>
      <c r="AX89" s="23" t="e">
        <f t="shared" si="60"/>
        <v>#N/A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2">
        <f t="shared" si="86"/>
        <v>15.135767316300113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70">
        <f t="shared" si="56"/>
        <v>410.30674474255591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151.58413719376074</v>
      </c>
      <c r="T90" s="62">
        <f t="shared" si="88"/>
        <v>310.105543138185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31.953500633358168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7.0065169628559984E-7</v>
      </c>
      <c r="AC90" s="24">
        <f t="shared" si="57"/>
        <v>31.953501334009864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 t="e">
        <f>AI90*VLOOKUP('Données projet'!$B$10,Paramètres!$A$1:$I$89,3,0)*VLOOKUP('Données projet'!$B$10,Paramètres!$A$1:$I$89,5,0)</f>
        <v>#N/A</v>
      </c>
      <c r="AK90" s="14" t="e">
        <f t="shared" si="89"/>
        <v>#N/A</v>
      </c>
      <c r="AL90" s="22" t="e">
        <f t="shared" si="58"/>
        <v>#N/A</v>
      </c>
      <c r="AM90" s="62" t="e">
        <f t="shared" si="59"/>
        <v>#N/A</v>
      </c>
      <c r="AN90" s="62" t="e">
        <f ca="1">AVERAGE(OFFSET($AM$3,0,0,'Données projet'!$E$10+1,1))-AVERAGE(OFFSET($H$3,0,0,'Données projet'!$E$10+1,1))</f>
        <v>#N/A</v>
      </c>
      <c r="AO90" s="62" t="e">
        <f t="shared" si="90"/>
        <v>#N/A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 t="e">
        <f>EXP(-LN(2)/35)*AU89+(1-EXP(-LN(2)/35))/(LN(2)/35)*AQ90*AR90*VLOOKUP('Données projet'!$B$10,Paramètres!$A$1:$I$89,3,0)*0.475*44/12</f>
        <v>#N/A</v>
      </c>
      <c r="AV90" s="23" t="e">
        <f>EXP(-LN(2)/25)*AV89+(1-EXP(-LN(2)/25))/(LN(2)/25)*Calculateur!AQ90*Calculateur!AS90*VLOOKUP('Données projet'!$B$10,Paramètres!$A$1:$I$89,3,0)*0.475*44/12</f>
        <v>#N/A</v>
      </c>
      <c r="AW90" s="23" t="e">
        <f>EXP(-LN(2)/2)*AW89+(1-EXP(-LN(2)/2))/(LN(2)/2)*AQ90*AT90*VLOOKUP('Données projet'!$B$10,Paramètres!$A$1:$I$89,3,0)*0.475*44/12</f>
        <v>#N/A</v>
      </c>
      <c r="AX90" s="23" t="e">
        <f t="shared" si="60"/>
        <v>#N/A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2">
        <f t="shared" si="86"/>
        <v>15.289388641788751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70">
        <f t="shared" si="56"/>
        <v>411.6158185511153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151.58413719376074</v>
      </c>
      <c r="T91" s="62">
        <f t="shared" si="88"/>
        <v>310.105543138185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31.326911975648951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4.9543556569340499E-7</v>
      </c>
      <c r="AC91" s="24">
        <f t="shared" si="57"/>
        <v>31.326912471084515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 t="e">
        <f>AI91*VLOOKUP('Données projet'!$B$10,Paramètres!$A$1:$I$89,3,0)*VLOOKUP('Données projet'!$B$10,Paramètres!$A$1:$I$89,5,0)</f>
        <v>#N/A</v>
      </c>
      <c r="AK91" s="14" t="e">
        <f t="shared" si="89"/>
        <v>#N/A</v>
      </c>
      <c r="AL91" s="22" t="e">
        <f t="shared" si="58"/>
        <v>#N/A</v>
      </c>
      <c r="AM91" s="62" t="e">
        <f t="shared" si="59"/>
        <v>#N/A</v>
      </c>
      <c r="AN91" s="62" t="e">
        <f ca="1">AVERAGE(OFFSET($AM$3,0,0,'Données projet'!$E$10+1,1))-AVERAGE(OFFSET($H$3,0,0,'Données projet'!$E$10+1,1))</f>
        <v>#N/A</v>
      </c>
      <c r="AO91" s="62" t="e">
        <f t="shared" si="90"/>
        <v>#N/A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 t="e">
        <f>EXP(-LN(2)/35)*AU90+(1-EXP(-LN(2)/35))/(LN(2)/35)*AQ91*AR91*VLOOKUP('Données projet'!$B$10,Paramètres!$A$1:$I$89,3,0)*0.475*44/12</f>
        <v>#N/A</v>
      </c>
      <c r="AV91" s="23" t="e">
        <f>EXP(-LN(2)/25)*AV90+(1-EXP(-LN(2)/25))/(LN(2)/25)*Calculateur!AQ91*Calculateur!AS91*VLOOKUP('Données projet'!$B$10,Paramètres!$A$1:$I$89,3,0)*0.475*44/12</f>
        <v>#N/A</v>
      </c>
      <c r="AW91" s="23" t="e">
        <f>EXP(-LN(2)/2)*AW90+(1-EXP(-LN(2)/2))/(LN(2)/2)*AQ91*AT91*VLOOKUP('Données projet'!$B$10,Paramètres!$A$1:$I$89,3,0)*0.475*44/12</f>
        <v>#N/A</v>
      </c>
      <c r="AX91" s="23" t="e">
        <f t="shared" si="60"/>
        <v>#N/A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2">
        <f t="shared" si="86"/>
        <v>15.442806897867856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70">
        <f t="shared" si="56"/>
        <v>412.92453868045305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151.58413719376074</v>
      </c>
      <c r="T92" s="62">
        <f t="shared" si="88"/>
        <v>310.105543138185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30.712610339336067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3.5032584814279992E-7</v>
      </c>
      <c r="AC92" s="24">
        <f t="shared" si="57"/>
        <v>30.712610689661915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 t="e">
        <f>AI92*VLOOKUP('Données projet'!$B$10,Paramètres!$A$1:$I$89,3,0)*VLOOKUP('Données projet'!$B$10,Paramètres!$A$1:$I$89,5,0)</f>
        <v>#N/A</v>
      </c>
      <c r="AK92" s="14" t="e">
        <f t="shared" si="89"/>
        <v>#N/A</v>
      </c>
      <c r="AL92" s="22" t="e">
        <f t="shared" si="58"/>
        <v>#N/A</v>
      </c>
      <c r="AM92" s="62" t="e">
        <f t="shared" si="59"/>
        <v>#N/A</v>
      </c>
      <c r="AN92" s="62" t="e">
        <f ca="1">AVERAGE(OFFSET($AM$3,0,0,'Données projet'!$E$10+1,1))-AVERAGE(OFFSET($H$3,0,0,'Données projet'!$E$10+1,1))</f>
        <v>#N/A</v>
      </c>
      <c r="AO92" s="62" t="e">
        <f t="shared" si="90"/>
        <v>#N/A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 t="e">
        <f>EXP(-LN(2)/35)*AU91+(1-EXP(-LN(2)/35))/(LN(2)/35)*AQ92*AR92*VLOOKUP('Données projet'!$B$10,Paramètres!$A$1:$I$89,3,0)*0.475*44/12</f>
        <v>#N/A</v>
      </c>
      <c r="AV92" s="23" t="e">
        <f>EXP(-LN(2)/25)*AV91+(1-EXP(-LN(2)/25))/(LN(2)/25)*Calculateur!AQ92*Calculateur!AS92*VLOOKUP('Données projet'!$B$10,Paramètres!$A$1:$I$89,3,0)*0.475*44/12</f>
        <v>#N/A</v>
      </c>
      <c r="AW92" s="23" t="e">
        <f>EXP(-LN(2)/2)*AW91+(1-EXP(-LN(2)/2))/(LN(2)/2)*AQ92*AT92*VLOOKUP('Données projet'!$B$10,Paramètres!$A$1:$I$89,3,0)*0.475*44/12</f>
        <v>#N/A</v>
      </c>
      <c r="AX92" s="23" t="e">
        <f t="shared" si="60"/>
        <v>#N/A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2">
        <f t="shared" si="86"/>
        <v>15.596024630246252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70">
        <f t="shared" si="56"/>
        <v>414.23290956434545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151.58413719376074</v>
      </c>
      <c r="T93" s="62">
        <f t="shared" si="88"/>
        <v>310.105543138185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30.110354783424278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2.477177828467025E-7</v>
      </c>
      <c r="AC93" s="24">
        <f t="shared" si="57"/>
        <v>30.11035503114206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 t="e">
        <f>AI93*VLOOKUP('Données projet'!$B$10,Paramètres!$A$1:$I$89,3,0)*VLOOKUP('Données projet'!$B$10,Paramètres!$A$1:$I$89,5,0)</f>
        <v>#N/A</v>
      </c>
      <c r="AK93" s="14" t="e">
        <f t="shared" si="89"/>
        <v>#N/A</v>
      </c>
      <c r="AL93" s="22" t="e">
        <f t="shared" si="58"/>
        <v>#N/A</v>
      </c>
      <c r="AM93" s="62" t="e">
        <f t="shared" si="59"/>
        <v>#N/A</v>
      </c>
      <c r="AN93" s="62" t="e">
        <f ca="1">AVERAGE(OFFSET($AM$3,0,0,'Données projet'!$E$10+1,1))-AVERAGE(OFFSET($H$3,0,0,'Données projet'!$E$10+1,1))</f>
        <v>#N/A</v>
      </c>
      <c r="AO93" s="62" t="e">
        <f t="shared" si="90"/>
        <v>#N/A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 t="e">
        <f>EXP(-LN(2)/35)*AU92+(1-EXP(-LN(2)/35))/(LN(2)/35)*AQ93*AR93*VLOOKUP('Données projet'!$B$10,Paramètres!$A$1:$I$89,3,0)*0.475*44/12</f>
        <v>#N/A</v>
      </c>
      <c r="AV93" s="23" t="e">
        <f>EXP(-LN(2)/25)*AV92+(1-EXP(-LN(2)/25))/(LN(2)/25)*Calculateur!AQ93*Calculateur!AS93*VLOOKUP('Données projet'!$B$10,Paramètres!$A$1:$I$89,3,0)*0.475*44/12</f>
        <v>#N/A</v>
      </c>
      <c r="AW93" s="23" t="e">
        <f>EXP(-LN(2)/2)*AW92+(1-EXP(-LN(2)/2))/(LN(2)/2)*AQ93*AT93*VLOOKUP('Données projet'!$B$10,Paramètres!$A$1:$I$89,3,0)*0.475*44/12</f>
        <v>#N/A</v>
      </c>
      <c r="AX93" s="23" t="e">
        <f t="shared" si="60"/>
        <v>#N/A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2">
        <f t="shared" si="86"/>
        <v>15.749044324804029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70">
        <f t="shared" si="56"/>
        <v>415.54093553236692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151.58413719376074</v>
      </c>
      <c r="T94" s="62">
        <f t="shared" si="88"/>
        <v>310.105543138185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29.519909091624303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1.7516292407139996E-7</v>
      </c>
      <c r="AC94" s="24">
        <f t="shared" si="57"/>
        <v>29.519909266787227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 t="e">
        <f>AI94*VLOOKUP('Données projet'!$B$10,Paramètres!$A$1:$I$89,3,0)*VLOOKUP('Données projet'!$B$10,Paramètres!$A$1:$I$89,5,0)</f>
        <v>#N/A</v>
      </c>
      <c r="AK94" s="14" t="e">
        <f t="shared" si="89"/>
        <v>#N/A</v>
      </c>
      <c r="AL94" s="22" t="e">
        <f t="shared" si="58"/>
        <v>#N/A</v>
      </c>
      <c r="AM94" s="62" t="e">
        <f t="shared" si="59"/>
        <v>#N/A</v>
      </c>
      <c r="AN94" s="62" t="e">
        <f ca="1">AVERAGE(OFFSET($AM$3,0,0,'Données projet'!$E$10+1,1))-AVERAGE(OFFSET($H$3,0,0,'Données projet'!$E$10+1,1))</f>
        <v>#N/A</v>
      </c>
      <c r="AO94" s="62" t="e">
        <f t="shared" si="90"/>
        <v>#N/A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 t="e">
        <f>EXP(-LN(2)/35)*AU93+(1-EXP(-LN(2)/35))/(LN(2)/35)*AQ94*AR94*VLOOKUP('Données projet'!$B$10,Paramètres!$A$1:$I$89,3,0)*0.475*44/12</f>
        <v>#N/A</v>
      </c>
      <c r="AV94" s="23" t="e">
        <f>EXP(-LN(2)/25)*AV93+(1-EXP(-LN(2)/25))/(LN(2)/25)*Calculateur!AQ94*Calculateur!AS94*VLOOKUP('Données projet'!$B$10,Paramètres!$A$1:$I$89,3,0)*0.475*44/12</f>
        <v>#N/A</v>
      </c>
      <c r="AW94" s="23" t="e">
        <f>EXP(-LN(2)/2)*AW93+(1-EXP(-LN(2)/2))/(LN(2)/2)*AQ94*AT94*VLOOKUP('Données projet'!$B$10,Paramètres!$A$1:$I$89,3,0)*0.475*44/12</f>
        <v>#N/A</v>
      </c>
      <c r="AX94" s="23" t="e">
        <f t="shared" si="60"/>
        <v>#N/A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2">
        <f t="shared" si="86"/>
        <v>15.901868409640313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70">
        <f t="shared" si="56"/>
        <v>416.84862081345676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151.58413719376074</v>
      </c>
      <c r="T95" s="62">
        <f t="shared" si="88"/>
        <v>310.105543138185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28.941041679704213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1.2385889142335125E-7</v>
      </c>
      <c r="AC95" s="24">
        <f t="shared" si="57"/>
        <v>28.941041803563106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 t="e">
        <f>AI95*VLOOKUP('Données projet'!$B$10,Paramètres!$A$1:$I$89,3,0)*VLOOKUP('Données projet'!$B$10,Paramètres!$A$1:$I$89,5,0)</f>
        <v>#N/A</v>
      </c>
      <c r="AK95" s="14" t="e">
        <f t="shared" si="89"/>
        <v>#N/A</v>
      </c>
      <c r="AL95" s="22" t="e">
        <f t="shared" si="58"/>
        <v>#N/A</v>
      </c>
      <c r="AM95" s="62" t="e">
        <f t="shared" si="59"/>
        <v>#N/A</v>
      </c>
      <c r="AN95" s="62" t="e">
        <f ca="1">AVERAGE(OFFSET($AM$3,0,0,'Données projet'!$E$10+1,1))-AVERAGE(OFFSET($H$3,0,0,'Données projet'!$E$10+1,1))</f>
        <v>#N/A</v>
      </c>
      <c r="AO95" s="62" t="e">
        <f t="shared" si="90"/>
        <v>#N/A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 t="e">
        <f>EXP(-LN(2)/35)*AU94+(1-EXP(-LN(2)/35))/(LN(2)/35)*AQ95*AR95*VLOOKUP('Données projet'!$B$10,Paramètres!$A$1:$I$89,3,0)*0.475*44/12</f>
        <v>#N/A</v>
      </c>
      <c r="AV95" s="23" t="e">
        <f>EXP(-LN(2)/25)*AV94+(1-EXP(-LN(2)/25))/(LN(2)/25)*Calculateur!AQ95*Calculateur!AS95*VLOOKUP('Données projet'!$B$10,Paramètres!$A$1:$I$89,3,0)*0.475*44/12</f>
        <v>#N/A</v>
      </c>
      <c r="AW95" s="23" t="e">
        <f>EXP(-LN(2)/2)*AW94+(1-EXP(-LN(2)/2))/(LN(2)/2)*AQ95*AT95*VLOOKUP('Données projet'!$B$10,Paramètres!$A$1:$I$89,3,0)*0.475*44/12</f>
        <v>#N/A</v>
      </c>
      <c r="AX95" s="23" t="e">
        <f t="shared" si="60"/>
        <v>#N/A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2">
        <f t="shared" si="86"/>
        <v>16.054499257029473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70">
        <f t="shared" si="56"/>
        <v>418.15596953932624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151.58413719376074</v>
      </c>
      <c r="T96" s="62">
        <f t="shared" si="88"/>
        <v>310.105543138185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28.373525504657618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8.7581462035699981E-8</v>
      </c>
      <c r="AC96" s="24">
        <f t="shared" si="57"/>
        <v>28.37352559223908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 t="e">
        <f>AI96*VLOOKUP('Données projet'!$B$10,Paramètres!$A$1:$I$89,3,0)*VLOOKUP('Données projet'!$B$10,Paramètres!$A$1:$I$89,5,0)</f>
        <v>#N/A</v>
      </c>
      <c r="AK96" s="14" t="e">
        <f t="shared" si="89"/>
        <v>#N/A</v>
      </c>
      <c r="AL96" s="22" t="e">
        <f t="shared" si="58"/>
        <v>#N/A</v>
      </c>
      <c r="AM96" s="62" t="e">
        <f t="shared" si="59"/>
        <v>#N/A</v>
      </c>
      <c r="AN96" s="62" t="e">
        <f ca="1">AVERAGE(OFFSET($AM$3,0,0,'Données projet'!$E$10+1,1))-AVERAGE(OFFSET($H$3,0,0,'Données projet'!$E$10+1,1))</f>
        <v>#N/A</v>
      </c>
      <c r="AO96" s="62" t="e">
        <f t="shared" si="90"/>
        <v>#N/A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 t="e">
        <f>EXP(-LN(2)/35)*AU95+(1-EXP(-LN(2)/35))/(LN(2)/35)*AQ96*AR96*VLOOKUP('Données projet'!$B$10,Paramètres!$A$1:$I$89,3,0)*0.475*44/12</f>
        <v>#N/A</v>
      </c>
      <c r="AV96" s="23" t="e">
        <f>EXP(-LN(2)/25)*AV95+(1-EXP(-LN(2)/25))/(LN(2)/25)*Calculateur!AQ96*Calculateur!AS96*VLOOKUP('Données projet'!$B$10,Paramètres!$A$1:$I$89,3,0)*0.475*44/12</f>
        <v>#N/A</v>
      </c>
      <c r="AW96" s="23" t="e">
        <f>EXP(-LN(2)/2)*AW95+(1-EXP(-LN(2)/2))/(LN(2)/2)*AQ96*AT96*VLOOKUP('Données projet'!$B$10,Paramètres!$A$1:$I$89,3,0)*0.475*44/12</f>
        <v>#N/A</v>
      </c>
      <c r="AX96" s="23" t="e">
        <f t="shared" si="60"/>
        <v>#N/A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2">
        <f t="shared" si="86"/>
        <v>16.206939185290693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70">
        <f t="shared" si="56"/>
        <v>419.46298574771453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151.58413719376074</v>
      </c>
      <c r="T97" s="62">
        <f t="shared" si="88"/>
        <v>310.105543138185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27.817137975653001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6.1929445711675624E-8</v>
      </c>
      <c r="AC97" s="24">
        <f t="shared" si="57"/>
        <v>27.817138037582446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 t="e">
        <f>AI97*VLOOKUP('Données projet'!$B$10,Paramètres!$A$1:$I$89,3,0)*VLOOKUP('Données projet'!$B$10,Paramètres!$A$1:$I$89,5,0)</f>
        <v>#N/A</v>
      </c>
      <c r="AK97" s="14" t="e">
        <f t="shared" si="89"/>
        <v>#N/A</v>
      </c>
      <c r="AL97" s="22" t="e">
        <f t="shared" si="58"/>
        <v>#N/A</v>
      </c>
      <c r="AM97" s="62" t="e">
        <f t="shared" si="59"/>
        <v>#N/A</v>
      </c>
      <c r="AN97" s="62" t="e">
        <f ca="1">AVERAGE(OFFSET($AM$3,0,0,'Données projet'!$E$10+1,1))-AVERAGE(OFFSET($H$3,0,0,'Données projet'!$E$10+1,1))</f>
        <v>#N/A</v>
      </c>
      <c r="AO97" s="62" t="e">
        <f t="shared" si="90"/>
        <v>#N/A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 t="e">
        <f>EXP(-LN(2)/35)*AU96+(1-EXP(-LN(2)/35))/(LN(2)/35)*AQ97*AR97*VLOOKUP('Données projet'!$B$10,Paramètres!$A$1:$I$89,3,0)*0.475*44/12</f>
        <v>#N/A</v>
      </c>
      <c r="AV97" s="23" t="e">
        <f>EXP(-LN(2)/25)*AV96+(1-EXP(-LN(2)/25))/(LN(2)/25)*Calculateur!AQ97*Calculateur!AS97*VLOOKUP('Données projet'!$B$10,Paramètres!$A$1:$I$89,3,0)*0.475*44/12</f>
        <v>#N/A</v>
      </c>
      <c r="AW97" s="23" t="e">
        <f>EXP(-LN(2)/2)*AW96+(1-EXP(-LN(2)/2))/(LN(2)/2)*AQ97*AT97*VLOOKUP('Données projet'!$B$10,Paramètres!$A$1:$I$89,3,0)*0.475*44/12</f>
        <v>#N/A</v>
      </c>
      <c r="AX97" s="23" t="e">
        <f t="shared" si="60"/>
        <v>#N/A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2">
        <f t="shared" si="86"/>
        <v>16.359190460575874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70">
        <f t="shared" si="56"/>
        <v>420.76967338550281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151.58413719376074</v>
      </c>
      <c r="T98" s="62">
        <f t="shared" si="88"/>
        <v>310.105543138185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27.271660866729281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4.379073101784999E-8</v>
      </c>
      <c r="AC98" s="24">
        <f t="shared" si="57"/>
        <v>27.271660910520012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 t="e">
        <f>AI98*VLOOKUP('Données projet'!$B$10,Paramètres!$A$1:$I$89,3,0)*VLOOKUP('Données projet'!$B$10,Paramètres!$A$1:$I$89,5,0)</f>
        <v>#N/A</v>
      </c>
      <c r="AK98" s="14" t="e">
        <f t="shared" si="89"/>
        <v>#N/A</v>
      </c>
      <c r="AL98" s="22" t="e">
        <f t="shared" si="58"/>
        <v>#N/A</v>
      </c>
      <c r="AM98" s="62" t="e">
        <f t="shared" si="59"/>
        <v>#N/A</v>
      </c>
      <c r="AN98" s="62" t="e">
        <f ca="1">AVERAGE(OFFSET($AM$3,0,0,'Données projet'!$E$10+1,1))-AVERAGE(OFFSET($H$3,0,0,'Données projet'!$E$10+1,1))</f>
        <v>#N/A</v>
      </c>
      <c r="AO98" s="62" t="e">
        <f t="shared" si="90"/>
        <v>#N/A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 t="e">
        <f>EXP(-LN(2)/35)*AU97+(1-EXP(-LN(2)/35))/(LN(2)/35)*AQ98*AR98*VLOOKUP('Données projet'!$B$10,Paramètres!$A$1:$I$89,3,0)*0.475*44/12</f>
        <v>#N/A</v>
      </c>
      <c r="AV98" s="23" t="e">
        <f>EXP(-LN(2)/25)*AV97+(1-EXP(-LN(2)/25))/(LN(2)/25)*Calculateur!AQ98*Calculateur!AS98*VLOOKUP('Données projet'!$B$10,Paramètres!$A$1:$I$89,3,0)*0.475*44/12</f>
        <v>#N/A</v>
      </c>
      <c r="AW98" s="23" t="e">
        <f>EXP(-LN(2)/2)*AW97+(1-EXP(-LN(2)/2))/(LN(2)/2)*AQ98*AT98*VLOOKUP('Données projet'!$B$10,Paramètres!$A$1:$I$89,3,0)*0.475*44/12</f>
        <v>#N/A</v>
      </c>
      <c r="AX98" s="23" t="e">
        <f t="shared" si="60"/>
        <v>#N/A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2">
        <f t="shared" si="86"/>
        <v>16.51125529857994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70">
        <f t="shared" si="56"/>
        <v>422.07603631169331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151.58413719376074</v>
      </c>
      <c r="T99" s="62">
        <f t="shared" si="88"/>
        <v>310.105543138185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26.736880231203372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3.0964722855837812E-8</v>
      </c>
      <c r="AC99" s="24">
        <f t="shared" si="57"/>
        <v>26.736880262168096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 t="e">
        <f>AI99*VLOOKUP('Données projet'!$B$10,Paramètres!$A$1:$I$89,3,0)*VLOOKUP('Données projet'!$B$10,Paramètres!$A$1:$I$89,5,0)</f>
        <v>#N/A</v>
      </c>
      <c r="AK99" s="14" t="e">
        <f t="shared" si="89"/>
        <v>#N/A</v>
      </c>
      <c r="AL99" s="22" t="e">
        <f t="shared" si="58"/>
        <v>#N/A</v>
      </c>
      <c r="AM99" s="62" t="e">
        <f t="shared" si="59"/>
        <v>#N/A</v>
      </c>
      <c r="AN99" s="62" t="e">
        <f ca="1">AVERAGE(OFFSET($AM$3,0,0,'Données projet'!$E$10+1,1))-AVERAGE(OFFSET($H$3,0,0,'Données projet'!$E$10+1,1))</f>
        <v>#N/A</v>
      </c>
      <c r="AO99" s="62" t="e">
        <f t="shared" si="90"/>
        <v>#N/A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 t="e">
        <f>EXP(-LN(2)/35)*AU98+(1-EXP(-LN(2)/35))/(LN(2)/35)*AQ99*AR99*VLOOKUP('Données projet'!$B$10,Paramètres!$A$1:$I$89,3,0)*0.475*44/12</f>
        <v>#N/A</v>
      </c>
      <c r="AV99" s="23" t="e">
        <f>EXP(-LN(2)/25)*AV98+(1-EXP(-LN(2)/25))/(LN(2)/25)*Calculateur!AQ99*Calculateur!AS99*VLOOKUP('Données projet'!$B$10,Paramètres!$A$1:$I$89,3,0)*0.475*44/12</f>
        <v>#N/A</v>
      </c>
      <c r="AW99" s="23" t="e">
        <f>EXP(-LN(2)/2)*AW98+(1-EXP(-LN(2)/2))/(LN(2)/2)*AQ99*AT99*VLOOKUP('Données projet'!$B$10,Paramètres!$A$1:$I$89,3,0)*0.475*44/12</f>
        <v>#N/A</v>
      </c>
      <c r="AX99" s="23" t="e">
        <f t="shared" si="60"/>
        <v>#N/A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2">
        <f t="shared" si="86"/>
        <v>16.663135866177953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70">
        <f t="shared" si="56"/>
        <v>423.38207830025976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151.58413719376074</v>
      </c>
      <c r="T100" s="62">
        <f t="shared" si="88"/>
        <v>310.105543138185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26.212586317756145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2.1895365508924995E-8</v>
      </c>
      <c r="AC100" s="24">
        <f t="shared" si="57"/>
        <v>26.212586339651509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 t="e">
        <f>AI100*VLOOKUP('Données projet'!$B$10,Paramètres!$A$1:$I$89,3,0)*VLOOKUP('Données projet'!$B$10,Paramètres!$A$1:$I$89,5,0)</f>
        <v>#N/A</v>
      </c>
      <c r="AK100" s="14" t="e">
        <f t="shared" si="89"/>
        <v>#N/A</v>
      </c>
      <c r="AL100" s="22" t="e">
        <f t="shared" si="58"/>
        <v>#N/A</v>
      </c>
      <c r="AM100" s="62" t="e">
        <f t="shared" si="59"/>
        <v>#N/A</v>
      </c>
      <c r="AN100" s="62" t="e">
        <f ca="1">AVERAGE(OFFSET($AM$3,0,0,'Données projet'!$E$10+1,1))-AVERAGE(OFFSET($H$3,0,0,'Données projet'!$E$10+1,1))</f>
        <v>#N/A</v>
      </c>
      <c r="AO100" s="62" t="e">
        <f t="shared" si="90"/>
        <v>#N/A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 t="e">
        <f>EXP(-LN(2)/35)*AU99+(1-EXP(-LN(2)/35))/(LN(2)/35)*AQ100*AR100*VLOOKUP('Données projet'!$B$10,Paramètres!$A$1:$I$89,3,0)*0.475*44/12</f>
        <v>#N/A</v>
      </c>
      <c r="AV100" s="23" t="e">
        <f>EXP(-LN(2)/25)*AV99+(1-EXP(-LN(2)/25))/(LN(2)/25)*Calculateur!AQ100*Calculateur!AS100*VLOOKUP('Données projet'!$B$10,Paramètres!$A$1:$I$89,3,0)*0.475*44/12</f>
        <v>#N/A</v>
      </c>
      <c r="AW100" s="23" t="e">
        <f>EXP(-LN(2)/2)*AW99+(1-EXP(-LN(2)/2))/(LN(2)/2)*AQ100*AT100*VLOOKUP('Données projet'!$B$10,Paramètres!$A$1:$I$89,3,0)*0.475*44/12</f>
        <v>#N/A</v>
      </c>
      <c r="AX100" s="23" t="e">
        <f t="shared" si="60"/>
        <v>#N/A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2">
        <f t="shared" si="86"/>
        <v>16.81483428299277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70">
        <f t="shared" si="56"/>
        <v>424.68780304287895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151.58413719376074</v>
      </c>
      <c r="T101" s="62">
        <f t="shared" si="88"/>
        <v>310.105543138185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25.698573488163905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1.5482361427918906E-8</v>
      </c>
      <c r="AC101" s="24">
        <f t="shared" si="57"/>
        <v>25.698573503646266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 t="e">
        <f>AI101*VLOOKUP('Données projet'!$B$10,Paramètres!$A$1:$I$89,3,0)*VLOOKUP('Données projet'!$B$10,Paramètres!$A$1:$I$89,5,0)</f>
        <v>#N/A</v>
      </c>
      <c r="AK101" s="14" t="e">
        <f t="shared" si="89"/>
        <v>#N/A</v>
      </c>
      <c r="AL101" s="22" t="e">
        <f t="shared" si="58"/>
        <v>#N/A</v>
      </c>
      <c r="AM101" s="62" t="e">
        <f t="shared" si="59"/>
        <v>#N/A</v>
      </c>
      <c r="AN101" s="62" t="e">
        <f ca="1">AVERAGE(OFFSET($AM$3,0,0,'Données projet'!$E$10+1,1))-AVERAGE(OFFSET($H$3,0,0,'Données projet'!$E$10+1,1))</f>
        <v>#N/A</v>
      </c>
      <c r="AO101" s="62" t="e">
        <f t="shared" si="90"/>
        <v>#N/A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 t="e">
        <f>EXP(-LN(2)/35)*AU100+(1-EXP(-LN(2)/35))/(LN(2)/35)*AQ101*AR101*VLOOKUP('Données projet'!$B$10,Paramètres!$A$1:$I$89,3,0)*0.475*44/12</f>
        <v>#N/A</v>
      </c>
      <c r="AV101" s="23" t="e">
        <f>EXP(-LN(2)/25)*AV100+(1-EXP(-LN(2)/25))/(LN(2)/25)*Calculateur!AQ101*Calculateur!AS101*VLOOKUP('Données projet'!$B$10,Paramètres!$A$1:$I$89,3,0)*0.475*44/12</f>
        <v>#N/A</v>
      </c>
      <c r="AW101" s="23" t="e">
        <f>EXP(-LN(2)/2)*AW100+(1-EXP(-LN(2)/2))/(LN(2)/2)*AQ101*AT101*VLOOKUP('Données projet'!$B$10,Paramètres!$A$1:$I$89,3,0)*0.475*44/12</f>
        <v>#N/A</v>
      </c>
      <c r="AX101" s="23" t="e">
        <f t="shared" si="60"/>
        <v>#N/A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2">
        <f t="shared" si="86"/>
        <v>16.96635262289686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70">
        <f t="shared" si="56"/>
        <v>425.9932141515452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151.58413719376074</v>
      </c>
      <c r="T102" s="62">
        <f t="shared" si="88"/>
        <v>310.105543138185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25.194640136643102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1.0947682754462498E-8</v>
      </c>
      <c r="AC102" s="24">
        <f t="shared" si="57"/>
        <v>25.194640147590786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 t="e">
        <f>AI102*VLOOKUP('Données projet'!$B$10,Paramètres!$A$1:$I$89,3,0)*VLOOKUP('Données projet'!$B$10,Paramètres!$A$1:$I$89,5,0)</f>
        <v>#N/A</v>
      </c>
      <c r="AK102" s="14" t="e">
        <f t="shared" si="89"/>
        <v>#N/A</v>
      </c>
      <c r="AL102" s="22" t="e">
        <f t="shared" si="58"/>
        <v>#N/A</v>
      </c>
      <c r="AM102" s="62" t="e">
        <f t="shared" si="59"/>
        <v>#N/A</v>
      </c>
      <c r="AN102" s="62" t="e">
        <f ca="1">AVERAGE(OFFSET($AM$3,0,0,'Données projet'!$E$10+1,1))-AVERAGE(OFFSET($H$3,0,0,'Données projet'!$E$10+1,1))</f>
        <v>#N/A</v>
      </c>
      <c r="AO102" s="62" t="e">
        <f t="shared" si="90"/>
        <v>#N/A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 t="e">
        <f>EXP(-LN(2)/35)*AU101+(1-EXP(-LN(2)/35))/(LN(2)/35)*AQ102*AR102*VLOOKUP('Données projet'!$B$10,Paramètres!$A$1:$I$89,3,0)*0.475*44/12</f>
        <v>#N/A</v>
      </c>
      <c r="AV102" s="23" t="e">
        <f>EXP(-LN(2)/25)*AV101+(1-EXP(-LN(2)/25))/(LN(2)/25)*Calculateur!AQ102*Calculateur!AS102*VLOOKUP('Données projet'!$B$10,Paramètres!$A$1:$I$89,3,0)*0.475*44/12</f>
        <v>#N/A</v>
      </c>
      <c r="AW102" s="23" t="e">
        <f>EXP(-LN(2)/2)*AW101+(1-EXP(-LN(2)/2))/(LN(2)/2)*AQ102*AT102*VLOOKUP('Données projet'!$B$10,Paramètres!$A$1:$I$89,3,0)*0.475*44/12</f>
        <v>#N/A</v>
      </c>
      <c r="AX102" s="23" t="e">
        <f t="shared" si="60"/>
        <v>#N/A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2">
        <f t="shared" si="86"/>
        <v>17.117692915451709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70">
        <f t="shared" si="56"/>
        <v>427.29831516107822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151.58413719376074</v>
      </c>
      <c r="T103" s="62">
        <f t="shared" si="88"/>
        <v>310.105543138185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24.700588610776627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7.741180713959453E-9</v>
      </c>
      <c r="AC103" s="24">
        <f t="shared" si="57"/>
        <v>24.700588618517809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 t="e">
        <f>AI103*VLOOKUP('Données projet'!$B$10,Paramètres!$A$1:$I$89,3,0)*VLOOKUP('Données projet'!$B$10,Paramètres!$A$1:$I$89,5,0)</f>
        <v>#N/A</v>
      </c>
      <c r="AK103" s="14" t="e">
        <f t="shared" si="89"/>
        <v>#N/A</v>
      </c>
      <c r="AL103" s="22" t="e">
        <f t="shared" si="58"/>
        <v>#N/A</v>
      </c>
      <c r="AM103" s="62" t="e">
        <f t="shared" si="59"/>
        <v>#N/A</v>
      </c>
      <c r="AN103" s="62" t="e">
        <f ca="1">AVERAGE(OFFSET($AM$3,0,0,'Données projet'!$E$10+1,1))-AVERAGE(OFFSET($H$3,0,0,'Données projet'!$E$10+1,1))</f>
        <v>#N/A</v>
      </c>
      <c r="AO103" s="62" t="e">
        <f t="shared" si="90"/>
        <v>#N/A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 t="e">
        <f>EXP(-LN(2)/35)*AU102+(1-EXP(-LN(2)/35))/(LN(2)/35)*AQ103*AR103*VLOOKUP('Données projet'!$B$10,Paramètres!$A$1:$I$89,3,0)*0.475*44/12</f>
        <v>#N/A</v>
      </c>
      <c r="AV103" s="23" t="e">
        <f>EXP(-LN(2)/25)*AV102+(1-EXP(-LN(2)/25))/(LN(2)/25)*Calculateur!AQ103*Calculateur!AS103*VLOOKUP('Données projet'!$B$10,Paramètres!$A$1:$I$89,3,0)*0.475*44/12</f>
        <v>#N/A</v>
      </c>
      <c r="AW103" s="23" t="e">
        <f>EXP(-LN(2)/2)*AW102+(1-EXP(-LN(2)/2))/(LN(2)/2)*AQ103*AT103*VLOOKUP('Données projet'!$B$10,Paramètres!$A$1:$I$89,3,0)*0.475*44/12</f>
        <v>#N/A</v>
      </c>
      <c r="AX103" s="23" t="e">
        <f t="shared" si="60"/>
        <v>#N/A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2">
        <f t="shared" si="86"/>
        <v>17.268857147288056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70">
        <f t="shared" si="56"/>
        <v>428.60310953152657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151.58413719376074</v>
      </c>
      <c r="T104" s="62">
        <f t="shared" si="88"/>
        <v>310.105543138185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24.216225133990719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5.4738413772312488E-9</v>
      </c>
      <c r="AC104" s="24">
        <f t="shared" si="57"/>
        <v>24.216225139464559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 t="e">
        <f>AI104*VLOOKUP('Données projet'!$B$10,Paramètres!$A$1:$I$89,3,0)*VLOOKUP('Données projet'!$B$10,Paramètres!$A$1:$I$89,5,0)</f>
        <v>#N/A</v>
      </c>
      <c r="AK104" s="14" t="e">
        <f t="shared" si="89"/>
        <v>#N/A</v>
      </c>
      <c r="AL104" s="22" t="e">
        <f t="shared" si="58"/>
        <v>#N/A</v>
      </c>
      <c r="AM104" s="62" t="e">
        <f t="shared" si="59"/>
        <v>#N/A</v>
      </c>
      <c r="AN104" s="62" t="e">
        <f ca="1">AVERAGE(OFFSET($AM$3,0,0,'Données projet'!$E$10+1,1))-AVERAGE(OFFSET($H$3,0,0,'Données projet'!$E$10+1,1))</f>
        <v>#N/A</v>
      </c>
      <c r="AO104" s="62" t="e">
        <f t="shared" si="90"/>
        <v>#N/A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 t="e">
        <f>EXP(-LN(2)/35)*AU103+(1-EXP(-LN(2)/35))/(LN(2)/35)*AQ104*AR104*VLOOKUP('Données projet'!$B$10,Paramètres!$A$1:$I$89,3,0)*0.475*44/12</f>
        <v>#N/A</v>
      </c>
      <c r="AV104" s="23" t="e">
        <f>EXP(-LN(2)/25)*AV103+(1-EXP(-LN(2)/25))/(LN(2)/25)*Calculateur!AQ104*Calculateur!AS104*VLOOKUP('Données projet'!$B$10,Paramètres!$A$1:$I$89,3,0)*0.475*44/12</f>
        <v>#N/A</v>
      </c>
      <c r="AW104" s="23" t="e">
        <f>EXP(-LN(2)/2)*AW103+(1-EXP(-LN(2)/2))/(LN(2)/2)*AQ104*AT104*VLOOKUP('Données projet'!$B$10,Paramètres!$A$1:$I$89,3,0)*0.475*44/12</f>
        <v>#N/A</v>
      </c>
      <c r="AX104" s="23" t="e">
        <f t="shared" si="60"/>
        <v>#N/A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2">
        <f t="shared" si="86"/>
        <v>17.419847263429784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70">
        <f t="shared" si="56"/>
        <v>429.9076006504734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151.58413719376074</v>
      </c>
      <c r="T105" s="62">
        <f t="shared" si="88"/>
        <v>310.105543138185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23.741359729552034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3.8705903569797265E-9</v>
      </c>
      <c r="AC105" s="24">
        <f t="shared" si="57"/>
        <v>23.741359733422623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 t="e">
        <f>AI105*VLOOKUP('Données projet'!$B$10,Paramètres!$A$1:$I$89,3,0)*VLOOKUP('Données projet'!$B$10,Paramètres!$A$1:$I$89,5,0)</f>
        <v>#N/A</v>
      </c>
      <c r="AK105" s="14" t="e">
        <f t="shared" si="89"/>
        <v>#N/A</v>
      </c>
      <c r="AL105" s="22" t="e">
        <f t="shared" si="58"/>
        <v>#N/A</v>
      </c>
      <c r="AM105" s="62" t="e">
        <f t="shared" si="59"/>
        <v>#N/A</v>
      </c>
      <c r="AN105" s="62" t="e">
        <f ca="1">AVERAGE(OFFSET($AM$3,0,0,'Données projet'!$E$10+1,1))-AVERAGE(OFFSET($H$3,0,0,'Données projet'!$E$10+1,1))</f>
        <v>#N/A</v>
      </c>
      <c r="AO105" s="62" t="e">
        <f t="shared" si="90"/>
        <v>#N/A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 t="e">
        <f>EXP(-LN(2)/35)*AU104+(1-EXP(-LN(2)/35))/(LN(2)/35)*AQ105*AR105*VLOOKUP('Données projet'!$B$10,Paramètres!$A$1:$I$89,3,0)*0.475*44/12</f>
        <v>#N/A</v>
      </c>
      <c r="AV105" s="23" t="e">
        <f>EXP(-LN(2)/25)*AV104+(1-EXP(-LN(2)/25))/(LN(2)/25)*Calculateur!AQ105*Calculateur!AS105*VLOOKUP('Données projet'!$B$10,Paramètres!$A$1:$I$89,3,0)*0.475*44/12</f>
        <v>#N/A</v>
      </c>
      <c r="AW105" s="23" t="e">
        <f>EXP(-LN(2)/2)*AW104+(1-EXP(-LN(2)/2))/(LN(2)/2)*AQ105*AT105*VLOOKUP('Données projet'!$B$10,Paramètres!$A$1:$I$89,3,0)*0.475*44/12</f>
        <v>#N/A</v>
      </c>
      <c r="AX105" s="23" t="e">
        <f t="shared" si="60"/>
        <v>#N/A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2">
        <f t="shared" si="86"/>
        <v>17.570665168564602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70">
        <f t="shared" si="56"/>
        <v>431.21179183524987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151.58413719376074</v>
      </c>
      <c r="T106" s="62">
        <f t="shared" si="88"/>
        <v>310.105543138185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23.275806146055093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2.7369206886156244E-9</v>
      </c>
      <c r="AC106" s="24">
        <f t="shared" si="57"/>
        <v>23.275806148792014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 t="e">
        <f>AI106*VLOOKUP('Données projet'!$B$10,Paramètres!$A$1:$I$89,3,0)*VLOOKUP('Données projet'!$B$10,Paramètres!$A$1:$I$89,5,0)</f>
        <v>#N/A</v>
      </c>
      <c r="AK106" s="14" t="e">
        <f t="shared" si="89"/>
        <v>#N/A</v>
      </c>
      <c r="AL106" s="22" t="e">
        <f t="shared" si="58"/>
        <v>#N/A</v>
      </c>
      <c r="AM106" s="62" t="e">
        <f t="shared" si="59"/>
        <v>#N/A</v>
      </c>
      <c r="AN106" s="62" t="e">
        <f ca="1">AVERAGE(OFFSET($AM$3,0,0,'Données projet'!$E$10+1,1))-AVERAGE(OFFSET($H$3,0,0,'Données projet'!$E$10+1,1))</f>
        <v>#N/A</v>
      </c>
      <c r="AO106" s="62" t="e">
        <f t="shared" si="90"/>
        <v>#N/A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 t="e">
        <f>EXP(-LN(2)/35)*AU105+(1-EXP(-LN(2)/35))/(LN(2)/35)*AQ106*AR106*VLOOKUP('Données projet'!$B$10,Paramètres!$A$1:$I$89,3,0)*0.475*44/12</f>
        <v>#N/A</v>
      </c>
      <c r="AV106" s="23" t="e">
        <f>EXP(-LN(2)/25)*AV105+(1-EXP(-LN(2)/25))/(LN(2)/25)*Calculateur!AQ106*Calculateur!AS106*VLOOKUP('Données projet'!$B$10,Paramètres!$A$1:$I$89,3,0)*0.475*44/12</f>
        <v>#N/A</v>
      </c>
      <c r="AW106" s="23" t="e">
        <f>EXP(-LN(2)/2)*AW105+(1-EXP(-LN(2)/2))/(LN(2)/2)*AQ106*AT106*VLOOKUP('Données projet'!$B$10,Paramètres!$A$1:$I$89,3,0)*0.475*44/12</f>
        <v>#N/A</v>
      </c>
      <c r="AX106" s="23" t="e">
        <f t="shared" si="60"/>
        <v>#N/A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2">
        <f t="shared" si="86"/>
        <v>17.721312728263729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70">
        <f t="shared" si="56"/>
        <v>432.51568633505917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151.58413719376074</v>
      </c>
      <c r="T107" s="62">
        <f t="shared" si="88"/>
        <v>310.105543138185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22.819381784370879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1.9352951784898633E-9</v>
      </c>
      <c r="AC107" s="24">
        <f t="shared" si="57"/>
        <v>22.819381786306174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 t="e">
        <f>AI107*VLOOKUP('Données projet'!$B$10,Paramètres!$A$1:$I$89,3,0)*VLOOKUP('Données projet'!$B$10,Paramètres!$A$1:$I$89,5,0)</f>
        <v>#N/A</v>
      </c>
      <c r="AK107" s="14" t="e">
        <f t="shared" si="89"/>
        <v>#N/A</v>
      </c>
      <c r="AL107" s="22" t="e">
        <f t="shared" si="58"/>
        <v>#N/A</v>
      </c>
      <c r="AM107" s="62" t="e">
        <f t="shared" si="59"/>
        <v>#N/A</v>
      </c>
      <c r="AN107" s="62" t="e">
        <f ca="1">AVERAGE(OFFSET($AM$3,0,0,'Données projet'!$E$10+1,1))-AVERAGE(OFFSET($H$3,0,0,'Données projet'!$E$10+1,1))</f>
        <v>#N/A</v>
      </c>
      <c r="AO107" s="62" t="e">
        <f t="shared" si="90"/>
        <v>#N/A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 t="e">
        <f>EXP(-LN(2)/35)*AU106+(1-EXP(-LN(2)/35))/(LN(2)/35)*AQ107*AR107*VLOOKUP('Données projet'!$B$10,Paramètres!$A$1:$I$89,3,0)*0.475*44/12</f>
        <v>#N/A</v>
      </c>
      <c r="AV107" s="23" t="e">
        <f>EXP(-LN(2)/25)*AV106+(1-EXP(-LN(2)/25))/(LN(2)/25)*Calculateur!AQ107*Calculateur!AS107*VLOOKUP('Données projet'!$B$10,Paramètres!$A$1:$I$89,3,0)*0.475*44/12</f>
        <v>#N/A</v>
      </c>
      <c r="AW107" s="23" t="e">
        <f>EXP(-LN(2)/2)*AW106+(1-EXP(-LN(2)/2))/(LN(2)/2)*AQ107*AT107*VLOOKUP('Données projet'!$B$10,Paramètres!$A$1:$I$89,3,0)*0.475*44/12</f>
        <v>#N/A</v>
      </c>
      <c r="AX107" s="23" t="e">
        <f t="shared" si="60"/>
        <v>#N/A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2">
        <f t="shared" si="86"/>
        <v>17.871791770153557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70">
        <f t="shared" si="56"/>
        <v>433.81928733301731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151.58413719376074</v>
      </c>
      <c r="T108" s="62">
        <f t="shared" si="88"/>
        <v>310.105543138185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22.371907626027923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1.3684603443078122E-9</v>
      </c>
      <c r="AC108" s="24">
        <f t="shared" si="57"/>
        <v>22.371907627396382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 t="e">
        <f>AI108*VLOOKUP('Données projet'!$B$10,Paramètres!$A$1:$I$89,3,0)*VLOOKUP('Données projet'!$B$10,Paramètres!$A$1:$I$89,5,0)</f>
        <v>#N/A</v>
      </c>
      <c r="AK108" s="14" t="e">
        <f t="shared" si="89"/>
        <v>#N/A</v>
      </c>
      <c r="AL108" s="22" t="e">
        <f t="shared" si="58"/>
        <v>#N/A</v>
      </c>
      <c r="AM108" s="62" t="e">
        <f t="shared" si="59"/>
        <v>#N/A</v>
      </c>
      <c r="AN108" s="62" t="e">
        <f ca="1">AVERAGE(OFFSET($AM$3,0,0,'Données projet'!$E$10+1,1))-AVERAGE(OFFSET($H$3,0,0,'Données projet'!$E$10+1,1))</f>
        <v>#N/A</v>
      </c>
      <c r="AO108" s="62" t="e">
        <f t="shared" si="90"/>
        <v>#N/A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 t="e">
        <f>EXP(-LN(2)/35)*AU107+(1-EXP(-LN(2)/35))/(LN(2)/35)*AQ108*AR108*VLOOKUP('Données projet'!$B$10,Paramètres!$A$1:$I$89,3,0)*0.475*44/12</f>
        <v>#N/A</v>
      </c>
      <c r="AV108" s="23" t="e">
        <f>EXP(-LN(2)/25)*AV107+(1-EXP(-LN(2)/25))/(LN(2)/25)*Calculateur!AQ108*Calculateur!AS108*VLOOKUP('Données projet'!$B$10,Paramètres!$A$1:$I$89,3,0)*0.475*44/12</f>
        <v>#N/A</v>
      </c>
      <c r="AW108" s="23" t="e">
        <f>EXP(-LN(2)/2)*AW107+(1-EXP(-LN(2)/2))/(LN(2)/2)*AQ108*AT108*VLOOKUP('Données projet'!$B$10,Paramètres!$A$1:$I$89,3,0)*0.475*44/12</f>
        <v>#N/A</v>
      </c>
      <c r="AX108" s="23" t="e">
        <f t="shared" si="60"/>
        <v>#N/A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2">
        <f t="shared" si="86"/>
        <v>18.022104085041239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70">
        <f t="shared" si="56"/>
        <v>435.12259794811337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151.58413719376074</v>
      </c>
      <c r="T109" s="62">
        <f t="shared" si="88"/>
        <v>310.105543138185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21.933208162997783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9.6764758924493163E-10</v>
      </c>
      <c r="AC109" s="24">
        <f t="shared" si="57"/>
        <v>21.933208163965432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 t="e">
        <f>AI109*VLOOKUP('Données projet'!$B$10,Paramètres!$A$1:$I$89,3,0)*VLOOKUP('Données projet'!$B$10,Paramètres!$A$1:$I$89,5,0)</f>
        <v>#N/A</v>
      </c>
      <c r="AK109" s="14" t="e">
        <f t="shared" si="89"/>
        <v>#N/A</v>
      </c>
      <c r="AL109" s="22" t="e">
        <f t="shared" si="58"/>
        <v>#N/A</v>
      </c>
      <c r="AM109" s="62" t="e">
        <f t="shared" si="59"/>
        <v>#N/A</v>
      </c>
      <c r="AN109" s="62" t="e">
        <f ca="1">AVERAGE(OFFSET($AM$3,0,0,'Données projet'!$E$10+1,1))-AVERAGE(OFFSET($H$3,0,0,'Données projet'!$E$10+1,1))</f>
        <v>#N/A</v>
      </c>
      <c r="AO109" s="62" t="e">
        <f t="shared" si="90"/>
        <v>#N/A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 t="e">
        <f>EXP(-LN(2)/35)*AU108+(1-EXP(-LN(2)/35))/(LN(2)/35)*AQ109*AR109*VLOOKUP('Données projet'!$B$10,Paramètres!$A$1:$I$89,3,0)*0.475*44/12</f>
        <v>#N/A</v>
      </c>
      <c r="AV109" s="23" t="e">
        <f>EXP(-LN(2)/25)*AV108+(1-EXP(-LN(2)/25))/(LN(2)/25)*Calculateur!AQ109*Calculateur!AS109*VLOOKUP('Données projet'!$B$10,Paramètres!$A$1:$I$89,3,0)*0.475*44/12</f>
        <v>#N/A</v>
      </c>
      <c r="AW109" s="23" t="e">
        <f>EXP(-LN(2)/2)*AW108+(1-EXP(-LN(2)/2))/(LN(2)/2)*AQ109*AT109*VLOOKUP('Données projet'!$B$10,Paramètres!$A$1:$I$89,3,0)*0.475*44/12</f>
        <v>#N/A</v>
      </c>
      <c r="AX109" s="23" t="e">
        <f t="shared" si="60"/>
        <v>#N/A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2">
        <f t="shared" si="86"/>
        <v>18.172251427996631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70">
        <f t="shared" si="56"/>
        <v>436.42562123709399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151.58413719376074</v>
      </c>
      <c r="T110" s="62">
        <f t="shared" si="88"/>
        <v>310.105543138185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21.503111328857415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6.842301721539061E-10</v>
      </c>
      <c r="AC110" s="24">
        <f t="shared" si="57"/>
        <v>21.503111329541646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 t="e">
        <f>AI110*VLOOKUP('Données projet'!$B$10,Paramètres!$A$1:$I$89,3,0)*VLOOKUP('Données projet'!$B$10,Paramètres!$A$1:$I$89,5,0)</f>
        <v>#N/A</v>
      </c>
      <c r="AK110" s="14" t="e">
        <f t="shared" si="89"/>
        <v>#N/A</v>
      </c>
      <c r="AL110" s="22" t="e">
        <f t="shared" si="58"/>
        <v>#N/A</v>
      </c>
      <c r="AM110" s="62" t="e">
        <f t="shared" si="59"/>
        <v>#N/A</v>
      </c>
      <c r="AN110" s="62" t="e">
        <f ca="1">AVERAGE(OFFSET($AM$3,0,0,'Données projet'!$E$10+1,1))-AVERAGE(OFFSET($H$3,0,0,'Données projet'!$E$10+1,1))</f>
        <v>#N/A</v>
      </c>
      <c r="AO110" s="62" t="e">
        <f t="shared" si="90"/>
        <v>#N/A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 t="e">
        <f>EXP(-LN(2)/35)*AU109+(1-EXP(-LN(2)/35))/(LN(2)/35)*AQ110*AR110*VLOOKUP('Données projet'!$B$10,Paramètres!$A$1:$I$89,3,0)*0.475*44/12</f>
        <v>#N/A</v>
      </c>
      <c r="AV110" s="23" t="e">
        <f>EXP(-LN(2)/25)*AV109+(1-EXP(-LN(2)/25))/(LN(2)/25)*Calculateur!AQ110*Calculateur!AS110*VLOOKUP('Données projet'!$B$10,Paramètres!$A$1:$I$89,3,0)*0.475*44/12</f>
        <v>#N/A</v>
      </c>
      <c r="AW110" s="23" t="e">
        <f>EXP(-LN(2)/2)*AW109+(1-EXP(-LN(2)/2))/(LN(2)/2)*AQ110*AT110*VLOOKUP('Données projet'!$B$10,Paramètres!$A$1:$I$89,3,0)*0.475*44/12</f>
        <v>#N/A</v>
      </c>
      <c r="AX110" s="23" t="e">
        <f t="shared" si="60"/>
        <v>#N/A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2">
        <f t="shared" si="86"/>
        <v>18.322235519392716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70">
        <f t="shared" si="56"/>
        <v>437.7283601962755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151.58413719376074</v>
      </c>
      <c r="T111" s="62">
        <f t="shared" si="88"/>
        <v>310.105543138185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21.081448431301371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4.8382379462246581E-10</v>
      </c>
      <c r="AC111" s="24">
        <f t="shared" si="57"/>
        <v>21.081448431785194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 t="e">
        <f>AI111*VLOOKUP('Données projet'!$B$10,Paramètres!$A$1:$I$89,3,0)*VLOOKUP('Données projet'!$B$10,Paramètres!$A$1:$I$89,5,0)</f>
        <v>#N/A</v>
      </c>
      <c r="AK111" s="14" t="e">
        <f t="shared" si="89"/>
        <v>#N/A</v>
      </c>
      <c r="AL111" s="22" t="e">
        <f t="shared" si="58"/>
        <v>#N/A</v>
      </c>
      <c r="AM111" s="62" t="e">
        <f t="shared" si="59"/>
        <v>#N/A</v>
      </c>
      <c r="AN111" s="62" t="e">
        <f ca="1">AVERAGE(OFFSET($AM$3,0,0,'Données projet'!$E$10+1,1))-AVERAGE(OFFSET($H$3,0,0,'Données projet'!$E$10+1,1))</f>
        <v>#N/A</v>
      </c>
      <c r="AO111" s="62" t="e">
        <f t="shared" si="90"/>
        <v>#N/A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 t="e">
        <f>EXP(-LN(2)/35)*AU110+(1-EXP(-LN(2)/35))/(LN(2)/35)*AQ111*AR111*VLOOKUP('Données projet'!$B$10,Paramètres!$A$1:$I$89,3,0)*0.475*44/12</f>
        <v>#N/A</v>
      </c>
      <c r="AV111" s="23" t="e">
        <f>EXP(-LN(2)/25)*AV110+(1-EXP(-LN(2)/25))/(LN(2)/25)*Calculateur!AQ111*Calculateur!AS111*VLOOKUP('Données projet'!$B$10,Paramètres!$A$1:$I$89,3,0)*0.475*44/12</f>
        <v>#N/A</v>
      </c>
      <c r="AW111" s="23" t="e">
        <f>EXP(-LN(2)/2)*AW110+(1-EXP(-LN(2)/2))/(LN(2)/2)*AQ111*AT111*VLOOKUP('Données projet'!$B$10,Paramètres!$A$1:$I$89,3,0)*0.475*44/12</f>
        <v>#N/A</v>
      </c>
      <c r="AX111" s="23" t="e">
        <f t="shared" si="60"/>
        <v>#N/A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2">
        <f t="shared" si="86"/>
        <v>18.472058045906209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645.7506235122579</v>
      </c>
      <c r="H112" s="70">
        <f t="shared" si="56"/>
        <v>439.03081776328651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151.58413719376074</v>
      </c>
      <c r="T112" s="62">
        <f t="shared" si="88"/>
        <v>310.105543138185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20.668054085977431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3.4211508607695305E-10</v>
      </c>
      <c r="AC112" s="24">
        <f t="shared" si="57"/>
        <v>20.668054086319547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 t="e">
        <f>AI112*VLOOKUP('Données projet'!$B$10,Paramètres!$A$1:$I$89,3,0)*VLOOKUP('Données projet'!$B$10,Paramètres!$A$1:$I$89,5,0)</f>
        <v>#N/A</v>
      </c>
      <c r="AK112" s="14" t="e">
        <f t="shared" si="89"/>
        <v>#N/A</v>
      </c>
      <c r="AL112" s="22" t="e">
        <f t="shared" si="58"/>
        <v>#N/A</v>
      </c>
      <c r="AM112" s="62" t="e">
        <f t="shared" si="59"/>
        <v>#N/A</v>
      </c>
      <c r="AN112" s="62" t="e">
        <f ca="1">AVERAGE(OFFSET($AM$3,0,0,'Données projet'!$E$10+1,1))-AVERAGE(OFFSET($H$3,0,0,'Données projet'!$E$10+1,1))</f>
        <v>#N/A</v>
      </c>
      <c r="AO112" s="62" t="e">
        <f t="shared" si="90"/>
        <v>#N/A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 t="e">
        <f>EXP(-LN(2)/35)*AU111+(1-EXP(-LN(2)/35))/(LN(2)/35)*AQ112*AR112*VLOOKUP('Données projet'!$B$10,Paramètres!$A$1:$I$89,3,0)*0.475*44/12</f>
        <v>#N/A</v>
      </c>
      <c r="AV112" s="23" t="e">
        <f>EXP(-LN(2)/25)*AV111+(1-EXP(-LN(2)/25))/(LN(2)/25)*Calculateur!AQ112*Calculateur!AS112*VLOOKUP('Données projet'!$B$10,Paramètres!$A$1:$I$89,3,0)*0.475*44/12</f>
        <v>#N/A</v>
      </c>
      <c r="AW112" s="23" t="e">
        <f>EXP(-LN(2)/2)*AW111+(1-EXP(-LN(2)/2))/(LN(2)/2)*AQ112*AT112*VLOOKUP('Données projet'!$B$10,Paramètres!$A$1:$I$89,3,0)*0.475*44/12</f>
        <v>#N/A</v>
      </c>
      <c r="AX112" s="23" t="e">
        <f t="shared" si="60"/>
        <v>#N/A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2">
        <f t="shared" si="86"/>
        <v>18.621720661480627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70">
        <f t="shared" si="56"/>
        <v>440.3329968187453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151.58413719376074</v>
      </c>
      <c r="T113" s="62">
        <f t="shared" si="88"/>
        <v>310.105543138185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20.26276615161964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2.4191189731123291E-10</v>
      </c>
      <c r="AC113" s="24">
        <f t="shared" si="57"/>
        <v>20.262766151861552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 t="e">
        <f>AI113*VLOOKUP('Données projet'!$B$10,Paramètres!$A$1:$I$89,3,0)*VLOOKUP('Données projet'!$B$10,Paramètres!$A$1:$I$89,5,0)</f>
        <v>#N/A</v>
      </c>
      <c r="AK113" s="14" t="e">
        <f t="shared" si="89"/>
        <v>#N/A</v>
      </c>
      <c r="AL113" s="22" t="e">
        <f t="shared" si="58"/>
        <v>#N/A</v>
      </c>
      <c r="AM113" s="62" t="e">
        <f t="shared" si="59"/>
        <v>#N/A</v>
      </c>
      <c r="AN113" s="62" t="e">
        <f ca="1">AVERAGE(OFFSET($AM$3,0,0,'Données projet'!$E$10+1,1))-AVERAGE(OFFSET($H$3,0,0,'Données projet'!$E$10+1,1))</f>
        <v>#N/A</v>
      </c>
      <c r="AO113" s="62" t="e">
        <f t="shared" si="90"/>
        <v>#N/A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 t="e">
        <f>EXP(-LN(2)/35)*AU112+(1-EXP(-LN(2)/35))/(LN(2)/35)*AQ113*AR113*VLOOKUP('Données projet'!$B$10,Paramètres!$A$1:$I$89,3,0)*0.475*44/12</f>
        <v>#N/A</v>
      </c>
      <c r="AV113" s="23" t="e">
        <f>EXP(-LN(2)/25)*AV112+(1-EXP(-LN(2)/25))/(LN(2)/25)*Calculateur!AQ113*Calculateur!AS113*VLOOKUP('Données projet'!$B$10,Paramètres!$A$1:$I$89,3,0)*0.475*44/12</f>
        <v>#N/A</v>
      </c>
      <c r="AW113" s="23" t="e">
        <f>EXP(-LN(2)/2)*AW112+(1-EXP(-LN(2)/2))/(LN(2)/2)*AQ113*AT113*VLOOKUP('Données projet'!$B$10,Paramètres!$A$1:$I$89,3,0)*0.475*44/12</f>
        <v>#N/A</v>
      </c>
      <c r="AX113" s="23" t="e">
        <f t="shared" si="60"/>
        <v>#N/A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2">
        <f t="shared" si="86"/>
        <v>18.771224988253078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70">
        <f t="shared" si="56"/>
        <v>441.634900187874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151.58413719376074</v>
      </c>
      <c r="T114" s="62">
        <f t="shared" si="88"/>
        <v>310.105543138185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19.865425666453376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1.7105754303847652E-10</v>
      </c>
      <c r="AC114" s="24">
        <f t="shared" si="57"/>
        <v>19.865425666624432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 t="e">
        <f>AI114*VLOOKUP('Données projet'!$B$10,Paramètres!$A$1:$I$89,3,0)*VLOOKUP('Données projet'!$B$10,Paramètres!$A$1:$I$89,5,0)</f>
        <v>#N/A</v>
      </c>
      <c r="AK114" s="14" t="e">
        <f t="shared" si="89"/>
        <v>#N/A</v>
      </c>
      <c r="AL114" s="22" t="e">
        <f t="shared" si="58"/>
        <v>#N/A</v>
      </c>
      <c r="AM114" s="62" t="e">
        <f t="shared" si="59"/>
        <v>#N/A</v>
      </c>
      <c r="AN114" s="62" t="e">
        <f ca="1">AVERAGE(OFFSET($AM$3,0,0,'Données projet'!$E$10+1,1))-AVERAGE(OFFSET($H$3,0,0,'Données projet'!$E$10+1,1))</f>
        <v>#N/A</v>
      </c>
      <c r="AO114" s="62" t="e">
        <f t="shared" si="90"/>
        <v>#N/A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 t="e">
        <f>EXP(-LN(2)/35)*AU113+(1-EXP(-LN(2)/35))/(LN(2)/35)*AQ114*AR114*VLOOKUP('Données projet'!$B$10,Paramètres!$A$1:$I$89,3,0)*0.475*44/12</f>
        <v>#N/A</v>
      </c>
      <c r="AV114" s="23" t="e">
        <f>EXP(-LN(2)/25)*AV113+(1-EXP(-LN(2)/25))/(LN(2)/25)*Calculateur!AQ114*Calculateur!AS114*VLOOKUP('Données projet'!$B$10,Paramètres!$A$1:$I$89,3,0)*0.475*44/12</f>
        <v>#N/A</v>
      </c>
      <c r="AW114" s="23" t="e">
        <f>EXP(-LN(2)/2)*AW113+(1-EXP(-LN(2)/2))/(LN(2)/2)*AQ114*AT114*VLOOKUP('Données projet'!$B$10,Paramètres!$A$1:$I$89,3,0)*0.475*44/12</f>
        <v>#N/A</v>
      </c>
      <c r="AX114" s="23" t="e">
        <f t="shared" si="60"/>
        <v>#N/A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2">
        <f t="shared" si="86"/>
        <v>18.92057261744694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70">
        <f t="shared" si="56"/>
        <v>442.9365306420533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151.58413719376074</v>
      </c>
      <c r="T115" s="62">
        <f t="shared" si="88"/>
        <v>310.105543138185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19.475876785847454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1.2095594865561645E-10</v>
      </c>
      <c r="AC115" s="24">
        <f t="shared" si="57"/>
        <v>19.47587678596841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 t="e">
        <f>AI115*VLOOKUP('Données projet'!$B$10,Paramètres!$A$1:$I$89,3,0)*VLOOKUP('Données projet'!$B$10,Paramètres!$A$1:$I$89,5,0)</f>
        <v>#N/A</v>
      </c>
      <c r="AK115" s="14" t="e">
        <f t="shared" si="89"/>
        <v>#N/A</v>
      </c>
      <c r="AL115" s="22" t="e">
        <f t="shared" si="58"/>
        <v>#N/A</v>
      </c>
      <c r="AM115" s="62" t="e">
        <f t="shared" si="59"/>
        <v>#N/A</v>
      </c>
      <c r="AN115" s="62" t="e">
        <f ca="1">AVERAGE(OFFSET($AM$3,0,0,'Données projet'!$E$10+1,1))-AVERAGE(OFFSET($H$3,0,0,'Données projet'!$E$10+1,1))</f>
        <v>#N/A</v>
      </c>
      <c r="AO115" s="62" t="e">
        <f t="shared" si="90"/>
        <v>#N/A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 t="e">
        <f>EXP(-LN(2)/35)*AU114+(1-EXP(-LN(2)/35))/(LN(2)/35)*AQ115*AR115*VLOOKUP('Données projet'!$B$10,Paramètres!$A$1:$I$89,3,0)*0.475*44/12</f>
        <v>#N/A</v>
      </c>
      <c r="AV115" s="23" t="e">
        <f>EXP(-LN(2)/25)*AV114+(1-EXP(-LN(2)/25))/(LN(2)/25)*Calculateur!AQ115*Calculateur!AS115*VLOOKUP('Données projet'!$B$10,Paramètres!$A$1:$I$89,3,0)*0.475*44/12</f>
        <v>#N/A</v>
      </c>
      <c r="AW115" s="23" t="e">
        <f>EXP(-LN(2)/2)*AW114+(1-EXP(-LN(2)/2))/(LN(2)/2)*AQ115*AT115*VLOOKUP('Données projet'!$B$10,Paramètres!$A$1:$I$89,3,0)*0.475*44/12</f>
        <v>#N/A</v>
      </c>
      <c r="AX115" s="23" t="e">
        <f t="shared" si="60"/>
        <v>#N/A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2">
        <f t="shared" si="86"/>
        <v>19.069765110231589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70">
        <f t="shared" si="56"/>
        <v>444.23789090031983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151.58413719376074</v>
      </c>
      <c r="T116" s="62">
        <f t="shared" si="88"/>
        <v>310.105543138185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19.09396672118886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8.5528771519238262E-11</v>
      </c>
      <c r="AC116" s="24">
        <f t="shared" si="57"/>
        <v>19.093966721274388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 t="e">
        <f>AI116*VLOOKUP('Données projet'!$B$10,Paramètres!$A$1:$I$89,3,0)*VLOOKUP('Données projet'!$B$10,Paramètres!$A$1:$I$89,5,0)</f>
        <v>#N/A</v>
      </c>
      <c r="AK116" s="14" t="e">
        <f t="shared" si="89"/>
        <v>#N/A</v>
      </c>
      <c r="AL116" s="22" t="e">
        <f t="shared" si="58"/>
        <v>#N/A</v>
      </c>
      <c r="AM116" s="62" t="e">
        <f t="shared" si="59"/>
        <v>#N/A</v>
      </c>
      <c r="AN116" s="62" t="e">
        <f ca="1">AVERAGE(OFFSET($AM$3,0,0,'Données projet'!$E$10+1,1))-AVERAGE(OFFSET($H$3,0,0,'Données projet'!$E$10+1,1))</f>
        <v>#N/A</v>
      </c>
      <c r="AO116" s="62" t="e">
        <f t="shared" si="90"/>
        <v>#N/A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 t="e">
        <f>EXP(-LN(2)/35)*AU115+(1-EXP(-LN(2)/35))/(LN(2)/35)*AQ116*AR116*VLOOKUP('Données projet'!$B$10,Paramètres!$A$1:$I$89,3,0)*0.475*44/12</f>
        <v>#N/A</v>
      </c>
      <c r="AV116" s="23" t="e">
        <f>EXP(-LN(2)/25)*AV115+(1-EXP(-LN(2)/25))/(LN(2)/25)*Calculateur!AQ116*Calculateur!AS116*VLOOKUP('Données projet'!$B$10,Paramètres!$A$1:$I$89,3,0)*0.475*44/12</f>
        <v>#N/A</v>
      </c>
      <c r="AW116" s="23" t="e">
        <f>EXP(-LN(2)/2)*AW115+(1-EXP(-LN(2)/2))/(LN(2)/2)*AQ116*AT116*VLOOKUP('Données projet'!$B$10,Paramètres!$A$1:$I$89,3,0)*0.475*44/12</f>
        <v>#N/A</v>
      </c>
      <c r="AX116" s="23" t="e">
        <f t="shared" si="60"/>
        <v>#N/A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2">
        <f t="shared" si="86"/>
        <v>19.218803998550822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70">
        <f t="shared" si="56"/>
        <v>445.53898363080918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151.58413719376074</v>
      </c>
      <c r="T117" s="62">
        <f t="shared" si="88"/>
        <v>310.105543138185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18.719545679956081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6.0477974327808227E-11</v>
      </c>
      <c r="AC117" s="24">
        <f t="shared" si="57"/>
        <v>18.719545680016559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 t="e">
        <f>AI117*VLOOKUP('Données projet'!$B$10,Paramètres!$A$1:$I$89,3,0)*VLOOKUP('Données projet'!$B$10,Paramètres!$A$1:$I$89,5,0)</f>
        <v>#N/A</v>
      </c>
      <c r="AK117" s="14" t="e">
        <f t="shared" si="89"/>
        <v>#N/A</v>
      </c>
      <c r="AL117" s="22" t="e">
        <f t="shared" si="58"/>
        <v>#N/A</v>
      </c>
      <c r="AM117" s="62" t="e">
        <f t="shared" si="59"/>
        <v>#N/A</v>
      </c>
      <c r="AN117" s="62" t="e">
        <f ca="1">AVERAGE(OFFSET($AM$3,0,0,'Données projet'!$E$10+1,1))-AVERAGE(OFFSET($H$3,0,0,'Données projet'!$E$10+1,1))</f>
        <v>#N/A</v>
      </c>
      <c r="AO117" s="62" t="e">
        <f t="shared" si="90"/>
        <v>#N/A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 t="e">
        <f>EXP(-LN(2)/35)*AU116+(1-EXP(-LN(2)/35))/(LN(2)/35)*AQ117*AR117*VLOOKUP('Données projet'!$B$10,Paramètres!$A$1:$I$89,3,0)*0.475*44/12</f>
        <v>#N/A</v>
      </c>
      <c r="AV117" s="23" t="e">
        <f>EXP(-LN(2)/25)*AV116+(1-EXP(-LN(2)/25))/(LN(2)/25)*Calculateur!AQ117*Calculateur!AS117*VLOOKUP('Données projet'!$B$10,Paramètres!$A$1:$I$89,3,0)*0.475*44/12</f>
        <v>#N/A</v>
      </c>
      <c r="AW117" s="23" t="e">
        <f>EXP(-LN(2)/2)*AW116+(1-EXP(-LN(2)/2))/(LN(2)/2)*AQ117*AT117*VLOOKUP('Données projet'!$B$10,Paramètres!$A$1:$I$89,3,0)*0.475*44/12</f>
        <v>#N/A</v>
      </c>
      <c r="AX117" s="23" t="e">
        <f t="shared" si="60"/>
        <v>#N/A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2">
        <f t="shared" si="86"/>
        <v>19.367690785921507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70">
        <f t="shared" si="56"/>
        <v>446.83981145214648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151.58413719376074</v>
      </c>
      <c r="T118" s="62">
        <f t="shared" si="88"/>
        <v>310.105543138185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18.352466806967595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4.2764385759619131E-11</v>
      </c>
      <c r="AC118" s="24">
        <f t="shared" si="57"/>
        <v>18.352466807010359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 t="e">
        <f>AI118*VLOOKUP('Données projet'!$B$10,Paramètres!$A$1:$I$89,3,0)*VLOOKUP('Données projet'!$B$10,Paramètres!$A$1:$I$89,5,0)</f>
        <v>#N/A</v>
      </c>
      <c r="AK118" s="14" t="e">
        <f t="shared" si="89"/>
        <v>#N/A</v>
      </c>
      <c r="AL118" s="22" t="e">
        <f t="shared" si="58"/>
        <v>#N/A</v>
      </c>
      <c r="AM118" s="62" t="e">
        <f t="shared" si="59"/>
        <v>#N/A</v>
      </c>
      <c r="AN118" s="62" t="e">
        <f ca="1">AVERAGE(OFFSET($AM$3,0,0,'Données projet'!$E$10+1,1))-AVERAGE(OFFSET($H$3,0,0,'Données projet'!$E$10+1,1))</f>
        <v>#N/A</v>
      </c>
      <c r="AO118" s="62" t="e">
        <f t="shared" si="90"/>
        <v>#N/A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 t="e">
        <f>EXP(-LN(2)/35)*AU117+(1-EXP(-LN(2)/35))/(LN(2)/35)*AQ118*AR118*VLOOKUP('Données projet'!$B$10,Paramètres!$A$1:$I$89,3,0)*0.475*44/12</f>
        <v>#N/A</v>
      </c>
      <c r="AV118" s="23" t="e">
        <f>EXP(-LN(2)/25)*AV117+(1-EXP(-LN(2)/25))/(LN(2)/25)*Calculateur!AQ118*Calculateur!AS118*VLOOKUP('Données projet'!$B$10,Paramètres!$A$1:$I$89,3,0)*0.475*44/12</f>
        <v>#N/A</v>
      </c>
      <c r="AW118" s="23" t="e">
        <f>EXP(-LN(2)/2)*AW117+(1-EXP(-LN(2)/2))/(LN(2)/2)*AQ118*AT118*VLOOKUP('Données projet'!$B$10,Paramètres!$A$1:$I$89,3,0)*0.475*44/12</f>
        <v>#N/A</v>
      </c>
      <c r="AX118" s="23" t="e">
        <f t="shared" si="60"/>
        <v>#N/A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2">
        <f t="shared" si="86"/>
        <v>19.516426948203513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70">
        <f t="shared" si="56"/>
        <v>448.14037693478764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151.58413719376074</v>
      </c>
      <c r="T119" s="62">
        <f t="shared" si="88"/>
        <v>310.105543138185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17.992586126782406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3.0238987163904113E-11</v>
      </c>
      <c r="AC119" s="24">
        <f t="shared" si="57"/>
        <v>17.992586126812647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 t="e">
        <f>AI119*VLOOKUP('Données projet'!$B$10,Paramètres!$A$1:$I$89,3,0)*VLOOKUP('Données projet'!$B$10,Paramètres!$A$1:$I$89,5,0)</f>
        <v>#N/A</v>
      </c>
      <c r="AK119" s="14" t="e">
        <f t="shared" si="89"/>
        <v>#N/A</v>
      </c>
      <c r="AL119" s="22" t="e">
        <f t="shared" si="58"/>
        <v>#N/A</v>
      </c>
      <c r="AM119" s="62" t="e">
        <f t="shared" si="59"/>
        <v>#N/A</v>
      </c>
      <c r="AN119" s="62" t="e">
        <f ca="1">AVERAGE(OFFSET($AM$3,0,0,'Données projet'!$E$10+1,1))-AVERAGE(OFFSET($H$3,0,0,'Données projet'!$E$10+1,1))</f>
        <v>#N/A</v>
      </c>
      <c r="AO119" s="62" t="e">
        <f t="shared" si="90"/>
        <v>#N/A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 t="e">
        <f>EXP(-LN(2)/35)*AU118+(1-EXP(-LN(2)/35))/(LN(2)/35)*AQ119*AR119*VLOOKUP('Données projet'!$B$10,Paramètres!$A$1:$I$89,3,0)*0.475*44/12</f>
        <v>#N/A</v>
      </c>
      <c r="AV119" s="23" t="e">
        <f>EXP(-LN(2)/25)*AV118+(1-EXP(-LN(2)/25))/(LN(2)/25)*Calculateur!AQ119*Calculateur!AS119*VLOOKUP('Données projet'!$B$10,Paramètres!$A$1:$I$89,3,0)*0.475*44/12</f>
        <v>#N/A</v>
      </c>
      <c r="AW119" s="23" t="e">
        <f>EXP(-LN(2)/2)*AW118+(1-EXP(-LN(2)/2))/(LN(2)/2)*AQ119*AT119*VLOOKUP('Données projet'!$B$10,Paramètres!$A$1:$I$89,3,0)*0.475*44/12</f>
        <v>#N/A</v>
      </c>
      <c r="AX119" s="23" t="e">
        <f t="shared" si="60"/>
        <v>#N/A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2">
        <f t="shared" si="86"/>
        <v>19.665013934342443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70">
        <f t="shared" si="56"/>
        <v>449.4406826023129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151.58413719376074</v>
      </c>
      <c r="T120" s="62">
        <f t="shared" si="88"/>
        <v>310.105543138185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17.639762487230108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2.1382192879809566E-11</v>
      </c>
      <c r="AC120" s="24">
        <f t="shared" si="57"/>
        <v>17.639762487251492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 t="e">
        <f>AI120*VLOOKUP('Données projet'!$B$10,Paramètres!$A$1:$I$89,3,0)*VLOOKUP('Données projet'!$B$10,Paramètres!$A$1:$I$89,5,0)</f>
        <v>#N/A</v>
      </c>
      <c r="AK120" s="14" t="e">
        <f t="shared" si="89"/>
        <v>#N/A</v>
      </c>
      <c r="AL120" s="22" t="e">
        <f t="shared" si="58"/>
        <v>#N/A</v>
      </c>
      <c r="AM120" s="62" t="e">
        <f t="shared" si="59"/>
        <v>#N/A</v>
      </c>
      <c r="AN120" s="62" t="e">
        <f ca="1">AVERAGE(OFFSET($AM$3,0,0,'Données projet'!$E$10+1,1))-AVERAGE(OFFSET($H$3,0,0,'Données projet'!$E$10+1,1))</f>
        <v>#N/A</v>
      </c>
      <c r="AO120" s="62" t="e">
        <f t="shared" si="90"/>
        <v>#N/A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 t="e">
        <f>EXP(-LN(2)/35)*AU119+(1-EXP(-LN(2)/35))/(LN(2)/35)*AQ120*AR120*VLOOKUP('Données projet'!$B$10,Paramètres!$A$1:$I$89,3,0)*0.475*44/12</f>
        <v>#N/A</v>
      </c>
      <c r="AV120" s="23" t="e">
        <f>EXP(-LN(2)/25)*AV119+(1-EXP(-LN(2)/25))/(LN(2)/25)*Calculateur!AQ120*Calculateur!AS120*VLOOKUP('Données projet'!$B$10,Paramètres!$A$1:$I$89,3,0)*0.475*44/12</f>
        <v>#N/A</v>
      </c>
      <c r="AW120" s="23" t="e">
        <f>EXP(-LN(2)/2)*AW119+(1-EXP(-LN(2)/2))/(LN(2)/2)*AQ120*AT120*VLOOKUP('Données projet'!$B$10,Paramètres!$A$1:$I$89,3,0)*0.475*44/12</f>
        <v>#N/A</v>
      </c>
      <c r="AX120" s="23" t="e">
        <f t="shared" si="60"/>
        <v>#N/A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2">
        <f t="shared" si="86"/>
        <v>19.813453167086145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70">
        <f t="shared" si="56"/>
        <v>450.74073093267486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151.58413719376074</v>
      </c>
      <c r="T121" s="62">
        <f t="shared" si="88"/>
        <v>310.105543138185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17.293857504048262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1.5119493581952057E-11</v>
      </c>
      <c r="AC121" s="24">
        <f t="shared" si="57"/>
        <v>17.293857504063382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 t="e">
        <f>AI121*VLOOKUP('Données projet'!$B$10,Paramètres!$A$1:$I$89,3,0)*VLOOKUP('Données projet'!$B$10,Paramètres!$A$1:$I$89,5,0)</f>
        <v>#N/A</v>
      </c>
      <c r="AK121" s="14" t="e">
        <f t="shared" si="89"/>
        <v>#N/A</v>
      </c>
      <c r="AL121" s="22" t="e">
        <f t="shared" si="58"/>
        <v>#N/A</v>
      </c>
      <c r="AM121" s="62" t="e">
        <f t="shared" si="59"/>
        <v>#N/A</v>
      </c>
      <c r="AN121" s="62" t="e">
        <f ca="1">AVERAGE(OFFSET($AM$3,0,0,'Données projet'!$E$10+1,1))-AVERAGE(OFFSET($H$3,0,0,'Données projet'!$E$10+1,1))</f>
        <v>#N/A</v>
      </c>
      <c r="AO121" s="62" t="e">
        <f t="shared" si="90"/>
        <v>#N/A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 t="e">
        <f>EXP(-LN(2)/35)*AU120+(1-EXP(-LN(2)/35))/(LN(2)/35)*AQ121*AR121*VLOOKUP('Données projet'!$B$10,Paramètres!$A$1:$I$89,3,0)*0.475*44/12</f>
        <v>#N/A</v>
      </c>
      <c r="AV121" s="23" t="e">
        <f>EXP(-LN(2)/25)*AV120+(1-EXP(-LN(2)/25))/(LN(2)/25)*Calculateur!AQ121*Calculateur!AS121*VLOOKUP('Données projet'!$B$10,Paramètres!$A$1:$I$89,3,0)*0.475*44/12</f>
        <v>#N/A</v>
      </c>
      <c r="AW121" s="23" t="e">
        <f>EXP(-LN(2)/2)*AW120+(1-EXP(-LN(2)/2))/(LN(2)/2)*AQ121*AT121*VLOOKUP('Données projet'!$B$10,Paramètres!$A$1:$I$89,3,0)*0.475*44/12</f>
        <v>#N/A</v>
      </c>
      <c r="AX121" s="23" t="e">
        <f t="shared" si="60"/>
        <v>#N/A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2">
        <f t="shared" si="86"/>
        <v>19.961746043676328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70">
        <f t="shared" si="56"/>
        <v>452.04052435940275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151.58413719376074</v>
      </c>
      <c r="T122" s="62">
        <f t="shared" si="88"/>
        <v>310.105543138185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16.954735506605402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1.0691096439904783E-11</v>
      </c>
      <c r="AC122" s="24">
        <f t="shared" si="57"/>
        <v>16.954735506616093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 t="e">
        <f>AI122*VLOOKUP('Données projet'!$B$10,Paramètres!$A$1:$I$89,3,0)*VLOOKUP('Données projet'!$B$10,Paramètres!$A$1:$I$89,5,0)</f>
        <v>#N/A</v>
      </c>
      <c r="AK122" s="14" t="e">
        <f t="shared" si="89"/>
        <v>#N/A</v>
      </c>
      <c r="AL122" s="22" t="e">
        <f t="shared" si="58"/>
        <v>#N/A</v>
      </c>
      <c r="AM122" s="62" t="e">
        <f t="shared" si="59"/>
        <v>#N/A</v>
      </c>
      <c r="AN122" s="62" t="e">
        <f ca="1">AVERAGE(OFFSET($AM$3,0,0,'Données projet'!$E$10+1,1))-AVERAGE(OFFSET($H$3,0,0,'Données projet'!$E$10+1,1))</f>
        <v>#N/A</v>
      </c>
      <c r="AO122" s="62" t="e">
        <f t="shared" si="90"/>
        <v>#N/A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 t="e">
        <f>EXP(-LN(2)/35)*AU121+(1-EXP(-LN(2)/35))/(LN(2)/35)*AQ122*AR122*VLOOKUP('Données projet'!$B$10,Paramètres!$A$1:$I$89,3,0)*0.475*44/12</f>
        <v>#N/A</v>
      </c>
      <c r="AV122" s="23" t="e">
        <f>EXP(-LN(2)/25)*AV121+(1-EXP(-LN(2)/25))/(LN(2)/25)*Calculateur!AQ122*Calculateur!AS122*VLOOKUP('Données projet'!$B$10,Paramètres!$A$1:$I$89,3,0)*0.475*44/12</f>
        <v>#N/A</v>
      </c>
      <c r="AW122" s="23" t="e">
        <f>EXP(-LN(2)/2)*AW121+(1-EXP(-LN(2)/2))/(LN(2)/2)*AQ122*AT122*VLOOKUP('Données projet'!$B$10,Paramètres!$A$1:$I$89,3,0)*0.475*44/12</f>
        <v>#N/A</v>
      </c>
      <c r="AX122" s="23" t="e">
        <f t="shared" si="60"/>
        <v>#N/A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2">
        <f t="shared" si="86"/>
        <v>20.109893936516197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70">
        <f t="shared" si="56"/>
        <v>453.34006527276551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151.58413719376074</v>
      </c>
      <c r="T123" s="62">
        <f t="shared" si="88"/>
        <v>310.105543138185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16.622263484688403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7.5597467909760283E-12</v>
      </c>
      <c r="AC123" s="24">
        <f t="shared" si="57"/>
        <v>16.622263484695964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 t="e">
        <f>AI123*VLOOKUP('Données projet'!$B$10,Paramètres!$A$1:$I$89,3,0)*VLOOKUP('Données projet'!$B$10,Paramètres!$A$1:$I$89,5,0)</f>
        <v>#N/A</v>
      </c>
      <c r="AK123" s="14" t="e">
        <f t="shared" si="89"/>
        <v>#N/A</v>
      </c>
      <c r="AL123" s="22" t="e">
        <f t="shared" si="58"/>
        <v>#N/A</v>
      </c>
      <c r="AM123" s="62" t="e">
        <f t="shared" si="59"/>
        <v>#N/A</v>
      </c>
      <c r="AN123" s="62" t="e">
        <f ca="1">AVERAGE(OFFSET($AM$3,0,0,'Données projet'!$E$10+1,1))-AVERAGE(OFFSET($H$3,0,0,'Données projet'!$E$10+1,1))</f>
        <v>#N/A</v>
      </c>
      <c r="AO123" s="62" t="e">
        <f t="shared" si="90"/>
        <v>#N/A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 t="e">
        <f>EXP(-LN(2)/35)*AU122+(1-EXP(-LN(2)/35))/(LN(2)/35)*AQ123*AR123*VLOOKUP('Données projet'!$B$10,Paramètres!$A$1:$I$89,3,0)*0.475*44/12</f>
        <v>#N/A</v>
      </c>
      <c r="AV123" s="23" t="e">
        <f>EXP(-LN(2)/25)*AV122+(1-EXP(-LN(2)/25))/(LN(2)/25)*Calculateur!AQ123*Calculateur!AS123*VLOOKUP('Données projet'!$B$10,Paramètres!$A$1:$I$89,3,0)*0.475*44/12</f>
        <v>#N/A</v>
      </c>
      <c r="AW123" s="23" t="e">
        <f>EXP(-LN(2)/2)*AW122+(1-EXP(-LN(2)/2))/(LN(2)/2)*AQ123*AT123*VLOOKUP('Données projet'!$B$10,Paramètres!$A$1:$I$89,3,0)*0.475*44/12</f>
        <v>#N/A</v>
      </c>
      <c r="AX123" s="23" t="e">
        <f t="shared" si="60"/>
        <v>#N/A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2">
        <f t="shared" si="86"/>
        <v>20.257898193815301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70">
        <f t="shared" si="56"/>
        <v>454.63935602089481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151.58413719376074</v>
      </c>
      <c r="T124" s="62">
        <f t="shared" si="88"/>
        <v>310.105543138185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16.296311036333289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5.3455482199523914E-12</v>
      </c>
      <c r="AC124" s="24">
        <f t="shared" si="57"/>
        <v>16.296311036338636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 t="e">
        <f>AI124*VLOOKUP('Données projet'!$B$10,Paramètres!$A$1:$I$89,3,0)*VLOOKUP('Données projet'!$B$10,Paramètres!$A$1:$I$89,5,0)</f>
        <v>#N/A</v>
      </c>
      <c r="AK124" s="14" t="e">
        <f t="shared" si="89"/>
        <v>#N/A</v>
      </c>
      <c r="AL124" s="22" t="e">
        <f t="shared" si="58"/>
        <v>#N/A</v>
      </c>
      <c r="AM124" s="62" t="e">
        <f t="shared" si="59"/>
        <v>#N/A</v>
      </c>
      <c r="AN124" s="62" t="e">
        <f ca="1">AVERAGE(OFFSET($AM$3,0,0,'Données projet'!$E$10+1,1))-AVERAGE(OFFSET($H$3,0,0,'Données projet'!$E$10+1,1))</f>
        <v>#N/A</v>
      </c>
      <c r="AO124" s="62" t="e">
        <f t="shared" si="90"/>
        <v>#N/A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 t="e">
        <f>EXP(-LN(2)/35)*AU123+(1-EXP(-LN(2)/35))/(LN(2)/35)*AQ124*AR124*VLOOKUP('Données projet'!$B$10,Paramètres!$A$1:$I$89,3,0)*0.475*44/12</f>
        <v>#N/A</v>
      </c>
      <c r="AV124" s="23" t="e">
        <f>EXP(-LN(2)/25)*AV123+(1-EXP(-LN(2)/25))/(LN(2)/25)*Calculateur!AQ124*Calculateur!AS124*VLOOKUP('Données projet'!$B$10,Paramètres!$A$1:$I$89,3,0)*0.475*44/12</f>
        <v>#N/A</v>
      </c>
      <c r="AW124" s="23" t="e">
        <f>EXP(-LN(2)/2)*AW123+(1-EXP(-LN(2)/2))/(LN(2)/2)*AQ124*AT124*VLOOKUP('Données projet'!$B$10,Paramètres!$A$1:$I$89,3,0)*0.475*44/12</f>
        <v>#N/A</v>
      </c>
      <c r="AX124" s="23" t="e">
        <f t="shared" si="60"/>
        <v>#N/A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2">
        <f t="shared" si="86"/>
        <v>20.405760140212255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70">
        <f t="shared" si="56"/>
        <v>455.93839891086952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151.58413719376074</v>
      </c>
      <c r="T125" s="62">
        <f t="shared" si="88"/>
        <v>310.105543138185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15.976750316679055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3.7798733954880142E-12</v>
      </c>
      <c r="AC125" s="24">
        <f t="shared" si="57"/>
        <v>15.976750316682836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 t="e">
        <f>AI125*VLOOKUP('Données projet'!$B$10,Paramètres!$A$1:$I$89,3,0)*VLOOKUP('Données projet'!$B$10,Paramètres!$A$1:$I$89,5,0)</f>
        <v>#N/A</v>
      </c>
      <c r="AK125" s="14" t="e">
        <f t="shared" si="89"/>
        <v>#N/A</v>
      </c>
      <c r="AL125" s="22" t="e">
        <f t="shared" si="58"/>
        <v>#N/A</v>
      </c>
      <c r="AM125" s="62" t="e">
        <f t="shared" si="59"/>
        <v>#N/A</v>
      </c>
      <c r="AN125" s="62" t="e">
        <f ca="1">AVERAGE(OFFSET($AM$3,0,0,'Données projet'!$E$10+1,1))-AVERAGE(OFFSET($H$3,0,0,'Données projet'!$E$10+1,1))</f>
        <v>#N/A</v>
      </c>
      <c r="AO125" s="62" t="e">
        <f t="shared" si="90"/>
        <v>#N/A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 t="e">
        <f>EXP(-LN(2)/35)*AU124+(1-EXP(-LN(2)/35))/(LN(2)/35)*AQ125*AR125*VLOOKUP('Données projet'!$B$10,Paramètres!$A$1:$I$89,3,0)*0.475*44/12</f>
        <v>#N/A</v>
      </c>
      <c r="AV125" s="23" t="e">
        <f>EXP(-LN(2)/25)*AV124+(1-EXP(-LN(2)/25))/(LN(2)/25)*Calculateur!AQ125*Calculateur!AS125*VLOOKUP('Données projet'!$B$10,Paramètres!$A$1:$I$89,3,0)*0.475*44/12</f>
        <v>#N/A</v>
      </c>
      <c r="AW125" s="23" t="e">
        <f>EXP(-LN(2)/2)*AW124+(1-EXP(-LN(2)/2))/(LN(2)/2)*AQ125*AT125*VLOOKUP('Données projet'!$B$10,Paramètres!$A$1:$I$89,3,0)*0.475*44/12</f>
        <v>#N/A</v>
      </c>
      <c r="AX125" s="23" t="e">
        <f t="shared" si="60"/>
        <v>#N/A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2">
        <f t="shared" si="86"/>
        <v>20.553481077376667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70">
        <f t="shared" si="56"/>
        <v>457.23719620976419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151.58413719376074</v>
      </c>
      <c r="T126" s="62">
        <f t="shared" si="88"/>
        <v>310.105543138185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15.663455987824447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2.6727741099761957E-12</v>
      </c>
      <c r="AC126" s="24">
        <f t="shared" si="57"/>
        <v>15.66345598782712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 t="e">
        <f>AI126*VLOOKUP('Données projet'!$B$10,Paramètres!$A$1:$I$89,3,0)*VLOOKUP('Données projet'!$B$10,Paramètres!$A$1:$I$89,5,0)</f>
        <v>#N/A</v>
      </c>
      <c r="AK126" s="14" t="e">
        <f t="shared" si="89"/>
        <v>#N/A</v>
      </c>
      <c r="AL126" s="22" t="e">
        <f t="shared" si="58"/>
        <v>#N/A</v>
      </c>
      <c r="AM126" s="62" t="e">
        <f t="shared" si="59"/>
        <v>#N/A</v>
      </c>
      <c r="AN126" s="62" t="e">
        <f ca="1">AVERAGE(OFFSET($AM$3,0,0,'Données projet'!$E$10+1,1))-AVERAGE(OFFSET($H$3,0,0,'Données projet'!$E$10+1,1))</f>
        <v>#N/A</v>
      </c>
      <c r="AO126" s="62" t="e">
        <f t="shared" si="90"/>
        <v>#N/A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 t="e">
        <f>EXP(-LN(2)/35)*AU125+(1-EXP(-LN(2)/35))/(LN(2)/35)*AQ126*AR126*VLOOKUP('Données projet'!$B$10,Paramètres!$A$1:$I$89,3,0)*0.475*44/12</f>
        <v>#N/A</v>
      </c>
      <c r="AV126" s="23" t="e">
        <f>EXP(-LN(2)/25)*AV125+(1-EXP(-LN(2)/25))/(LN(2)/25)*Calculateur!AQ126*Calculateur!AS126*VLOOKUP('Données projet'!$B$10,Paramètres!$A$1:$I$89,3,0)*0.475*44/12</f>
        <v>#N/A</v>
      </c>
      <c r="AW126" s="23" t="e">
        <f>EXP(-LN(2)/2)*AW125+(1-EXP(-LN(2)/2))/(LN(2)/2)*AQ126*AT126*VLOOKUP('Données projet'!$B$10,Paramètres!$A$1:$I$89,3,0)*0.475*44/12</f>
        <v>#N/A</v>
      </c>
      <c r="AX126" s="23" t="e">
        <f t="shared" si="60"/>
        <v>#N/A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2">
        <f t="shared" si="86"/>
        <v>20.701062284590861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70">
        <f t="shared" si="56"/>
        <v>458.53575014566229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151.58413719376074</v>
      </c>
      <c r="T127" s="62">
        <f t="shared" si="88"/>
        <v>310.105543138185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15.356305169668007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1.8899366977440071E-12</v>
      </c>
      <c r="AC127" s="24">
        <f t="shared" si="57"/>
        <v>15.356305169669897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 t="e">
        <f>AI127*VLOOKUP('Données projet'!$B$10,Paramètres!$A$1:$I$89,3,0)*VLOOKUP('Données projet'!$B$10,Paramètres!$A$1:$I$89,5,0)</f>
        <v>#N/A</v>
      </c>
      <c r="AK127" s="14" t="e">
        <f t="shared" si="89"/>
        <v>#N/A</v>
      </c>
      <c r="AL127" s="22" t="e">
        <f t="shared" si="58"/>
        <v>#N/A</v>
      </c>
      <c r="AM127" s="62" t="e">
        <f t="shared" si="59"/>
        <v>#N/A</v>
      </c>
      <c r="AN127" s="62" t="e">
        <f ca="1">AVERAGE(OFFSET($AM$3,0,0,'Données projet'!$E$10+1,1))-AVERAGE(OFFSET($H$3,0,0,'Données projet'!$E$10+1,1))</f>
        <v>#N/A</v>
      </c>
      <c r="AO127" s="62" t="e">
        <f t="shared" si="90"/>
        <v>#N/A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 t="e">
        <f>EXP(-LN(2)/35)*AU126+(1-EXP(-LN(2)/35))/(LN(2)/35)*AQ127*AR127*VLOOKUP('Données projet'!$B$10,Paramètres!$A$1:$I$89,3,0)*0.475*44/12</f>
        <v>#N/A</v>
      </c>
      <c r="AV127" s="23" t="e">
        <f>EXP(-LN(2)/25)*AV126+(1-EXP(-LN(2)/25))/(LN(2)/25)*Calculateur!AQ127*Calculateur!AS127*VLOOKUP('Données projet'!$B$10,Paramètres!$A$1:$I$89,3,0)*0.475*44/12</f>
        <v>#N/A</v>
      </c>
      <c r="AW127" s="23" t="e">
        <f>EXP(-LN(2)/2)*AW126+(1-EXP(-LN(2)/2))/(LN(2)/2)*AQ127*AT127*VLOOKUP('Données projet'!$B$10,Paramètres!$A$1:$I$89,3,0)*0.475*44/12</f>
        <v>#N/A</v>
      </c>
      <c r="AX127" s="23" t="e">
        <f t="shared" si="60"/>
        <v>#N/A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2">
        <f t="shared" si="86"/>
        <v>20.848505019312185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70">
        <f t="shared" si="56"/>
        <v>459.83406290863525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151.58413719376074</v>
      </c>
      <c r="T128" s="62">
        <f t="shared" si="88"/>
        <v>310.105543138185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15.055177391712114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1.3363870549880978E-12</v>
      </c>
      <c r="AC128" s="24">
        <f t="shared" si="57"/>
        <v>15.05517739171345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 t="e">
        <f>AI128*VLOOKUP('Données projet'!$B$10,Paramètres!$A$1:$I$89,3,0)*VLOOKUP('Données projet'!$B$10,Paramètres!$A$1:$I$89,5,0)</f>
        <v>#N/A</v>
      </c>
      <c r="AK128" s="14" t="e">
        <f t="shared" si="89"/>
        <v>#N/A</v>
      </c>
      <c r="AL128" s="22" t="e">
        <f t="shared" si="58"/>
        <v>#N/A</v>
      </c>
      <c r="AM128" s="62" t="e">
        <f t="shared" si="59"/>
        <v>#N/A</v>
      </c>
      <c r="AN128" s="62" t="e">
        <f ca="1">AVERAGE(OFFSET($AM$3,0,0,'Données projet'!$E$10+1,1))-AVERAGE(OFFSET($H$3,0,0,'Données projet'!$E$10+1,1))</f>
        <v>#N/A</v>
      </c>
      <c r="AO128" s="62" t="e">
        <f t="shared" si="90"/>
        <v>#N/A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 t="e">
        <f>EXP(-LN(2)/35)*AU127+(1-EXP(-LN(2)/35))/(LN(2)/35)*AQ128*AR128*VLOOKUP('Données projet'!$B$10,Paramètres!$A$1:$I$89,3,0)*0.475*44/12</f>
        <v>#N/A</v>
      </c>
      <c r="AV128" s="23" t="e">
        <f>EXP(-LN(2)/25)*AV127+(1-EXP(-LN(2)/25))/(LN(2)/25)*Calculateur!AQ128*Calculateur!AS128*VLOOKUP('Données projet'!$B$10,Paramètres!$A$1:$I$89,3,0)*0.475*44/12</f>
        <v>#N/A</v>
      </c>
      <c r="AW128" s="23" t="e">
        <f>EXP(-LN(2)/2)*AW127+(1-EXP(-LN(2)/2))/(LN(2)/2)*AQ128*AT128*VLOOKUP('Données projet'!$B$10,Paramètres!$A$1:$I$89,3,0)*0.475*44/12</f>
        <v>#N/A</v>
      </c>
      <c r="AX128" s="23" t="e">
        <f t="shared" si="60"/>
        <v>#N/A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2">
        <f t="shared" si="86"/>
        <v>20.995810517717022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70">
        <f t="shared" si="56"/>
        <v>461.1321366516903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151.58413719376074</v>
      </c>
      <c r="T129" s="62">
        <f t="shared" si="88"/>
        <v>310.105543138185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14.759954545812127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9.4496834887200354E-13</v>
      </c>
      <c r="AC129" s="24">
        <f t="shared" si="57"/>
        <v>14.759954545813072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 t="e">
        <f>AI129*VLOOKUP('Données projet'!$B$10,Paramètres!$A$1:$I$89,3,0)*VLOOKUP('Données projet'!$B$10,Paramètres!$A$1:$I$89,5,0)</f>
        <v>#N/A</v>
      </c>
      <c r="AK129" s="14" t="e">
        <f t="shared" si="89"/>
        <v>#N/A</v>
      </c>
      <c r="AL129" s="22" t="e">
        <f t="shared" si="58"/>
        <v>#N/A</v>
      </c>
      <c r="AM129" s="62" t="e">
        <f t="shared" si="59"/>
        <v>#N/A</v>
      </c>
      <c r="AN129" s="62" t="e">
        <f ca="1">AVERAGE(OFFSET($AM$3,0,0,'Données projet'!$E$10+1,1))-AVERAGE(OFFSET($H$3,0,0,'Données projet'!$E$10+1,1))</f>
        <v>#N/A</v>
      </c>
      <c r="AO129" s="62" t="e">
        <f t="shared" si="90"/>
        <v>#N/A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 t="e">
        <f>EXP(-LN(2)/35)*AU128+(1-EXP(-LN(2)/35))/(LN(2)/35)*AQ129*AR129*VLOOKUP('Données projet'!$B$10,Paramètres!$A$1:$I$89,3,0)*0.475*44/12</f>
        <v>#N/A</v>
      </c>
      <c r="AV129" s="23" t="e">
        <f>EXP(-LN(2)/25)*AV128+(1-EXP(-LN(2)/25))/(LN(2)/25)*Calculateur!AQ129*Calculateur!AS129*VLOOKUP('Données projet'!$B$10,Paramètres!$A$1:$I$89,3,0)*0.475*44/12</f>
        <v>#N/A</v>
      </c>
      <c r="AW129" s="23" t="e">
        <f>EXP(-LN(2)/2)*AW128+(1-EXP(-LN(2)/2))/(LN(2)/2)*AQ129*AT129*VLOOKUP('Données projet'!$B$10,Paramètres!$A$1:$I$89,3,0)*0.475*44/12</f>
        <v>#N/A</v>
      </c>
      <c r="AX129" s="23" t="e">
        <f t="shared" si="60"/>
        <v>#N/A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2">
        <f t="shared" si="86"/>
        <v>21.142979995226813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70">
        <f t="shared" si="56"/>
        <v>462.4299734916865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151.58413719376074</v>
      </c>
      <c r="T130" s="62">
        <f t="shared" si="88"/>
        <v>310.105543138185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14.470520839852083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6.6819352749404892E-13</v>
      </c>
      <c r="AC130" s="24">
        <f t="shared" si="57"/>
        <v>14.470520839852751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 t="e">
        <f>AI130*VLOOKUP('Données projet'!$B$10,Paramètres!$A$1:$I$89,3,0)*VLOOKUP('Données projet'!$B$10,Paramètres!$A$1:$I$89,5,0)</f>
        <v>#N/A</v>
      </c>
      <c r="AK130" s="14" t="e">
        <f t="shared" si="89"/>
        <v>#N/A</v>
      </c>
      <c r="AL130" s="22" t="e">
        <f t="shared" si="58"/>
        <v>#N/A</v>
      </c>
      <c r="AM130" s="62" t="e">
        <f t="shared" si="59"/>
        <v>#N/A</v>
      </c>
      <c r="AN130" s="62" t="e">
        <f ca="1">AVERAGE(OFFSET($AM$3,0,0,'Données projet'!$E$10+1,1))-AVERAGE(OFFSET($H$3,0,0,'Données projet'!$E$10+1,1))</f>
        <v>#N/A</v>
      </c>
      <c r="AO130" s="62" t="e">
        <f t="shared" si="90"/>
        <v>#N/A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 t="e">
        <f>EXP(-LN(2)/35)*AU129+(1-EXP(-LN(2)/35))/(LN(2)/35)*AQ130*AR130*VLOOKUP('Données projet'!$B$10,Paramètres!$A$1:$I$89,3,0)*0.475*44/12</f>
        <v>#N/A</v>
      </c>
      <c r="AV130" s="23" t="e">
        <f>EXP(-LN(2)/25)*AV129+(1-EXP(-LN(2)/25))/(LN(2)/25)*Calculateur!AQ130*Calculateur!AS130*VLOOKUP('Données projet'!$B$10,Paramètres!$A$1:$I$89,3,0)*0.475*44/12</f>
        <v>#N/A</v>
      </c>
      <c r="AW130" s="23" t="e">
        <f>EXP(-LN(2)/2)*AW129+(1-EXP(-LN(2)/2))/(LN(2)/2)*AQ130*AT130*VLOOKUP('Données projet'!$B$10,Paramètres!$A$1:$I$89,3,0)*0.475*44/12</f>
        <v>#N/A</v>
      </c>
      <c r="AX130" s="23" t="e">
        <f t="shared" si="60"/>
        <v>#N/A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2">
        <f t="shared" si="86"/>
        <v>21.290014647017198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70">
        <f t="shared" si="56"/>
        <v>463.72757551022141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151.58413719376074</v>
      </c>
      <c r="T131" s="62">
        <f t="shared" si="88"/>
        <v>310.105543138185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14.186762752328788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4.7248417443600177E-13</v>
      </c>
      <c r="AC131" s="24">
        <f t="shared" si="57"/>
        <v>14.18676275232926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 t="e">
        <f>AI131*VLOOKUP('Données projet'!$B$10,Paramètres!$A$1:$I$89,3,0)*VLOOKUP('Données projet'!$B$10,Paramètres!$A$1:$I$89,5,0)</f>
        <v>#N/A</v>
      </c>
      <c r="AK131" s="14" t="e">
        <f t="shared" si="89"/>
        <v>#N/A</v>
      </c>
      <c r="AL131" s="22" t="e">
        <f t="shared" si="58"/>
        <v>#N/A</v>
      </c>
      <c r="AM131" s="62" t="e">
        <f t="shared" si="59"/>
        <v>#N/A</v>
      </c>
      <c r="AN131" s="62" t="e">
        <f ca="1">AVERAGE(OFFSET($AM$3,0,0,'Données projet'!$E$10+1,1))-AVERAGE(OFFSET($H$3,0,0,'Données projet'!$E$10+1,1))</f>
        <v>#N/A</v>
      </c>
      <c r="AO131" s="62" t="e">
        <f t="shared" si="90"/>
        <v>#N/A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 t="e">
        <f>EXP(-LN(2)/35)*AU130+(1-EXP(-LN(2)/35))/(LN(2)/35)*AQ131*AR131*VLOOKUP('Données projet'!$B$10,Paramètres!$A$1:$I$89,3,0)*0.475*44/12</f>
        <v>#N/A</v>
      </c>
      <c r="AV131" s="23" t="e">
        <f>EXP(-LN(2)/25)*AV130+(1-EXP(-LN(2)/25))/(LN(2)/25)*Calculateur!AQ131*Calculateur!AS131*VLOOKUP('Données projet'!$B$10,Paramètres!$A$1:$I$89,3,0)*0.475*44/12</f>
        <v>#N/A</v>
      </c>
      <c r="AW131" s="23" t="e">
        <f>EXP(-LN(2)/2)*AW130+(1-EXP(-LN(2)/2))/(LN(2)/2)*AQ131*AT131*VLOOKUP('Données projet'!$B$10,Paramètres!$A$1:$I$89,3,0)*0.475*44/12</f>
        <v>#N/A</v>
      </c>
      <c r="AX131" s="23" t="e">
        <f t="shared" si="60"/>
        <v>#N/A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2">
        <f t="shared" si="86"/>
        <v>21.436915648510737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70">
        <f t="shared" ref="H132:H195" si="110">(B132+E132+F132)*44/12+(C132+D132)*0.475*44/12</f>
        <v>465.0249447544893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151.58413719376074</v>
      </c>
      <c r="T132" s="62">
        <f t="shared" si="88"/>
        <v>310.105543138185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13.908568987826479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3.3409676374702446E-13</v>
      </c>
      <c r="AC132" s="24">
        <f t="shared" ref="AC132:AC153" si="111">SUM(Z132:AB132)</f>
        <v>13.908568987826813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 t="e">
        <f>AI132*VLOOKUP('Données projet'!$B$10,Paramètres!$A$1:$I$89,3,0)*VLOOKUP('Données projet'!$B$10,Paramètres!$A$1:$I$89,5,0)</f>
        <v>#N/A</v>
      </c>
      <c r="AK132" s="14" t="e">
        <f t="shared" si="89"/>
        <v>#N/A</v>
      </c>
      <c r="AL132" s="22" t="e">
        <f t="shared" ref="AL132:AL153" si="112">(AJ132+AK132)*0.475*44/12</f>
        <v>#N/A</v>
      </c>
      <c r="AM132" s="62" t="e">
        <f t="shared" ref="AM132:AM195" si="113">AL132+(AD132+AE132)*44/12</f>
        <v>#N/A</v>
      </c>
      <c r="AN132" s="62" t="e">
        <f ca="1">AVERAGE(OFFSET($AM$3,0,0,'Données projet'!$E$10+1,1))-AVERAGE(OFFSET($H$3,0,0,'Données projet'!$E$10+1,1))</f>
        <v>#N/A</v>
      </c>
      <c r="AO132" s="62" t="e">
        <f t="shared" si="90"/>
        <v>#N/A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 t="e">
        <f>EXP(-LN(2)/35)*AU131+(1-EXP(-LN(2)/35))/(LN(2)/35)*AQ132*AR132*VLOOKUP('Données projet'!$B$10,Paramètres!$A$1:$I$89,3,0)*0.475*44/12</f>
        <v>#N/A</v>
      </c>
      <c r="AV132" s="23" t="e">
        <f>EXP(-LN(2)/25)*AV131+(1-EXP(-LN(2)/25))/(LN(2)/25)*Calculateur!AQ132*Calculateur!AS132*VLOOKUP('Données projet'!$B$10,Paramètres!$A$1:$I$89,3,0)*0.475*44/12</f>
        <v>#N/A</v>
      </c>
      <c r="AW132" s="23" t="e">
        <f>EXP(-LN(2)/2)*AW131+(1-EXP(-LN(2)/2))/(LN(2)/2)*AQ132*AT132*VLOOKUP('Données projet'!$B$10,Paramètres!$A$1:$I$89,3,0)*0.475*44/12</f>
        <v>#N/A</v>
      </c>
      <c r="AX132" s="23" t="e">
        <f t="shared" ref="AX132:AX153" si="114">SUM(AU132:AW132)</f>
        <v>#N/A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2">
        <f t="shared" ref="D133:D196" si="140">IFERROR(EXP(-1.0587+0.8836*LN(C133)+0.284),0)</f>
        <v>21.583684155853874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70">
        <f t="shared" si="110"/>
        <v>466.32208323811199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151.58413719376074</v>
      </c>
      <c r="T133" s="62">
        <f t="shared" ref="T133:T196" si="142">$T$3</f>
        <v>310.105543138185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13.635830433364619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2.3624208721800089E-13</v>
      </c>
      <c r="AC133" s="24">
        <f t="shared" si="111"/>
        <v>13.635830433364855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 t="e">
        <f>AI133*VLOOKUP('Données projet'!$B$10,Paramètres!$A$1:$I$89,3,0)*VLOOKUP('Données projet'!$B$10,Paramètres!$A$1:$I$89,5,0)</f>
        <v>#N/A</v>
      </c>
      <c r="AK133" s="14" t="e">
        <f t="shared" ref="AK133:AK153" si="143">EXP(-1.0587+0.8836*LN(AJ133)+0.284)</f>
        <v>#N/A</v>
      </c>
      <c r="AL133" s="22" t="e">
        <f t="shared" si="112"/>
        <v>#N/A</v>
      </c>
      <c r="AM133" s="62" t="e">
        <f t="shared" si="113"/>
        <v>#N/A</v>
      </c>
      <c r="AN133" s="62" t="e">
        <f ca="1">AVERAGE(OFFSET($AM$3,0,0,'Données projet'!$E$10+1,1))-AVERAGE(OFFSET($H$3,0,0,'Données projet'!$E$10+1,1))</f>
        <v>#N/A</v>
      </c>
      <c r="AO133" s="62" t="e">
        <f t="shared" ref="AO133:AO196" si="144">$AO$3</f>
        <v>#N/A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 t="e">
        <f>EXP(-LN(2)/35)*AU132+(1-EXP(-LN(2)/35))/(LN(2)/35)*AQ133*AR133*VLOOKUP('Données projet'!$B$10,Paramètres!$A$1:$I$89,3,0)*0.475*44/12</f>
        <v>#N/A</v>
      </c>
      <c r="AV133" s="23" t="e">
        <f>EXP(-LN(2)/25)*AV132+(1-EXP(-LN(2)/25))/(LN(2)/25)*Calculateur!AQ133*Calculateur!AS133*VLOOKUP('Données projet'!$B$10,Paramètres!$A$1:$I$89,3,0)*0.475*44/12</f>
        <v>#N/A</v>
      </c>
      <c r="AW133" s="23" t="e">
        <f>EXP(-LN(2)/2)*AW132+(1-EXP(-LN(2)/2))/(LN(2)/2)*AQ133*AT133*VLOOKUP('Données projet'!$B$10,Paramètres!$A$1:$I$89,3,0)*0.475*44/12</f>
        <v>#N/A</v>
      </c>
      <c r="AX133" s="23" t="e">
        <f t="shared" si="114"/>
        <v>#N/A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2">
        <f t="shared" si="140"/>
        <v>21.730321306378883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70">
        <f t="shared" si="110"/>
        <v>467.61899294194302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151.58413719376074</v>
      </c>
      <c r="T134" s="62">
        <f t="shared" si="142"/>
        <v>310.105543138185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13.368440115601665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1.6704838187351223E-13</v>
      </c>
      <c r="AC134" s="24">
        <f t="shared" si="111"/>
        <v>13.368440115601832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 t="e">
        <f>AI134*VLOOKUP('Données projet'!$B$10,Paramètres!$A$1:$I$89,3,0)*VLOOKUP('Données projet'!$B$10,Paramètres!$A$1:$I$89,5,0)</f>
        <v>#N/A</v>
      </c>
      <c r="AK134" s="14" t="e">
        <f t="shared" si="143"/>
        <v>#N/A</v>
      </c>
      <c r="AL134" s="22" t="e">
        <f t="shared" si="112"/>
        <v>#N/A</v>
      </c>
      <c r="AM134" s="62" t="e">
        <f t="shared" si="113"/>
        <v>#N/A</v>
      </c>
      <c r="AN134" s="62" t="e">
        <f ca="1">AVERAGE(OFFSET($AM$3,0,0,'Données projet'!$E$10+1,1))-AVERAGE(OFFSET($H$3,0,0,'Données projet'!$E$10+1,1))</f>
        <v>#N/A</v>
      </c>
      <c r="AO134" s="62" t="e">
        <f t="shared" si="144"/>
        <v>#N/A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 t="e">
        <f>EXP(-LN(2)/35)*AU133+(1-EXP(-LN(2)/35))/(LN(2)/35)*AQ134*AR134*VLOOKUP('Données projet'!$B$10,Paramètres!$A$1:$I$89,3,0)*0.475*44/12</f>
        <v>#N/A</v>
      </c>
      <c r="AV134" s="23" t="e">
        <f>EXP(-LN(2)/25)*AV133+(1-EXP(-LN(2)/25))/(LN(2)/25)*Calculateur!AQ134*Calculateur!AS134*VLOOKUP('Données projet'!$B$10,Paramètres!$A$1:$I$89,3,0)*0.475*44/12</f>
        <v>#N/A</v>
      </c>
      <c r="AW134" s="23" t="e">
        <f>EXP(-LN(2)/2)*AW133+(1-EXP(-LN(2)/2))/(LN(2)/2)*AQ134*AT134*VLOOKUP('Données projet'!$B$10,Paramètres!$A$1:$I$89,3,0)*0.475*44/12</f>
        <v>#N/A</v>
      </c>
      <c r="AX134" s="23" t="e">
        <f t="shared" si="114"/>
        <v>#N/A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2">
        <f t="shared" si="140"/>
        <v>21.876828219051234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70">
        <f t="shared" si="110"/>
        <v>468.91567581484742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151.58413719376074</v>
      </c>
      <c r="T135" s="62">
        <f t="shared" si="142"/>
        <v>310.105543138185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13.106293158878051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1.1812104360900044E-13</v>
      </c>
      <c r="AC135" s="24">
        <f t="shared" si="111"/>
        <v>13.106293158878168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 t="e">
        <f>AI135*VLOOKUP('Données projet'!$B$10,Paramètres!$A$1:$I$89,3,0)*VLOOKUP('Données projet'!$B$10,Paramètres!$A$1:$I$89,5,0)</f>
        <v>#N/A</v>
      </c>
      <c r="AK135" s="14" t="e">
        <f t="shared" si="143"/>
        <v>#N/A</v>
      </c>
      <c r="AL135" s="22" t="e">
        <f t="shared" si="112"/>
        <v>#N/A</v>
      </c>
      <c r="AM135" s="62" t="e">
        <f t="shared" si="113"/>
        <v>#N/A</v>
      </c>
      <c r="AN135" s="62" t="e">
        <f ca="1">AVERAGE(OFFSET($AM$3,0,0,'Données projet'!$E$10+1,1))-AVERAGE(OFFSET($H$3,0,0,'Données projet'!$E$10+1,1))</f>
        <v>#N/A</v>
      </c>
      <c r="AO135" s="62" t="e">
        <f t="shared" si="144"/>
        <v>#N/A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 t="e">
        <f>EXP(-LN(2)/35)*AU134+(1-EXP(-LN(2)/35))/(LN(2)/35)*AQ135*AR135*VLOOKUP('Données projet'!$B$10,Paramètres!$A$1:$I$89,3,0)*0.475*44/12</f>
        <v>#N/A</v>
      </c>
      <c r="AV135" s="23" t="e">
        <f>EXP(-LN(2)/25)*AV134+(1-EXP(-LN(2)/25))/(LN(2)/25)*Calculateur!AQ135*Calculateur!AS135*VLOOKUP('Données projet'!$B$10,Paramètres!$A$1:$I$89,3,0)*0.475*44/12</f>
        <v>#N/A</v>
      </c>
      <c r="AW135" s="23" t="e">
        <f>EXP(-LN(2)/2)*AW134+(1-EXP(-LN(2)/2))/(LN(2)/2)*AQ135*AT135*VLOOKUP('Données projet'!$B$10,Paramètres!$A$1:$I$89,3,0)*0.475*44/12</f>
        <v>#N/A</v>
      </c>
      <c r="AX135" s="23" t="e">
        <f t="shared" si="114"/>
        <v>#N/A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2">
        <f t="shared" si="140"/>
        <v>22.023205994903051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70">
        <f t="shared" si="110"/>
        <v>470.21213377445594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151.58413719376074</v>
      </c>
      <c r="T136" s="62">
        <f t="shared" si="142"/>
        <v>310.105543138185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12.849286744081933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8.3524190936756116E-14</v>
      </c>
      <c r="AC136" s="24">
        <f t="shared" si="111"/>
        <v>12.849286744082017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 t="e">
        <f>AI136*VLOOKUP('Données projet'!$B$10,Paramètres!$A$1:$I$89,3,0)*VLOOKUP('Données projet'!$B$10,Paramètres!$A$1:$I$89,5,0)</f>
        <v>#N/A</v>
      </c>
      <c r="AK136" s="14" t="e">
        <f t="shared" si="143"/>
        <v>#N/A</v>
      </c>
      <c r="AL136" s="22" t="e">
        <f t="shared" si="112"/>
        <v>#N/A</v>
      </c>
      <c r="AM136" s="62" t="e">
        <f t="shared" si="113"/>
        <v>#N/A</v>
      </c>
      <c r="AN136" s="62" t="e">
        <f ca="1">AVERAGE(OFFSET($AM$3,0,0,'Données projet'!$E$10+1,1))-AVERAGE(OFFSET($H$3,0,0,'Données projet'!$E$10+1,1))</f>
        <v>#N/A</v>
      </c>
      <c r="AO136" s="62" t="e">
        <f t="shared" si="144"/>
        <v>#N/A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 t="e">
        <f>EXP(-LN(2)/35)*AU135+(1-EXP(-LN(2)/35))/(LN(2)/35)*AQ136*AR136*VLOOKUP('Données projet'!$B$10,Paramètres!$A$1:$I$89,3,0)*0.475*44/12</f>
        <v>#N/A</v>
      </c>
      <c r="AV136" s="23" t="e">
        <f>EXP(-LN(2)/25)*AV135+(1-EXP(-LN(2)/25))/(LN(2)/25)*Calculateur!AQ136*Calculateur!AS136*VLOOKUP('Données projet'!$B$10,Paramètres!$A$1:$I$89,3,0)*0.475*44/12</f>
        <v>#N/A</v>
      </c>
      <c r="AW136" s="23" t="e">
        <f>EXP(-LN(2)/2)*AW135+(1-EXP(-LN(2)/2))/(LN(2)/2)*AQ136*AT136*VLOOKUP('Données projet'!$B$10,Paramètres!$A$1:$I$89,3,0)*0.475*44/12</f>
        <v>#N/A</v>
      </c>
      <c r="AX136" s="23" t="e">
        <f t="shared" si="114"/>
        <v>#N/A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2">
        <f t="shared" si="140"/>
        <v>22.16945571745314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70">
        <f t="shared" si="110"/>
        <v>471.50836870789738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151.58413719376074</v>
      </c>
      <c r="T137" s="62">
        <f t="shared" si="142"/>
        <v>310.105543138185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12.597320068321531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5.9060521804500221E-14</v>
      </c>
      <c r="AC137" s="24">
        <f t="shared" si="111"/>
        <v>12.59732006832159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 t="e">
        <f>AI137*VLOOKUP('Données projet'!$B$10,Paramètres!$A$1:$I$89,3,0)*VLOOKUP('Données projet'!$B$10,Paramètres!$A$1:$I$89,5,0)</f>
        <v>#N/A</v>
      </c>
      <c r="AK137" s="14" t="e">
        <f t="shared" si="143"/>
        <v>#N/A</v>
      </c>
      <c r="AL137" s="22" t="e">
        <f t="shared" si="112"/>
        <v>#N/A</v>
      </c>
      <c r="AM137" s="62" t="e">
        <f t="shared" si="113"/>
        <v>#N/A</v>
      </c>
      <c r="AN137" s="62" t="e">
        <f ca="1">AVERAGE(OFFSET($AM$3,0,0,'Données projet'!$E$10+1,1))-AVERAGE(OFFSET($H$3,0,0,'Données projet'!$E$10+1,1))</f>
        <v>#N/A</v>
      </c>
      <c r="AO137" s="62" t="e">
        <f t="shared" si="144"/>
        <v>#N/A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 t="e">
        <f>EXP(-LN(2)/35)*AU136+(1-EXP(-LN(2)/35))/(LN(2)/35)*AQ137*AR137*VLOOKUP('Données projet'!$B$10,Paramètres!$A$1:$I$89,3,0)*0.475*44/12</f>
        <v>#N/A</v>
      </c>
      <c r="AV137" s="23" t="e">
        <f>EXP(-LN(2)/25)*AV136+(1-EXP(-LN(2)/25))/(LN(2)/25)*Calculateur!AQ137*Calculateur!AS137*VLOOKUP('Données projet'!$B$10,Paramètres!$A$1:$I$89,3,0)*0.475*44/12</f>
        <v>#N/A</v>
      </c>
      <c r="AW137" s="23" t="e">
        <f>EXP(-LN(2)/2)*AW136+(1-EXP(-LN(2)/2))/(LN(2)/2)*AQ137*AT137*VLOOKUP('Données projet'!$B$10,Paramètres!$A$1:$I$89,3,0)*0.475*44/12</f>
        <v>#N/A</v>
      </c>
      <c r="AX137" s="23" t="e">
        <f t="shared" si="114"/>
        <v>#N/A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2">
        <f t="shared" si="140"/>
        <v>22.31557845311416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70">
        <f t="shared" si="110"/>
        <v>472.80438247250697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151.58413719376074</v>
      </c>
      <c r="T138" s="62">
        <f t="shared" si="142"/>
        <v>310.105543138185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12.350294305388294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4.1762095468378058E-14</v>
      </c>
      <c r="AC138" s="24">
        <f t="shared" si="111"/>
        <v>12.350294305388337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 t="e">
        <f>AI138*VLOOKUP('Données projet'!$B$10,Paramètres!$A$1:$I$89,3,0)*VLOOKUP('Données projet'!$B$10,Paramètres!$A$1:$I$89,5,0)</f>
        <v>#N/A</v>
      </c>
      <c r="AK138" s="14" t="e">
        <f t="shared" si="143"/>
        <v>#N/A</v>
      </c>
      <c r="AL138" s="22" t="e">
        <f t="shared" si="112"/>
        <v>#N/A</v>
      </c>
      <c r="AM138" s="62" t="e">
        <f t="shared" si="113"/>
        <v>#N/A</v>
      </c>
      <c r="AN138" s="62" t="e">
        <f ca="1">AVERAGE(OFFSET($AM$3,0,0,'Données projet'!$E$10+1,1))-AVERAGE(OFFSET($H$3,0,0,'Données projet'!$E$10+1,1))</f>
        <v>#N/A</v>
      </c>
      <c r="AO138" s="62" t="e">
        <f t="shared" si="144"/>
        <v>#N/A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 t="e">
        <f>EXP(-LN(2)/35)*AU137+(1-EXP(-LN(2)/35))/(LN(2)/35)*AQ138*AR138*VLOOKUP('Données projet'!$B$10,Paramètres!$A$1:$I$89,3,0)*0.475*44/12</f>
        <v>#N/A</v>
      </c>
      <c r="AV138" s="23" t="e">
        <f>EXP(-LN(2)/25)*AV137+(1-EXP(-LN(2)/25))/(LN(2)/25)*Calculateur!AQ138*Calculateur!AS138*VLOOKUP('Données projet'!$B$10,Paramètres!$A$1:$I$89,3,0)*0.475*44/12</f>
        <v>#N/A</v>
      </c>
      <c r="AW138" s="23" t="e">
        <f>EXP(-LN(2)/2)*AW137+(1-EXP(-LN(2)/2))/(LN(2)/2)*AQ138*AT138*VLOOKUP('Données projet'!$B$10,Paramètres!$A$1:$I$89,3,0)*0.475*44/12</f>
        <v>#N/A</v>
      </c>
      <c r="AX138" s="23" t="e">
        <f t="shared" si="114"/>
        <v>#N/A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2">
        <f t="shared" si="140"/>
        <v>22.461575251587284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70">
        <f t="shared" si="110"/>
        <v>474.10017689651431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151.58413719376074</v>
      </c>
      <c r="T139" s="62">
        <f t="shared" si="142"/>
        <v>310.105543138185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12.10811256699534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2.9530260902250111E-14</v>
      </c>
      <c r="AC139" s="24">
        <f t="shared" si="111"/>
        <v>12.10811256699537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 t="e">
        <f>AI139*VLOOKUP('Données projet'!$B$10,Paramètres!$A$1:$I$89,3,0)*VLOOKUP('Données projet'!$B$10,Paramètres!$A$1:$I$89,5,0)</f>
        <v>#N/A</v>
      </c>
      <c r="AK139" s="14" t="e">
        <f t="shared" si="143"/>
        <v>#N/A</v>
      </c>
      <c r="AL139" s="22" t="e">
        <f t="shared" si="112"/>
        <v>#N/A</v>
      </c>
      <c r="AM139" s="62" t="e">
        <f t="shared" si="113"/>
        <v>#N/A</v>
      </c>
      <c r="AN139" s="62" t="e">
        <f ca="1">AVERAGE(OFFSET($AM$3,0,0,'Données projet'!$E$10+1,1))-AVERAGE(OFFSET($H$3,0,0,'Données projet'!$E$10+1,1))</f>
        <v>#N/A</v>
      </c>
      <c r="AO139" s="62" t="e">
        <f t="shared" si="144"/>
        <v>#N/A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 t="e">
        <f>EXP(-LN(2)/35)*AU138+(1-EXP(-LN(2)/35))/(LN(2)/35)*AQ139*AR139*VLOOKUP('Données projet'!$B$10,Paramètres!$A$1:$I$89,3,0)*0.475*44/12</f>
        <v>#N/A</v>
      </c>
      <c r="AV139" s="23" t="e">
        <f>EXP(-LN(2)/25)*AV138+(1-EXP(-LN(2)/25))/(LN(2)/25)*Calculateur!AQ139*Calculateur!AS139*VLOOKUP('Données projet'!$B$10,Paramètres!$A$1:$I$89,3,0)*0.475*44/12</f>
        <v>#N/A</v>
      </c>
      <c r="AW139" s="23" t="e">
        <f>EXP(-LN(2)/2)*AW138+(1-EXP(-LN(2)/2))/(LN(2)/2)*AQ139*AT139*VLOOKUP('Données projet'!$B$10,Paramètres!$A$1:$I$89,3,0)*0.475*44/12</f>
        <v>#N/A</v>
      </c>
      <c r="AX139" s="23" t="e">
        <f t="shared" si="114"/>
        <v>#N/A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2">
        <f t="shared" si="140"/>
        <v>22.607447146245129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70">
        <f t="shared" si="110"/>
        <v>475.39575377971011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151.58413719376074</v>
      </c>
      <c r="T140" s="62">
        <f t="shared" si="142"/>
        <v>310.105543138185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11.870679864775997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2.0881047734189029E-14</v>
      </c>
      <c r="AC140" s="24">
        <f t="shared" si="111"/>
        <v>11.870679864776019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 t="e">
        <f>AI140*VLOOKUP('Données projet'!$B$10,Paramètres!$A$1:$I$89,3,0)*VLOOKUP('Données projet'!$B$10,Paramètres!$A$1:$I$89,5,0)</f>
        <v>#N/A</v>
      </c>
      <c r="AK140" s="14" t="e">
        <f t="shared" si="143"/>
        <v>#N/A</v>
      </c>
      <c r="AL140" s="22" t="e">
        <f t="shared" si="112"/>
        <v>#N/A</v>
      </c>
      <c r="AM140" s="62" t="e">
        <f t="shared" si="113"/>
        <v>#N/A</v>
      </c>
      <c r="AN140" s="62" t="e">
        <f ca="1">AVERAGE(OFFSET($AM$3,0,0,'Données projet'!$E$10+1,1))-AVERAGE(OFFSET($H$3,0,0,'Données projet'!$E$10+1,1))</f>
        <v>#N/A</v>
      </c>
      <c r="AO140" s="62" t="e">
        <f t="shared" si="144"/>
        <v>#N/A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 t="e">
        <f>EXP(-LN(2)/35)*AU139+(1-EXP(-LN(2)/35))/(LN(2)/35)*AQ140*AR140*VLOOKUP('Données projet'!$B$10,Paramètres!$A$1:$I$89,3,0)*0.475*44/12</f>
        <v>#N/A</v>
      </c>
      <c r="AV140" s="23" t="e">
        <f>EXP(-LN(2)/25)*AV139+(1-EXP(-LN(2)/25))/(LN(2)/25)*Calculateur!AQ140*Calculateur!AS140*VLOOKUP('Données projet'!$B$10,Paramètres!$A$1:$I$89,3,0)*0.475*44/12</f>
        <v>#N/A</v>
      </c>
      <c r="AW140" s="23" t="e">
        <f>EXP(-LN(2)/2)*AW139+(1-EXP(-LN(2)/2))/(LN(2)/2)*AQ140*AT140*VLOOKUP('Données projet'!$B$10,Paramètres!$A$1:$I$89,3,0)*0.475*44/12</f>
        <v>#N/A</v>
      </c>
      <c r="AX140" s="23" t="e">
        <f t="shared" si="114"/>
        <v>#N/A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2">
        <f t="shared" si="140"/>
        <v>22.75319515450283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70">
        <f t="shared" si="110"/>
        <v>476.69111489409227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151.58413719376074</v>
      </c>
      <c r="T141" s="62">
        <f t="shared" si="142"/>
        <v>310.105543138185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11.637903073027527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1.4765130451125055E-14</v>
      </c>
      <c r="AC141" s="24">
        <f t="shared" si="111"/>
        <v>11.637903073027541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 t="e">
        <f>AI141*VLOOKUP('Données projet'!$B$10,Paramètres!$A$1:$I$89,3,0)*VLOOKUP('Données projet'!$B$10,Paramètres!$A$1:$I$89,5,0)</f>
        <v>#N/A</v>
      </c>
      <c r="AK141" s="14" t="e">
        <f t="shared" si="143"/>
        <v>#N/A</v>
      </c>
      <c r="AL141" s="22" t="e">
        <f t="shared" si="112"/>
        <v>#N/A</v>
      </c>
      <c r="AM141" s="62" t="e">
        <f t="shared" si="113"/>
        <v>#N/A</v>
      </c>
      <c r="AN141" s="62" t="e">
        <f ca="1">AVERAGE(OFFSET($AM$3,0,0,'Données projet'!$E$10+1,1))-AVERAGE(OFFSET($H$3,0,0,'Données projet'!$E$10+1,1))</f>
        <v>#N/A</v>
      </c>
      <c r="AO141" s="62" t="e">
        <f t="shared" si="144"/>
        <v>#N/A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 t="e">
        <f>EXP(-LN(2)/35)*AU140+(1-EXP(-LN(2)/35))/(LN(2)/35)*AQ141*AR141*VLOOKUP('Données projet'!$B$10,Paramètres!$A$1:$I$89,3,0)*0.475*44/12</f>
        <v>#N/A</v>
      </c>
      <c r="AV141" s="23" t="e">
        <f>EXP(-LN(2)/25)*AV140+(1-EXP(-LN(2)/25))/(LN(2)/25)*Calculateur!AQ141*Calculateur!AS141*VLOOKUP('Données projet'!$B$10,Paramètres!$A$1:$I$89,3,0)*0.475*44/12</f>
        <v>#N/A</v>
      </c>
      <c r="AW141" s="23" t="e">
        <f>EXP(-LN(2)/2)*AW140+(1-EXP(-LN(2)/2))/(LN(2)/2)*AQ141*AT141*VLOOKUP('Données projet'!$B$10,Paramètres!$A$1:$I$89,3,0)*0.475*44/12</f>
        <v>#N/A</v>
      </c>
      <c r="AX141" s="23" t="e">
        <f t="shared" si="114"/>
        <v>#N/A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2">
        <f t="shared" si="140"/>
        <v>22.898820278178491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70">
        <f t="shared" si="110"/>
        <v>477.98626198449398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151.58413719376074</v>
      </c>
      <c r="T142" s="62">
        <f t="shared" si="142"/>
        <v>310.105543138185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11.40969089218542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1.0440523867094514E-14</v>
      </c>
      <c r="AC142" s="24">
        <f t="shared" si="111"/>
        <v>11.409690892185431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 t="e">
        <f>AI142*VLOOKUP('Données projet'!$B$10,Paramètres!$A$1:$I$89,3,0)*VLOOKUP('Données projet'!$B$10,Paramètres!$A$1:$I$89,5,0)</f>
        <v>#N/A</v>
      </c>
      <c r="AK142" s="14" t="e">
        <f t="shared" si="143"/>
        <v>#N/A</v>
      </c>
      <c r="AL142" s="22" t="e">
        <f t="shared" si="112"/>
        <v>#N/A</v>
      </c>
      <c r="AM142" s="62" t="e">
        <f t="shared" si="113"/>
        <v>#N/A</v>
      </c>
      <c r="AN142" s="62" t="e">
        <f ca="1">AVERAGE(OFFSET($AM$3,0,0,'Données projet'!$E$10+1,1))-AVERAGE(OFFSET($H$3,0,0,'Données projet'!$E$10+1,1))</f>
        <v>#N/A</v>
      </c>
      <c r="AO142" s="62" t="e">
        <f t="shared" si="144"/>
        <v>#N/A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 t="e">
        <f>EXP(-LN(2)/35)*AU141+(1-EXP(-LN(2)/35))/(LN(2)/35)*AQ142*AR142*VLOOKUP('Données projet'!$B$10,Paramètres!$A$1:$I$89,3,0)*0.475*44/12</f>
        <v>#N/A</v>
      </c>
      <c r="AV142" s="23" t="e">
        <f>EXP(-LN(2)/25)*AV141+(1-EXP(-LN(2)/25))/(LN(2)/25)*Calculateur!AQ142*Calculateur!AS142*VLOOKUP('Données projet'!$B$10,Paramètres!$A$1:$I$89,3,0)*0.475*44/12</f>
        <v>#N/A</v>
      </c>
      <c r="AW142" s="23" t="e">
        <f>EXP(-LN(2)/2)*AW141+(1-EXP(-LN(2)/2))/(LN(2)/2)*AQ142*AT142*VLOOKUP('Données projet'!$B$10,Paramètres!$A$1:$I$89,3,0)*0.475*44/12</f>
        <v>#N/A</v>
      </c>
      <c r="AX142" s="23" t="e">
        <f t="shared" si="114"/>
        <v>#N/A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2">
        <f t="shared" si="140"/>
        <v>23.044323503842559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70">
        <f t="shared" si="110"/>
        <v>479.28119676919226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151.58413719376074</v>
      </c>
      <c r="T143" s="62">
        <f t="shared" si="142"/>
        <v>310.105543138185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11.185953813013942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7.3825652255625277E-15</v>
      </c>
      <c r="AC143" s="24">
        <f t="shared" si="111"/>
        <v>11.185953813013949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 t="e">
        <f>AI143*VLOOKUP('Données projet'!$B$10,Paramètres!$A$1:$I$89,3,0)*VLOOKUP('Données projet'!$B$10,Paramètres!$A$1:$I$89,5,0)</f>
        <v>#N/A</v>
      </c>
      <c r="AK143" s="14" t="e">
        <f t="shared" si="143"/>
        <v>#N/A</v>
      </c>
      <c r="AL143" s="22" t="e">
        <f t="shared" si="112"/>
        <v>#N/A</v>
      </c>
      <c r="AM143" s="62" t="e">
        <f t="shared" si="113"/>
        <v>#N/A</v>
      </c>
      <c r="AN143" s="62" t="e">
        <f ca="1">AVERAGE(OFFSET($AM$3,0,0,'Données projet'!$E$10+1,1))-AVERAGE(OFFSET($H$3,0,0,'Données projet'!$E$10+1,1))</f>
        <v>#N/A</v>
      </c>
      <c r="AO143" s="62" t="e">
        <f t="shared" si="144"/>
        <v>#N/A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 t="e">
        <f>EXP(-LN(2)/35)*AU142+(1-EXP(-LN(2)/35))/(LN(2)/35)*AQ143*AR143*VLOOKUP('Données projet'!$B$10,Paramètres!$A$1:$I$89,3,0)*0.475*44/12</f>
        <v>#N/A</v>
      </c>
      <c r="AV143" s="23" t="e">
        <f>EXP(-LN(2)/25)*AV142+(1-EXP(-LN(2)/25))/(LN(2)/25)*Calculateur!AQ143*Calculateur!AS143*VLOOKUP('Données projet'!$B$10,Paramètres!$A$1:$I$89,3,0)*0.475*44/12</f>
        <v>#N/A</v>
      </c>
      <c r="AW143" s="23" t="e">
        <f>EXP(-LN(2)/2)*AW142+(1-EXP(-LN(2)/2))/(LN(2)/2)*AQ143*AT143*VLOOKUP('Données projet'!$B$10,Paramètres!$A$1:$I$89,3,0)*0.475*44/12</f>
        <v>#N/A</v>
      </c>
      <c r="AX143" s="23" t="e">
        <f t="shared" si="114"/>
        <v>#N/A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2">
        <f t="shared" si="140"/>
        <v>23.189705803157228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70">
        <f t="shared" si="110"/>
        <v>480.57592094049863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151.58413719376074</v>
      </c>
      <c r="T144" s="62">
        <f t="shared" si="142"/>
        <v>310.105543138185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10.966604081498874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5.2202619335472572E-15</v>
      </c>
      <c r="AC144" s="24">
        <f t="shared" si="111"/>
        <v>10.966604081498879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 t="e">
        <f>AI144*VLOOKUP('Données projet'!$B$10,Paramètres!$A$1:$I$89,3,0)*VLOOKUP('Données projet'!$B$10,Paramètres!$A$1:$I$89,5,0)</f>
        <v>#N/A</v>
      </c>
      <c r="AK144" s="14" t="e">
        <f t="shared" si="143"/>
        <v>#N/A</v>
      </c>
      <c r="AL144" s="22" t="e">
        <f t="shared" si="112"/>
        <v>#N/A</v>
      </c>
      <c r="AM144" s="62" t="e">
        <f t="shared" si="113"/>
        <v>#N/A</v>
      </c>
      <c r="AN144" s="62" t="e">
        <f ca="1">AVERAGE(OFFSET($AM$3,0,0,'Données projet'!$E$10+1,1))-AVERAGE(OFFSET($H$3,0,0,'Données projet'!$E$10+1,1))</f>
        <v>#N/A</v>
      </c>
      <c r="AO144" s="62" t="e">
        <f t="shared" si="144"/>
        <v>#N/A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 t="e">
        <f>EXP(-LN(2)/35)*AU143+(1-EXP(-LN(2)/35))/(LN(2)/35)*AQ144*AR144*VLOOKUP('Données projet'!$B$10,Paramètres!$A$1:$I$89,3,0)*0.475*44/12</f>
        <v>#N/A</v>
      </c>
      <c r="AV144" s="23" t="e">
        <f>EXP(-LN(2)/25)*AV143+(1-EXP(-LN(2)/25))/(LN(2)/25)*Calculateur!AQ144*Calculateur!AS144*VLOOKUP('Données projet'!$B$10,Paramètres!$A$1:$I$89,3,0)*0.475*44/12</f>
        <v>#N/A</v>
      </c>
      <c r="AW144" s="23" t="e">
        <f>EXP(-LN(2)/2)*AW143+(1-EXP(-LN(2)/2))/(LN(2)/2)*AQ144*AT144*VLOOKUP('Données projet'!$B$10,Paramètres!$A$1:$I$89,3,0)*0.475*44/12</f>
        <v>#N/A</v>
      </c>
      <c r="AX144" s="23" t="e">
        <f t="shared" si="114"/>
        <v>#N/A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2">
        <f t="shared" si="140"/>
        <v>23.334968133205699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70">
        <f t="shared" si="110"/>
        <v>481.87043616533305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151.58413719376074</v>
      </c>
      <c r="T145" s="62">
        <f t="shared" si="142"/>
        <v>310.105543138185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10.75155566442869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3.6912826127812638E-15</v>
      </c>
      <c r="AC145" s="24">
        <f t="shared" si="111"/>
        <v>10.751555664428693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 t="e">
        <f>AI145*VLOOKUP('Données projet'!$B$10,Paramètres!$A$1:$I$89,3,0)*VLOOKUP('Données projet'!$B$10,Paramètres!$A$1:$I$89,5,0)</f>
        <v>#N/A</v>
      </c>
      <c r="AK145" s="14" t="e">
        <f t="shared" si="143"/>
        <v>#N/A</v>
      </c>
      <c r="AL145" s="22" t="e">
        <f t="shared" si="112"/>
        <v>#N/A</v>
      </c>
      <c r="AM145" s="62" t="e">
        <f t="shared" si="113"/>
        <v>#N/A</v>
      </c>
      <c r="AN145" s="62" t="e">
        <f ca="1">AVERAGE(OFFSET($AM$3,0,0,'Données projet'!$E$10+1,1))-AVERAGE(OFFSET($H$3,0,0,'Données projet'!$E$10+1,1))</f>
        <v>#N/A</v>
      </c>
      <c r="AO145" s="62" t="e">
        <f t="shared" si="144"/>
        <v>#N/A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 t="e">
        <f>EXP(-LN(2)/35)*AU144+(1-EXP(-LN(2)/35))/(LN(2)/35)*AQ145*AR145*VLOOKUP('Données projet'!$B$10,Paramètres!$A$1:$I$89,3,0)*0.475*44/12</f>
        <v>#N/A</v>
      </c>
      <c r="AV145" s="23" t="e">
        <f>EXP(-LN(2)/25)*AV144+(1-EXP(-LN(2)/25))/(LN(2)/25)*Calculateur!AQ145*Calculateur!AS145*VLOOKUP('Données projet'!$B$10,Paramètres!$A$1:$I$89,3,0)*0.475*44/12</f>
        <v>#N/A</v>
      </c>
      <c r="AW145" s="23" t="e">
        <f>EXP(-LN(2)/2)*AW144+(1-EXP(-LN(2)/2))/(LN(2)/2)*AQ145*AT145*VLOOKUP('Données projet'!$B$10,Paramètres!$A$1:$I$89,3,0)*0.475*44/12</f>
        <v>#N/A</v>
      </c>
      <c r="AX145" s="23" t="e">
        <f t="shared" si="114"/>
        <v>#N/A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2">
        <f t="shared" si="140"/>
        <v>23.480111436812148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70">
        <f t="shared" si="110"/>
        <v>483.16474408578097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151.58413719376074</v>
      </c>
      <c r="T146" s="62">
        <f t="shared" si="142"/>
        <v>310.105543138185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10.54072421565067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2.6101309667736286E-15</v>
      </c>
      <c r="AC146" s="24">
        <f t="shared" si="111"/>
        <v>10.540724215650672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 t="e">
        <f>AI146*VLOOKUP('Données projet'!$B$10,Paramètres!$A$1:$I$89,3,0)*VLOOKUP('Données projet'!$B$10,Paramètres!$A$1:$I$89,5,0)</f>
        <v>#N/A</v>
      </c>
      <c r="AK146" s="14" t="e">
        <f t="shared" si="143"/>
        <v>#N/A</v>
      </c>
      <c r="AL146" s="22" t="e">
        <f t="shared" si="112"/>
        <v>#N/A</v>
      </c>
      <c r="AM146" s="62" t="e">
        <f t="shared" si="113"/>
        <v>#N/A</v>
      </c>
      <c r="AN146" s="62" t="e">
        <f ca="1">AVERAGE(OFFSET($AM$3,0,0,'Données projet'!$E$10+1,1))-AVERAGE(OFFSET($H$3,0,0,'Données projet'!$E$10+1,1))</f>
        <v>#N/A</v>
      </c>
      <c r="AO146" s="62" t="e">
        <f t="shared" si="144"/>
        <v>#N/A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 t="e">
        <f>EXP(-LN(2)/35)*AU145+(1-EXP(-LN(2)/35))/(LN(2)/35)*AQ146*AR146*VLOOKUP('Données projet'!$B$10,Paramètres!$A$1:$I$89,3,0)*0.475*44/12</f>
        <v>#N/A</v>
      </c>
      <c r="AV146" s="23" t="e">
        <f>EXP(-LN(2)/25)*AV145+(1-EXP(-LN(2)/25))/(LN(2)/25)*Calculateur!AQ146*Calculateur!AS146*VLOOKUP('Données projet'!$B$10,Paramètres!$A$1:$I$89,3,0)*0.475*44/12</f>
        <v>#N/A</v>
      </c>
      <c r="AW146" s="23" t="e">
        <f>EXP(-LN(2)/2)*AW145+(1-EXP(-LN(2)/2))/(LN(2)/2)*AQ146*AT146*VLOOKUP('Données projet'!$B$10,Paramètres!$A$1:$I$89,3,0)*0.475*44/12</f>
        <v>#N/A</v>
      </c>
      <c r="AX146" s="23" t="e">
        <f t="shared" si="114"/>
        <v>#N/A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2">
        <f t="shared" si="140"/>
        <v>23.625136642852276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70">
        <f t="shared" si="110"/>
        <v>484.45884631963418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151.58413719376074</v>
      </c>
      <c r="T147" s="62">
        <f t="shared" si="142"/>
        <v>310.105543138185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10.3340270429887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1.8456413063906319E-15</v>
      </c>
      <c r="AC147" s="24">
        <f t="shared" si="111"/>
        <v>10.334027042988701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 t="e">
        <f>AI147*VLOOKUP('Données projet'!$B$10,Paramètres!$A$1:$I$89,3,0)*VLOOKUP('Données projet'!$B$10,Paramètres!$A$1:$I$89,5,0)</f>
        <v>#N/A</v>
      </c>
      <c r="AK147" s="14" t="e">
        <f t="shared" si="143"/>
        <v>#N/A</v>
      </c>
      <c r="AL147" s="22" t="e">
        <f t="shared" si="112"/>
        <v>#N/A</v>
      </c>
      <c r="AM147" s="62" t="e">
        <f t="shared" si="113"/>
        <v>#N/A</v>
      </c>
      <c r="AN147" s="62" t="e">
        <f ca="1">AVERAGE(OFFSET($AM$3,0,0,'Données projet'!$E$10+1,1))-AVERAGE(OFFSET($H$3,0,0,'Données projet'!$E$10+1,1))</f>
        <v>#N/A</v>
      </c>
      <c r="AO147" s="62" t="e">
        <f t="shared" si="144"/>
        <v>#N/A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 t="e">
        <f>EXP(-LN(2)/35)*AU146+(1-EXP(-LN(2)/35))/(LN(2)/35)*AQ147*AR147*VLOOKUP('Données projet'!$B$10,Paramètres!$A$1:$I$89,3,0)*0.475*44/12</f>
        <v>#N/A</v>
      </c>
      <c r="AV147" s="23" t="e">
        <f>EXP(-LN(2)/25)*AV146+(1-EXP(-LN(2)/25))/(LN(2)/25)*Calculateur!AQ147*Calculateur!AS147*VLOOKUP('Données projet'!$B$10,Paramètres!$A$1:$I$89,3,0)*0.475*44/12</f>
        <v>#N/A</v>
      </c>
      <c r="AW147" s="23" t="e">
        <f>EXP(-LN(2)/2)*AW146+(1-EXP(-LN(2)/2))/(LN(2)/2)*AQ147*AT147*VLOOKUP('Données projet'!$B$10,Paramètres!$A$1:$I$89,3,0)*0.475*44/12</f>
        <v>#N/A</v>
      </c>
      <c r="AX147" s="23" t="e">
        <f t="shared" si="114"/>
        <v>#N/A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2">
        <f t="shared" si="140"/>
        <v>23.770044666555076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70">
        <f t="shared" si="110"/>
        <v>485.75274446091657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151.58413719376074</v>
      </c>
      <c r="T148" s="62">
        <f t="shared" si="142"/>
        <v>310.105543138185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10.131383075809804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1.3050654833868143E-15</v>
      </c>
      <c r="AC148" s="24">
        <f t="shared" si="111"/>
        <v>10.131383075809806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 t="e">
        <f>AI148*VLOOKUP('Données projet'!$B$10,Paramètres!$A$1:$I$89,3,0)*VLOOKUP('Données projet'!$B$10,Paramètres!$A$1:$I$89,5,0)</f>
        <v>#N/A</v>
      </c>
      <c r="AK148" s="14" t="e">
        <f t="shared" si="143"/>
        <v>#N/A</v>
      </c>
      <c r="AL148" s="22" t="e">
        <f t="shared" si="112"/>
        <v>#N/A</v>
      </c>
      <c r="AM148" s="62" t="e">
        <f t="shared" si="113"/>
        <v>#N/A</v>
      </c>
      <c r="AN148" s="62" t="e">
        <f ca="1">AVERAGE(OFFSET($AM$3,0,0,'Données projet'!$E$10+1,1))-AVERAGE(OFFSET($H$3,0,0,'Données projet'!$E$10+1,1))</f>
        <v>#N/A</v>
      </c>
      <c r="AO148" s="62" t="e">
        <f t="shared" si="144"/>
        <v>#N/A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 t="e">
        <f>EXP(-LN(2)/35)*AU147+(1-EXP(-LN(2)/35))/(LN(2)/35)*AQ148*AR148*VLOOKUP('Données projet'!$B$10,Paramètres!$A$1:$I$89,3,0)*0.475*44/12</f>
        <v>#N/A</v>
      </c>
      <c r="AV148" s="23" t="e">
        <f>EXP(-LN(2)/25)*AV147+(1-EXP(-LN(2)/25))/(LN(2)/25)*Calculateur!AQ148*Calculateur!AS148*VLOOKUP('Données projet'!$B$10,Paramètres!$A$1:$I$89,3,0)*0.475*44/12</f>
        <v>#N/A</v>
      </c>
      <c r="AW148" s="23" t="e">
        <f>EXP(-LN(2)/2)*AW147+(1-EXP(-LN(2)/2))/(LN(2)/2)*AQ148*AT148*VLOOKUP('Données projet'!$B$10,Paramètres!$A$1:$I$89,3,0)*0.475*44/12</f>
        <v>#N/A</v>
      </c>
      <c r="AX148" s="23" t="e">
        <f t="shared" si="114"/>
        <v>#N/A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2">
        <f t="shared" si="140"/>
        <v>23.914836409796042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70">
        <f t="shared" si="110"/>
        <v>487.04644008039458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151.58413719376074</v>
      </c>
      <c r="T149" s="62">
        <f t="shared" si="142"/>
        <v>310.105543138185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9.9327128332266721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9.2282065319531596E-16</v>
      </c>
      <c r="AC149" s="24">
        <f t="shared" si="111"/>
        <v>9.9327128332266739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 t="e">
        <f>AI149*VLOOKUP('Données projet'!$B$10,Paramètres!$A$1:$I$89,3,0)*VLOOKUP('Données projet'!$B$10,Paramètres!$A$1:$I$89,5,0)</f>
        <v>#N/A</v>
      </c>
      <c r="AK149" s="14" t="e">
        <f t="shared" si="143"/>
        <v>#N/A</v>
      </c>
      <c r="AL149" s="22" t="e">
        <f t="shared" si="112"/>
        <v>#N/A</v>
      </c>
      <c r="AM149" s="62" t="e">
        <f t="shared" si="113"/>
        <v>#N/A</v>
      </c>
      <c r="AN149" s="62" t="e">
        <f ca="1">AVERAGE(OFFSET($AM$3,0,0,'Données projet'!$E$10+1,1))-AVERAGE(OFFSET($H$3,0,0,'Données projet'!$E$10+1,1))</f>
        <v>#N/A</v>
      </c>
      <c r="AO149" s="62" t="e">
        <f t="shared" si="144"/>
        <v>#N/A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 t="e">
        <f>EXP(-LN(2)/35)*AU148+(1-EXP(-LN(2)/35))/(LN(2)/35)*AQ149*AR149*VLOOKUP('Données projet'!$B$10,Paramètres!$A$1:$I$89,3,0)*0.475*44/12</f>
        <v>#N/A</v>
      </c>
      <c r="AV149" s="23" t="e">
        <f>EXP(-LN(2)/25)*AV148+(1-EXP(-LN(2)/25))/(LN(2)/25)*Calculateur!AQ149*Calculateur!AS149*VLOOKUP('Données projet'!$B$10,Paramètres!$A$1:$I$89,3,0)*0.475*44/12</f>
        <v>#N/A</v>
      </c>
      <c r="AW149" s="23" t="e">
        <f>EXP(-LN(2)/2)*AW148+(1-EXP(-LN(2)/2))/(LN(2)/2)*AQ149*AT149*VLOOKUP('Données projet'!$B$10,Paramètres!$A$1:$I$89,3,0)*0.475*44/12</f>
        <v>#N/A</v>
      </c>
      <c r="AX149" s="23" t="e">
        <f t="shared" si="114"/>
        <v>#N/A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2">
        <f t="shared" si="140"/>
        <v>24.059512761382056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70">
        <f t="shared" si="110"/>
        <v>488.33993472607352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151.58413719376074</v>
      </c>
      <c r="T150" s="62">
        <f t="shared" si="142"/>
        <v>310.105543138185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9.7379383929237129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6.5253274169340715E-16</v>
      </c>
      <c r="AC150" s="24">
        <f t="shared" si="111"/>
        <v>9.7379383929237129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 t="e">
        <f>AI150*VLOOKUP('Données projet'!$B$10,Paramètres!$A$1:$I$89,3,0)*VLOOKUP('Données projet'!$B$10,Paramètres!$A$1:$I$89,5,0)</f>
        <v>#N/A</v>
      </c>
      <c r="AK150" s="14" t="e">
        <f t="shared" si="143"/>
        <v>#N/A</v>
      </c>
      <c r="AL150" s="22" t="e">
        <f t="shared" si="112"/>
        <v>#N/A</v>
      </c>
      <c r="AM150" s="62" t="e">
        <f t="shared" si="113"/>
        <v>#N/A</v>
      </c>
      <c r="AN150" s="62" t="e">
        <f ca="1">AVERAGE(OFFSET($AM$3,0,0,'Données projet'!$E$10+1,1))-AVERAGE(OFFSET($H$3,0,0,'Données projet'!$E$10+1,1))</f>
        <v>#N/A</v>
      </c>
      <c r="AO150" s="62" t="e">
        <f t="shared" si="144"/>
        <v>#N/A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 t="e">
        <f>EXP(-LN(2)/35)*AU149+(1-EXP(-LN(2)/35))/(LN(2)/35)*AQ150*AR150*VLOOKUP('Données projet'!$B$10,Paramètres!$A$1:$I$89,3,0)*0.475*44/12</f>
        <v>#N/A</v>
      </c>
      <c r="AV150" s="23" t="e">
        <f>EXP(-LN(2)/25)*AV149+(1-EXP(-LN(2)/25))/(LN(2)/25)*Calculateur!AQ150*Calculateur!AS150*VLOOKUP('Données projet'!$B$10,Paramètres!$A$1:$I$89,3,0)*0.475*44/12</f>
        <v>#N/A</v>
      </c>
      <c r="AW150" s="23" t="e">
        <f>EXP(-LN(2)/2)*AW149+(1-EXP(-LN(2)/2))/(LN(2)/2)*AQ150*AT150*VLOOKUP('Données projet'!$B$10,Paramètres!$A$1:$I$89,3,0)*0.475*44/12</f>
        <v>#N/A</v>
      </c>
      <c r="AX150" s="23" t="e">
        <f t="shared" si="114"/>
        <v>#N/A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2">
        <f t="shared" si="140"/>
        <v>24.204074597328436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70">
        <f t="shared" si="110"/>
        <v>489.63322992368012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151.58413719376074</v>
      </c>
      <c r="T151" s="62">
        <f t="shared" si="142"/>
        <v>310.105543138185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9.5469833605944157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4.6141032659765798E-16</v>
      </c>
      <c r="AC151" s="24">
        <f t="shared" si="111"/>
        <v>9.5469833605944157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 t="e">
        <f>AI151*VLOOKUP('Données projet'!$B$10,Paramètres!$A$1:$I$89,3,0)*VLOOKUP('Données projet'!$B$10,Paramètres!$A$1:$I$89,5,0)</f>
        <v>#N/A</v>
      </c>
      <c r="AK151" s="14" t="e">
        <f t="shared" si="143"/>
        <v>#N/A</v>
      </c>
      <c r="AL151" s="22" t="e">
        <f t="shared" si="112"/>
        <v>#N/A</v>
      </c>
      <c r="AM151" s="62" t="e">
        <f t="shared" si="113"/>
        <v>#N/A</v>
      </c>
      <c r="AN151" s="62" t="e">
        <f ca="1">AVERAGE(OFFSET($AM$3,0,0,'Données projet'!$E$10+1,1))-AVERAGE(OFFSET($H$3,0,0,'Données projet'!$E$10+1,1))</f>
        <v>#N/A</v>
      </c>
      <c r="AO151" s="62" t="e">
        <f t="shared" si="144"/>
        <v>#N/A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 t="e">
        <f>EXP(-LN(2)/35)*AU150+(1-EXP(-LN(2)/35))/(LN(2)/35)*AQ151*AR151*VLOOKUP('Données projet'!$B$10,Paramètres!$A$1:$I$89,3,0)*0.475*44/12</f>
        <v>#N/A</v>
      </c>
      <c r="AV151" s="23" t="e">
        <f>EXP(-LN(2)/25)*AV150+(1-EXP(-LN(2)/25))/(LN(2)/25)*Calculateur!AQ151*Calculateur!AS151*VLOOKUP('Données projet'!$B$10,Paramètres!$A$1:$I$89,3,0)*0.475*44/12</f>
        <v>#N/A</v>
      </c>
      <c r="AW151" s="23" t="e">
        <f>EXP(-LN(2)/2)*AW150+(1-EXP(-LN(2)/2))/(LN(2)/2)*AQ151*AT151*VLOOKUP('Données projet'!$B$10,Paramètres!$A$1:$I$89,3,0)*0.475*44/12</f>
        <v>#N/A</v>
      </c>
      <c r="AX151" s="23" t="e">
        <f t="shared" si="114"/>
        <v>#N/A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2">
        <f t="shared" si="140"/>
        <v>24.348522781128061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70">
        <f t="shared" si="110"/>
        <v>490.92632717713116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151.58413719376074</v>
      </c>
      <c r="T152" s="62">
        <f t="shared" si="142"/>
        <v>310.105543138185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9.359772839978028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3.2626637084670358E-16</v>
      </c>
      <c r="AC152" s="24">
        <f t="shared" si="111"/>
        <v>9.359772839978028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 t="e">
        <f>AI152*VLOOKUP('Données projet'!$B$10,Paramètres!$A$1:$I$89,3,0)*VLOOKUP('Données projet'!$B$10,Paramètres!$A$1:$I$89,5,0)</f>
        <v>#N/A</v>
      </c>
      <c r="AK152" s="14" t="e">
        <f t="shared" si="143"/>
        <v>#N/A</v>
      </c>
      <c r="AL152" s="22" t="e">
        <f t="shared" si="112"/>
        <v>#N/A</v>
      </c>
      <c r="AM152" s="62" t="e">
        <f t="shared" si="113"/>
        <v>#N/A</v>
      </c>
      <c r="AN152" s="62" t="e">
        <f ca="1">AVERAGE(OFFSET($AM$3,0,0,'Données projet'!$E$10+1,1))-AVERAGE(OFFSET($H$3,0,0,'Données projet'!$E$10+1,1))</f>
        <v>#N/A</v>
      </c>
      <c r="AO152" s="62" t="e">
        <f t="shared" si="144"/>
        <v>#N/A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 t="e">
        <f>EXP(-LN(2)/35)*AU151+(1-EXP(-LN(2)/35))/(LN(2)/35)*AQ152*AR152*VLOOKUP('Données projet'!$B$10,Paramètres!$A$1:$I$89,3,0)*0.475*44/12</f>
        <v>#N/A</v>
      </c>
      <c r="AV152" s="23" t="e">
        <f>EXP(-LN(2)/25)*AV151+(1-EXP(-LN(2)/25))/(LN(2)/25)*Calculateur!AQ152*Calculateur!AS152*VLOOKUP('Données projet'!$B$10,Paramètres!$A$1:$I$89,3,0)*0.475*44/12</f>
        <v>#N/A</v>
      </c>
      <c r="AW152" s="23" t="e">
        <f>EXP(-LN(2)/2)*AW151+(1-EXP(-LN(2)/2))/(LN(2)/2)*AQ152*AT152*VLOOKUP('Données projet'!$B$10,Paramètres!$A$1:$I$89,3,0)*0.475*44/12</f>
        <v>#N/A</v>
      </c>
      <c r="AX152" s="23" t="e">
        <f t="shared" si="114"/>
        <v>#N/A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2">
        <f t="shared" si="140"/>
        <v>24.492858164013278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70">
        <f t="shared" si="110"/>
        <v>492.21922796898957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151.58413719376074</v>
      </c>
      <c r="T153" s="62">
        <f t="shared" si="142"/>
        <v>310.105543138185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9.1762334034837849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2.3070516329882899E-16</v>
      </c>
      <c r="AC153" s="24">
        <f t="shared" si="111"/>
        <v>9.1762334034837849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 t="e">
        <f>AI153*VLOOKUP('Données projet'!$B$10,Paramètres!$A$1:$I$89,3,0)*VLOOKUP('Données projet'!$B$10,Paramètres!$A$1:$I$89,5,0)</f>
        <v>#N/A</v>
      </c>
      <c r="AK153" s="14" t="e">
        <f t="shared" si="143"/>
        <v>#N/A</v>
      </c>
      <c r="AL153" s="22" t="e">
        <f t="shared" si="112"/>
        <v>#N/A</v>
      </c>
      <c r="AM153" s="62" t="e">
        <f t="shared" si="113"/>
        <v>#N/A</v>
      </c>
      <c r="AN153" s="62" t="e">
        <f ca="1">AVERAGE(OFFSET($AM$3,0,0,'Données projet'!$E$10+1,1))-AVERAGE(OFFSET($H$3,0,0,'Données projet'!$E$10+1,1))</f>
        <v>#N/A</v>
      </c>
      <c r="AO153" s="62" t="e">
        <f t="shared" si="144"/>
        <v>#N/A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 t="e">
        <f>EXP(-LN(2)/35)*AU152+(1-EXP(-LN(2)/35))/(LN(2)/35)*AQ153*AR153*VLOOKUP('Données projet'!$B$10,Paramètres!$A$1:$I$89,3,0)*0.475*44/12</f>
        <v>#N/A</v>
      </c>
      <c r="AV153" s="23" t="e">
        <f>EXP(-LN(2)/25)*AV152+(1-EXP(-LN(2)/25))/(LN(2)/25)*Calculateur!AQ153*Calculateur!AS153*VLOOKUP('Données projet'!$B$10,Paramètres!$A$1:$I$89,3,0)*0.475*44/12</f>
        <v>#N/A</v>
      </c>
      <c r="AW153" s="23" t="e">
        <f>EXP(-LN(2)/2)*AW152+(1-EXP(-LN(2)/2))/(LN(2)/2)*AQ153*AT153*VLOOKUP('Données projet'!$B$10,Paramètres!$A$1:$I$89,3,0)*0.475*44/12</f>
        <v>#N/A</v>
      </c>
      <c r="AX153" s="23" t="e">
        <f t="shared" si="114"/>
        <v>#N/A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2">
        <f t="shared" si="140"/>
        <v>24.637081585210503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70">
        <f t="shared" si="110"/>
        <v>493.51193376090805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151.58413719376074</v>
      </c>
      <c r="T154" s="62">
        <f t="shared" si="142"/>
        <v>310.105543138185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8.9962930633911906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1.6313318542335179E-16</v>
      </c>
      <c r="AC154" s="24">
        <f t="shared" ref="AC154:AC203" si="163">SUM(Z154:AB154)</f>
        <v>8.9962930633911906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 t="e">
        <f>AI154*VLOOKUP('Données projet'!$B$10,Paramètres!$A$1:$I$89,3,0)*VLOOKUP('Données projet'!$B$10,Paramètres!$A$1:$I$89,5,0)</f>
        <v>#N/A</v>
      </c>
      <c r="AK154" s="14" t="e">
        <f t="shared" ref="AK154:AK203" si="164">EXP(-1.0587+0.8836*LN(AJ154)+0.284)</f>
        <v>#N/A</v>
      </c>
      <c r="AL154" s="22" t="e">
        <f t="shared" ref="AL154:AL203" si="165">(AJ154+AK154)*0.475*44/12</f>
        <v>#N/A</v>
      </c>
      <c r="AM154" s="62" t="e">
        <f t="shared" si="113"/>
        <v>#N/A</v>
      </c>
      <c r="AN154" s="62" t="e">
        <f ca="1">AVERAGE(OFFSET($AM$3,0,0,'Données projet'!$E$10+1,1))-AVERAGE(OFFSET($H$3,0,0,'Données projet'!$E$10+1,1))</f>
        <v>#N/A</v>
      </c>
      <c r="AO154" s="62" t="e">
        <f t="shared" si="144"/>
        <v>#N/A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 t="e">
        <f>EXP(-LN(2)/35)*AU153+(1-EXP(-LN(2)/35))/(LN(2)/35)*AQ154*AR154*VLOOKUP('Données projet'!$B$10,Paramètres!$A$1:$I$89,3,0)*0.475*44/12</f>
        <v>#N/A</v>
      </c>
      <c r="AV154" s="23" t="e">
        <f>EXP(-LN(2)/25)*AV153+(1-EXP(-LN(2)/25))/(LN(2)/25)*Calculateur!AQ154*Calculateur!AS154*VLOOKUP('Données projet'!$B$10,Paramètres!$A$1:$I$89,3,0)*0.475*44/12</f>
        <v>#N/A</v>
      </c>
      <c r="AW154" s="23" t="e">
        <f>EXP(-LN(2)/2)*AW153+(1-EXP(-LN(2)/2))/(LN(2)/2)*AQ154*AT154*VLOOKUP('Données projet'!$B$10,Paramètres!$A$1:$I$89,3,0)*0.475*44/12</f>
        <v>#N/A</v>
      </c>
      <c r="AX154" s="23" t="e">
        <f t="shared" ref="AX154:AX203" si="166">SUM(AU154:AW154)</f>
        <v>#N/A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2">
        <f t="shared" si="140"/>
        <v>24.781193872187931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70">
        <f t="shared" si="110"/>
        <v>494.80444599406042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151.58413719376074</v>
      </c>
      <c r="T155" s="62">
        <f t="shared" si="142"/>
        <v>310.105543138185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8.8198812436150416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1.153525816494145E-16</v>
      </c>
      <c r="AC155" s="24">
        <f t="shared" si="163"/>
        <v>8.8198812436150416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 t="e">
        <f>AI155*VLOOKUP('Données projet'!$B$10,Paramètres!$A$1:$I$89,3,0)*VLOOKUP('Données projet'!$B$10,Paramètres!$A$1:$I$89,5,0)</f>
        <v>#N/A</v>
      </c>
      <c r="AK155" s="14" t="e">
        <f t="shared" si="164"/>
        <v>#N/A</v>
      </c>
      <c r="AL155" s="22" t="e">
        <f t="shared" si="165"/>
        <v>#N/A</v>
      </c>
      <c r="AM155" s="62" t="e">
        <f t="shared" si="113"/>
        <v>#N/A</v>
      </c>
      <c r="AN155" s="62" t="e">
        <f ca="1">AVERAGE(OFFSET($AM$3,0,0,'Données projet'!$E$10+1,1))-AVERAGE(OFFSET($H$3,0,0,'Données projet'!$E$10+1,1))</f>
        <v>#N/A</v>
      </c>
      <c r="AO155" s="62" t="e">
        <f t="shared" si="144"/>
        <v>#N/A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 t="e">
        <f>EXP(-LN(2)/35)*AU154+(1-EXP(-LN(2)/35))/(LN(2)/35)*AQ155*AR155*VLOOKUP('Données projet'!$B$10,Paramètres!$A$1:$I$89,3,0)*0.475*44/12</f>
        <v>#N/A</v>
      </c>
      <c r="AV155" s="23" t="e">
        <f>EXP(-LN(2)/25)*AV154+(1-EXP(-LN(2)/25))/(LN(2)/25)*Calculateur!AQ155*Calculateur!AS155*VLOOKUP('Données projet'!$B$10,Paramètres!$A$1:$I$89,3,0)*0.475*44/12</f>
        <v>#N/A</v>
      </c>
      <c r="AW155" s="23" t="e">
        <f>EXP(-LN(2)/2)*AW154+(1-EXP(-LN(2)/2))/(LN(2)/2)*AQ155*AT155*VLOOKUP('Données projet'!$B$10,Paramètres!$A$1:$I$89,3,0)*0.475*44/12</f>
        <v>#N/A</v>
      </c>
      <c r="AX155" s="23" t="e">
        <f t="shared" si="166"/>
        <v>#N/A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2">
        <f t="shared" si="140"/>
        <v>24.925195840896507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70">
        <f t="shared" si="110"/>
        <v>496.09676608956119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151.58413719376074</v>
      </c>
      <c r="T156" s="62">
        <f t="shared" si="142"/>
        <v>310.105543138185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8.6469287520241185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8.1566592711675894E-17</v>
      </c>
      <c r="AC156" s="24">
        <f t="shared" si="163"/>
        <v>8.6469287520241185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 t="e">
        <f>AI156*VLOOKUP('Données projet'!$B$10,Paramètres!$A$1:$I$89,3,0)*VLOOKUP('Données projet'!$B$10,Paramètres!$A$1:$I$89,5,0)</f>
        <v>#N/A</v>
      </c>
      <c r="AK156" s="14" t="e">
        <f t="shared" si="164"/>
        <v>#N/A</v>
      </c>
      <c r="AL156" s="22" t="e">
        <f t="shared" si="165"/>
        <v>#N/A</v>
      </c>
      <c r="AM156" s="62" t="e">
        <f t="shared" si="113"/>
        <v>#N/A</v>
      </c>
      <c r="AN156" s="62" t="e">
        <f ca="1">AVERAGE(OFFSET($AM$3,0,0,'Données projet'!$E$10+1,1))-AVERAGE(OFFSET($H$3,0,0,'Données projet'!$E$10+1,1))</f>
        <v>#N/A</v>
      </c>
      <c r="AO156" s="62" t="e">
        <f t="shared" si="144"/>
        <v>#N/A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 t="e">
        <f>EXP(-LN(2)/35)*AU155+(1-EXP(-LN(2)/35))/(LN(2)/35)*AQ156*AR156*VLOOKUP('Données projet'!$B$10,Paramètres!$A$1:$I$89,3,0)*0.475*44/12</f>
        <v>#N/A</v>
      </c>
      <c r="AV156" s="23" t="e">
        <f>EXP(-LN(2)/25)*AV155+(1-EXP(-LN(2)/25))/(LN(2)/25)*Calculateur!AQ156*Calculateur!AS156*VLOOKUP('Données projet'!$B$10,Paramètres!$A$1:$I$89,3,0)*0.475*44/12</f>
        <v>#N/A</v>
      </c>
      <c r="AW156" s="23" t="e">
        <f>EXP(-LN(2)/2)*AW155+(1-EXP(-LN(2)/2))/(LN(2)/2)*AQ156*AT156*VLOOKUP('Données projet'!$B$10,Paramètres!$A$1:$I$89,3,0)*0.475*44/12</f>
        <v>#N/A</v>
      </c>
      <c r="AX156" s="23" t="e">
        <f t="shared" si="166"/>
        <v>#N/A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2">
        <f t="shared" si="140"/>
        <v>25.069088296004431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70">
        <f t="shared" si="110"/>
        <v>497.38889544887417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151.58413719376074</v>
      </c>
      <c r="T157" s="62">
        <f t="shared" si="142"/>
        <v>310.105543138185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8.4773677533026888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5.7676290824707248E-17</v>
      </c>
      <c r="AC157" s="24">
        <f t="shared" si="163"/>
        <v>8.4773677533026888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 t="e">
        <f>AI157*VLOOKUP('Données projet'!$B$10,Paramètres!$A$1:$I$89,3,0)*VLOOKUP('Données projet'!$B$10,Paramètres!$A$1:$I$89,5,0)</f>
        <v>#N/A</v>
      </c>
      <c r="AK157" s="14" t="e">
        <f t="shared" si="164"/>
        <v>#N/A</v>
      </c>
      <c r="AL157" s="22" t="e">
        <f t="shared" si="165"/>
        <v>#N/A</v>
      </c>
      <c r="AM157" s="62" t="e">
        <f t="shared" si="113"/>
        <v>#N/A</v>
      </c>
      <c r="AN157" s="62" t="e">
        <f ca="1">AVERAGE(OFFSET($AM$3,0,0,'Données projet'!$E$10+1,1))-AVERAGE(OFFSET($H$3,0,0,'Données projet'!$E$10+1,1))</f>
        <v>#N/A</v>
      </c>
      <c r="AO157" s="62" t="e">
        <f t="shared" si="144"/>
        <v>#N/A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 t="e">
        <f>EXP(-LN(2)/35)*AU156+(1-EXP(-LN(2)/35))/(LN(2)/35)*AQ157*AR157*VLOOKUP('Données projet'!$B$10,Paramètres!$A$1:$I$89,3,0)*0.475*44/12</f>
        <v>#N/A</v>
      </c>
      <c r="AV157" s="23" t="e">
        <f>EXP(-LN(2)/25)*AV156+(1-EXP(-LN(2)/25))/(LN(2)/25)*Calculateur!AQ157*Calculateur!AS157*VLOOKUP('Données projet'!$B$10,Paramètres!$A$1:$I$89,3,0)*0.475*44/12</f>
        <v>#N/A</v>
      </c>
      <c r="AW157" s="23" t="e">
        <f>EXP(-LN(2)/2)*AW156+(1-EXP(-LN(2)/2))/(LN(2)/2)*AQ157*AT157*VLOOKUP('Données projet'!$B$10,Paramètres!$A$1:$I$89,3,0)*0.475*44/12</f>
        <v>#N/A</v>
      </c>
      <c r="AX157" s="23" t="e">
        <f t="shared" si="166"/>
        <v>#N/A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2">
        <f t="shared" si="140"/>
        <v>25.212872031125453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70">
        <f t="shared" si="110"/>
        <v>498.68083545420996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151.58413719376074</v>
      </c>
      <c r="T158" s="62">
        <f t="shared" si="142"/>
        <v>310.105543138185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8.3111317423441893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4.0783296355837947E-17</v>
      </c>
      <c r="AC158" s="24">
        <f t="shared" si="163"/>
        <v>8.3111317423441893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 t="e">
        <f>AI158*VLOOKUP('Données projet'!$B$10,Paramètres!$A$1:$I$89,3,0)*VLOOKUP('Données projet'!$B$10,Paramètres!$A$1:$I$89,5,0)</f>
        <v>#N/A</v>
      </c>
      <c r="AK158" s="14" t="e">
        <f t="shared" si="164"/>
        <v>#N/A</v>
      </c>
      <c r="AL158" s="22" t="e">
        <f t="shared" si="165"/>
        <v>#N/A</v>
      </c>
      <c r="AM158" s="62" t="e">
        <f t="shared" si="113"/>
        <v>#N/A</v>
      </c>
      <c r="AN158" s="62" t="e">
        <f ca="1">AVERAGE(OFFSET($AM$3,0,0,'Données projet'!$E$10+1,1))-AVERAGE(OFFSET($H$3,0,0,'Données projet'!$E$10+1,1))</f>
        <v>#N/A</v>
      </c>
      <c r="AO158" s="62" t="e">
        <f t="shared" si="144"/>
        <v>#N/A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 t="e">
        <f>EXP(-LN(2)/35)*AU157+(1-EXP(-LN(2)/35))/(LN(2)/35)*AQ158*AR158*VLOOKUP('Données projet'!$B$10,Paramètres!$A$1:$I$89,3,0)*0.475*44/12</f>
        <v>#N/A</v>
      </c>
      <c r="AV158" s="23" t="e">
        <f>EXP(-LN(2)/25)*AV157+(1-EXP(-LN(2)/25))/(LN(2)/25)*Calculateur!AQ158*Calculateur!AS158*VLOOKUP('Données projet'!$B$10,Paramètres!$A$1:$I$89,3,0)*0.475*44/12</f>
        <v>#N/A</v>
      </c>
      <c r="AW158" s="23" t="e">
        <f>EXP(-LN(2)/2)*AW157+(1-EXP(-LN(2)/2))/(LN(2)/2)*AQ158*AT158*VLOOKUP('Données projet'!$B$10,Paramètres!$A$1:$I$89,3,0)*0.475*44/12</f>
        <v>#N/A</v>
      </c>
      <c r="AX158" s="23" t="e">
        <f t="shared" si="166"/>
        <v>#N/A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2">
        <f t="shared" si="140"/>
        <v>25.356547829040952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70">
        <f t="shared" si="110"/>
        <v>499.97258746891276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151.58413719376074</v>
      </c>
      <c r="T159" s="62">
        <f t="shared" si="142"/>
        <v>310.105543138185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8.1481555181666323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2.8838145412353624E-17</v>
      </c>
      <c r="AC159" s="24">
        <f t="shared" si="163"/>
        <v>8.1481555181666323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 t="e">
        <f>AI159*VLOOKUP('Données projet'!$B$10,Paramètres!$A$1:$I$89,3,0)*VLOOKUP('Données projet'!$B$10,Paramètres!$A$1:$I$89,5,0)</f>
        <v>#N/A</v>
      </c>
      <c r="AK159" s="14" t="e">
        <f t="shared" si="164"/>
        <v>#N/A</v>
      </c>
      <c r="AL159" s="22" t="e">
        <f t="shared" si="165"/>
        <v>#N/A</v>
      </c>
      <c r="AM159" s="62" t="e">
        <f t="shared" si="113"/>
        <v>#N/A</v>
      </c>
      <c r="AN159" s="62" t="e">
        <f ca="1">AVERAGE(OFFSET($AM$3,0,0,'Données projet'!$E$10+1,1))-AVERAGE(OFFSET($H$3,0,0,'Données projet'!$E$10+1,1))</f>
        <v>#N/A</v>
      </c>
      <c r="AO159" s="62" t="e">
        <f t="shared" si="144"/>
        <v>#N/A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 t="e">
        <f>EXP(-LN(2)/35)*AU158+(1-EXP(-LN(2)/35))/(LN(2)/35)*AQ159*AR159*VLOOKUP('Données projet'!$B$10,Paramètres!$A$1:$I$89,3,0)*0.475*44/12</f>
        <v>#N/A</v>
      </c>
      <c r="AV159" s="23" t="e">
        <f>EXP(-LN(2)/25)*AV158+(1-EXP(-LN(2)/25))/(LN(2)/25)*Calculateur!AQ159*Calculateur!AS159*VLOOKUP('Données projet'!$B$10,Paramètres!$A$1:$I$89,3,0)*0.475*44/12</f>
        <v>#N/A</v>
      </c>
      <c r="AW159" s="23" t="e">
        <f>EXP(-LN(2)/2)*AW158+(1-EXP(-LN(2)/2))/(LN(2)/2)*AQ159*AT159*VLOOKUP('Données projet'!$B$10,Paramètres!$A$1:$I$89,3,0)*0.475*44/12</f>
        <v>#N/A</v>
      </c>
      <c r="AX159" s="23" t="e">
        <f t="shared" si="166"/>
        <v>#N/A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2">
        <f t="shared" si="140"/>
        <v>25.500116461916356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70">
        <f t="shared" si="110"/>
        <v>501.2641528378374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151.58413719376074</v>
      </c>
      <c r="T160" s="62">
        <f t="shared" si="142"/>
        <v>310.105543138185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7.9883751583395153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2.0391648177918974E-17</v>
      </c>
      <c r="AC160" s="24">
        <f t="shared" si="163"/>
        <v>7.9883751583395153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 t="e">
        <f>AI160*VLOOKUP('Données projet'!$B$10,Paramètres!$A$1:$I$89,3,0)*VLOOKUP('Données projet'!$B$10,Paramètres!$A$1:$I$89,5,0)</f>
        <v>#N/A</v>
      </c>
      <c r="AK160" s="14" t="e">
        <f t="shared" si="164"/>
        <v>#N/A</v>
      </c>
      <c r="AL160" s="22" t="e">
        <f t="shared" si="165"/>
        <v>#N/A</v>
      </c>
      <c r="AM160" s="62" t="e">
        <f t="shared" si="113"/>
        <v>#N/A</v>
      </c>
      <c r="AN160" s="62" t="e">
        <f ca="1">AVERAGE(OFFSET($AM$3,0,0,'Données projet'!$E$10+1,1))-AVERAGE(OFFSET($H$3,0,0,'Données projet'!$E$10+1,1))</f>
        <v>#N/A</v>
      </c>
      <c r="AO160" s="62" t="e">
        <f t="shared" si="144"/>
        <v>#N/A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 t="e">
        <f>EXP(-LN(2)/35)*AU159+(1-EXP(-LN(2)/35))/(LN(2)/35)*AQ160*AR160*VLOOKUP('Données projet'!$B$10,Paramètres!$A$1:$I$89,3,0)*0.475*44/12</f>
        <v>#N/A</v>
      </c>
      <c r="AV160" s="23" t="e">
        <f>EXP(-LN(2)/25)*AV159+(1-EXP(-LN(2)/25))/(LN(2)/25)*Calculateur!AQ160*Calculateur!AS160*VLOOKUP('Données projet'!$B$10,Paramètres!$A$1:$I$89,3,0)*0.475*44/12</f>
        <v>#N/A</v>
      </c>
      <c r="AW160" s="23" t="e">
        <f>EXP(-LN(2)/2)*AW159+(1-EXP(-LN(2)/2))/(LN(2)/2)*AQ160*AT160*VLOOKUP('Données projet'!$B$10,Paramètres!$A$1:$I$89,3,0)*0.475*44/12</f>
        <v>#N/A</v>
      </c>
      <c r="AX160" s="23" t="e">
        <f t="shared" si="166"/>
        <v>#N/A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2">
        <f t="shared" si="140"/>
        <v>25.643578691511777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70">
        <f t="shared" si="110"/>
        <v>502.55553288771608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151.58413719376074</v>
      </c>
      <c r="T161" s="62">
        <f t="shared" si="142"/>
        <v>310.105543138185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7.831727993912212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1.4419072706176812E-17</v>
      </c>
      <c r="AC161" s="24">
        <f t="shared" si="163"/>
        <v>7.831727993912212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 t="e">
        <f>AI161*VLOOKUP('Données projet'!$B$10,Paramètres!$A$1:$I$89,3,0)*VLOOKUP('Données projet'!$B$10,Paramètres!$A$1:$I$89,5,0)</f>
        <v>#N/A</v>
      </c>
      <c r="AK161" s="14" t="e">
        <f t="shared" si="164"/>
        <v>#N/A</v>
      </c>
      <c r="AL161" s="22" t="e">
        <f t="shared" si="165"/>
        <v>#N/A</v>
      </c>
      <c r="AM161" s="62" t="e">
        <f t="shared" si="113"/>
        <v>#N/A</v>
      </c>
      <c r="AN161" s="62" t="e">
        <f ca="1">AVERAGE(OFFSET($AM$3,0,0,'Données projet'!$E$10+1,1))-AVERAGE(OFFSET($H$3,0,0,'Données projet'!$E$10+1,1))</f>
        <v>#N/A</v>
      </c>
      <c r="AO161" s="62" t="e">
        <f t="shared" si="144"/>
        <v>#N/A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 t="e">
        <f>EXP(-LN(2)/35)*AU160+(1-EXP(-LN(2)/35))/(LN(2)/35)*AQ161*AR161*VLOOKUP('Données projet'!$B$10,Paramètres!$A$1:$I$89,3,0)*0.475*44/12</f>
        <v>#N/A</v>
      </c>
      <c r="AV161" s="23" t="e">
        <f>EXP(-LN(2)/25)*AV160+(1-EXP(-LN(2)/25))/(LN(2)/25)*Calculateur!AQ161*Calculateur!AS161*VLOOKUP('Données projet'!$B$10,Paramètres!$A$1:$I$89,3,0)*0.475*44/12</f>
        <v>#N/A</v>
      </c>
      <c r="AW161" s="23" t="e">
        <f>EXP(-LN(2)/2)*AW160+(1-EXP(-LN(2)/2))/(LN(2)/2)*AQ161*AT161*VLOOKUP('Données projet'!$B$10,Paramètres!$A$1:$I$89,3,0)*0.475*44/12</f>
        <v>#N/A</v>
      </c>
      <c r="AX161" s="23" t="e">
        <f t="shared" si="166"/>
        <v>#N/A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2">
        <f t="shared" si="140"/>
        <v>25.786935269387101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70">
        <f t="shared" si="110"/>
        <v>503.84672892751564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151.58413719376074</v>
      </c>
      <c r="T162" s="62">
        <f t="shared" si="142"/>
        <v>310.105543138185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7.6781525848339918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1.0195824088959487E-17</v>
      </c>
      <c r="AC162" s="24">
        <f t="shared" si="163"/>
        <v>7.6781525848339918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 t="e">
        <f>AI162*VLOOKUP('Données projet'!$B$10,Paramètres!$A$1:$I$89,3,0)*VLOOKUP('Données projet'!$B$10,Paramètres!$A$1:$I$89,5,0)</f>
        <v>#N/A</v>
      </c>
      <c r="AK162" s="14" t="e">
        <f t="shared" si="164"/>
        <v>#N/A</v>
      </c>
      <c r="AL162" s="22" t="e">
        <f t="shared" si="165"/>
        <v>#N/A</v>
      </c>
      <c r="AM162" s="62" t="e">
        <f t="shared" si="113"/>
        <v>#N/A</v>
      </c>
      <c r="AN162" s="62" t="e">
        <f ca="1">AVERAGE(OFFSET($AM$3,0,0,'Données projet'!$E$10+1,1))-AVERAGE(OFFSET($H$3,0,0,'Données projet'!$E$10+1,1))</f>
        <v>#N/A</v>
      </c>
      <c r="AO162" s="62" t="e">
        <f t="shared" si="144"/>
        <v>#N/A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 t="e">
        <f>EXP(-LN(2)/35)*AU161+(1-EXP(-LN(2)/35))/(LN(2)/35)*AQ162*AR162*VLOOKUP('Données projet'!$B$10,Paramètres!$A$1:$I$89,3,0)*0.475*44/12</f>
        <v>#N/A</v>
      </c>
      <c r="AV162" s="23" t="e">
        <f>EXP(-LN(2)/25)*AV161+(1-EXP(-LN(2)/25))/(LN(2)/25)*Calculateur!AQ162*Calculateur!AS162*VLOOKUP('Données projet'!$B$10,Paramètres!$A$1:$I$89,3,0)*0.475*44/12</f>
        <v>#N/A</v>
      </c>
      <c r="AW162" s="23" t="e">
        <f>EXP(-LN(2)/2)*AW161+(1-EXP(-LN(2)/2))/(LN(2)/2)*AQ162*AT162*VLOOKUP('Données projet'!$B$10,Paramètres!$A$1:$I$89,3,0)*0.475*44/12</f>
        <v>#N/A</v>
      </c>
      <c r="AX162" s="23" t="e">
        <f t="shared" si="166"/>
        <v>#N/A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2">
        <f t="shared" si="140"/>
        <v>25.930186937101919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70">
        <f t="shared" si="110"/>
        <v>505.13774224878563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151.58413719376074</v>
      </c>
      <c r="T163" s="62">
        <f t="shared" si="142"/>
        <v>310.105543138185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7.5275886958560454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7.2095363530884059E-18</v>
      </c>
      <c r="AC163" s="24">
        <f t="shared" si="163"/>
        <v>7.5275886958560454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 t="e">
        <f>AI163*VLOOKUP('Données projet'!$B$10,Paramètres!$A$1:$I$89,3,0)*VLOOKUP('Données projet'!$B$10,Paramètres!$A$1:$I$89,5,0)</f>
        <v>#N/A</v>
      </c>
      <c r="AK163" s="14" t="e">
        <f t="shared" si="164"/>
        <v>#N/A</v>
      </c>
      <c r="AL163" s="22" t="e">
        <f t="shared" si="165"/>
        <v>#N/A</v>
      </c>
      <c r="AM163" s="62" t="e">
        <f t="shared" si="113"/>
        <v>#N/A</v>
      </c>
      <c r="AN163" s="62" t="e">
        <f ca="1">AVERAGE(OFFSET($AM$3,0,0,'Données projet'!$E$10+1,1))-AVERAGE(OFFSET($H$3,0,0,'Données projet'!$E$10+1,1))</f>
        <v>#N/A</v>
      </c>
      <c r="AO163" s="62" t="e">
        <f t="shared" si="144"/>
        <v>#N/A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 t="e">
        <f>EXP(-LN(2)/35)*AU162+(1-EXP(-LN(2)/35))/(LN(2)/35)*AQ163*AR163*VLOOKUP('Données projet'!$B$10,Paramètres!$A$1:$I$89,3,0)*0.475*44/12</f>
        <v>#N/A</v>
      </c>
      <c r="AV163" s="23" t="e">
        <f>EXP(-LN(2)/25)*AV162+(1-EXP(-LN(2)/25))/(LN(2)/25)*Calculateur!AQ163*Calculateur!AS163*VLOOKUP('Données projet'!$B$10,Paramètres!$A$1:$I$89,3,0)*0.475*44/12</f>
        <v>#N/A</v>
      </c>
      <c r="AW163" s="23" t="e">
        <f>EXP(-LN(2)/2)*AW162+(1-EXP(-LN(2)/2))/(LN(2)/2)*AQ163*AT163*VLOOKUP('Données projet'!$B$10,Paramètres!$A$1:$I$89,3,0)*0.475*44/12</f>
        <v>#N/A</v>
      </c>
      <c r="AX163" s="23" t="e">
        <f t="shared" si="166"/>
        <v>#N/A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2">
        <f t="shared" si="140"/>
        <v>26.073334426410252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70">
        <f t="shared" si="110"/>
        <v>506.42857412599761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151.58413719376074</v>
      </c>
      <c r="T164" s="62">
        <f t="shared" si="142"/>
        <v>310.105543138185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7.3799772729060518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5.0979120444797434E-18</v>
      </c>
      <c r="AC164" s="24">
        <f t="shared" si="163"/>
        <v>7.3799772729060518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 t="e">
        <f>AI164*VLOOKUP('Données projet'!$B$10,Paramètres!$A$1:$I$89,3,0)*VLOOKUP('Données projet'!$B$10,Paramètres!$A$1:$I$89,5,0)</f>
        <v>#N/A</v>
      </c>
      <c r="AK164" s="14" t="e">
        <f t="shared" si="164"/>
        <v>#N/A</v>
      </c>
      <c r="AL164" s="22" t="e">
        <f t="shared" si="165"/>
        <v>#N/A</v>
      </c>
      <c r="AM164" s="62" t="e">
        <f t="shared" si="113"/>
        <v>#N/A</v>
      </c>
      <c r="AN164" s="62" t="e">
        <f ca="1">AVERAGE(OFFSET($AM$3,0,0,'Données projet'!$E$10+1,1))-AVERAGE(OFFSET($H$3,0,0,'Données projet'!$E$10+1,1))</f>
        <v>#N/A</v>
      </c>
      <c r="AO164" s="62" t="e">
        <f t="shared" si="144"/>
        <v>#N/A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 t="e">
        <f>EXP(-LN(2)/35)*AU163+(1-EXP(-LN(2)/35))/(LN(2)/35)*AQ164*AR164*VLOOKUP('Données projet'!$B$10,Paramètres!$A$1:$I$89,3,0)*0.475*44/12</f>
        <v>#N/A</v>
      </c>
      <c r="AV164" s="23" t="e">
        <f>EXP(-LN(2)/25)*AV163+(1-EXP(-LN(2)/25))/(LN(2)/25)*Calculateur!AQ164*Calculateur!AS164*VLOOKUP('Données projet'!$B$10,Paramètres!$A$1:$I$89,3,0)*0.475*44/12</f>
        <v>#N/A</v>
      </c>
      <c r="AW164" s="23" t="e">
        <f>EXP(-LN(2)/2)*AW163+(1-EXP(-LN(2)/2))/(LN(2)/2)*AQ164*AT164*VLOOKUP('Données projet'!$B$10,Paramètres!$A$1:$I$89,3,0)*0.475*44/12</f>
        <v>#N/A</v>
      </c>
      <c r="AX164" s="23" t="e">
        <f t="shared" si="166"/>
        <v>#N/A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2">
        <f t="shared" si="140"/>
        <v>26.216378459450194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70">
        <f t="shared" si="110"/>
        <v>507.71922581687556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151.58413719376074</v>
      </c>
      <c r="T165" s="62">
        <f t="shared" si="142"/>
        <v>310.105543138185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7.2352604199260302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3.604768176544203E-18</v>
      </c>
      <c r="AC165" s="24">
        <f t="shared" si="163"/>
        <v>7.2352604199260302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 t="e">
        <f>AI165*VLOOKUP('Données projet'!$B$10,Paramètres!$A$1:$I$89,3,0)*VLOOKUP('Données projet'!$B$10,Paramètres!$A$1:$I$89,5,0)</f>
        <v>#N/A</v>
      </c>
      <c r="AK165" s="14" t="e">
        <f t="shared" si="164"/>
        <v>#N/A</v>
      </c>
      <c r="AL165" s="22" t="e">
        <f t="shared" si="165"/>
        <v>#N/A</v>
      </c>
      <c r="AM165" s="62" t="e">
        <f t="shared" si="113"/>
        <v>#N/A</v>
      </c>
      <c r="AN165" s="62" t="e">
        <f ca="1">AVERAGE(OFFSET($AM$3,0,0,'Données projet'!$E$10+1,1))-AVERAGE(OFFSET($H$3,0,0,'Données projet'!$E$10+1,1))</f>
        <v>#N/A</v>
      </c>
      <c r="AO165" s="62" t="e">
        <f t="shared" si="144"/>
        <v>#N/A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 t="e">
        <f>EXP(-LN(2)/35)*AU164+(1-EXP(-LN(2)/35))/(LN(2)/35)*AQ165*AR165*VLOOKUP('Données projet'!$B$10,Paramètres!$A$1:$I$89,3,0)*0.475*44/12</f>
        <v>#N/A</v>
      </c>
      <c r="AV165" s="23" t="e">
        <f>EXP(-LN(2)/25)*AV164+(1-EXP(-LN(2)/25))/(LN(2)/25)*Calculateur!AQ165*Calculateur!AS165*VLOOKUP('Données projet'!$B$10,Paramètres!$A$1:$I$89,3,0)*0.475*44/12</f>
        <v>#N/A</v>
      </c>
      <c r="AW165" s="23" t="e">
        <f>EXP(-LN(2)/2)*AW164+(1-EXP(-LN(2)/2))/(LN(2)/2)*AQ165*AT165*VLOOKUP('Données projet'!$B$10,Paramètres!$A$1:$I$89,3,0)*0.475*44/12</f>
        <v>#N/A</v>
      </c>
      <c r="AX165" s="23" t="e">
        <f t="shared" si="166"/>
        <v>#N/A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2">
        <f t="shared" si="140"/>
        <v>26.359319748929014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70">
        <f t="shared" si="110"/>
        <v>509.00969856271774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151.58413719376074</v>
      </c>
      <c r="T166" s="62">
        <f t="shared" si="142"/>
        <v>310.105543138185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7.0933813761643822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2.5489560222398717E-18</v>
      </c>
      <c r="AC166" s="24">
        <f t="shared" si="163"/>
        <v>7.0933813761643822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 t="e">
        <f>AI166*VLOOKUP('Données projet'!$B$10,Paramètres!$A$1:$I$89,3,0)*VLOOKUP('Données projet'!$B$10,Paramètres!$A$1:$I$89,5,0)</f>
        <v>#N/A</v>
      </c>
      <c r="AK166" s="14" t="e">
        <f t="shared" si="164"/>
        <v>#N/A</v>
      </c>
      <c r="AL166" s="22" t="e">
        <f t="shared" si="165"/>
        <v>#N/A</v>
      </c>
      <c r="AM166" s="62" t="e">
        <f t="shared" si="113"/>
        <v>#N/A</v>
      </c>
      <c r="AN166" s="62" t="e">
        <f ca="1">AVERAGE(OFFSET($AM$3,0,0,'Données projet'!$E$10+1,1))-AVERAGE(OFFSET($H$3,0,0,'Données projet'!$E$10+1,1))</f>
        <v>#N/A</v>
      </c>
      <c r="AO166" s="62" t="e">
        <f t="shared" si="144"/>
        <v>#N/A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 t="e">
        <f>EXP(-LN(2)/35)*AU165+(1-EXP(-LN(2)/35))/(LN(2)/35)*AQ166*AR166*VLOOKUP('Données projet'!$B$10,Paramètres!$A$1:$I$89,3,0)*0.475*44/12</f>
        <v>#N/A</v>
      </c>
      <c r="AV166" s="23" t="e">
        <f>EXP(-LN(2)/25)*AV165+(1-EXP(-LN(2)/25))/(LN(2)/25)*Calculateur!AQ166*Calculateur!AS166*VLOOKUP('Données projet'!$B$10,Paramètres!$A$1:$I$89,3,0)*0.475*44/12</f>
        <v>#N/A</v>
      </c>
      <c r="AW166" s="23" t="e">
        <f>EXP(-LN(2)/2)*AW165+(1-EXP(-LN(2)/2))/(LN(2)/2)*AQ166*AT166*VLOOKUP('Données projet'!$B$10,Paramètres!$A$1:$I$89,3,0)*0.475*44/12</f>
        <v>#N/A</v>
      </c>
      <c r="AX166" s="23" t="e">
        <f t="shared" si="166"/>
        <v>#N/A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2">
        <f t="shared" si="140"/>
        <v>26.502158998303084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70">
        <f t="shared" si="110"/>
        <v>510.299993588711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151.58413719376074</v>
      </c>
      <c r="T167" s="62">
        <f t="shared" si="142"/>
        <v>310.105543138185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6.954284493913228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1.8023840882721015E-18</v>
      </c>
      <c r="AC167" s="24">
        <f t="shared" si="163"/>
        <v>6.954284493913228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 t="e">
        <f>AI167*VLOOKUP('Données projet'!$B$10,Paramètres!$A$1:$I$89,3,0)*VLOOKUP('Données projet'!$B$10,Paramètres!$A$1:$I$89,5,0)</f>
        <v>#N/A</v>
      </c>
      <c r="AK167" s="14" t="e">
        <f t="shared" si="164"/>
        <v>#N/A</v>
      </c>
      <c r="AL167" s="22" t="e">
        <f t="shared" si="165"/>
        <v>#N/A</v>
      </c>
      <c r="AM167" s="62" t="e">
        <f t="shared" si="113"/>
        <v>#N/A</v>
      </c>
      <c r="AN167" s="62" t="e">
        <f ca="1">AVERAGE(OFFSET($AM$3,0,0,'Données projet'!$E$10+1,1))-AVERAGE(OFFSET($H$3,0,0,'Données projet'!$E$10+1,1))</f>
        <v>#N/A</v>
      </c>
      <c r="AO167" s="62" t="e">
        <f t="shared" si="144"/>
        <v>#N/A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 t="e">
        <f>EXP(-LN(2)/35)*AU166+(1-EXP(-LN(2)/35))/(LN(2)/35)*AQ167*AR167*VLOOKUP('Données projet'!$B$10,Paramètres!$A$1:$I$89,3,0)*0.475*44/12</f>
        <v>#N/A</v>
      </c>
      <c r="AV167" s="23" t="e">
        <f>EXP(-LN(2)/25)*AV166+(1-EXP(-LN(2)/25))/(LN(2)/25)*Calculateur!AQ167*Calculateur!AS167*VLOOKUP('Données projet'!$B$10,Paramètres!$A$1:$I$89,3,0)*0.475*44/12</f>
        <v>#N/A</v>
      </c>
      <c r="AW167" s="23" t="e">
        <f>EXP(-LN(2)/2)*AW166+(1-EXP(-LN(2)/2))/(LN(2)/2)*AQ167*AT167*VLOOKUP('Données projet'!$B$10,Paramètres!$A$1:$I$89,3,0)*0.475*44/12</f>
        <v>#N/A</v>
      </c>
      <c r="AX167" s="23" t="e">
        <f t="shared" si="166"/>
        <v>#N/A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2">
        <f t="shared" si="140"/>
        <v>26.644896901954041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70">
        <f t="shared" si="110"/>
        <v>511.59011210423637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151.58413719376074</v>
      </c>
      <c r="T168" s="62">
        <f t="shared" si="142"/>
        <v>310.105543138185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6.8179152166822981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1.2744780111199358E-18</v>
      </c>
      <c r="AC168" s="24">
        <f t="shared" si="163"/>
        <v>6.8179152166822981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 t="e">
        <f>AI168*VLOOKUP('Données projet'!$B$10,Paramètres!$A$1:$I$89,3,0)*VLOOKUP('Données projet'!$B$10,Paramètres!$A$1:$I$89,5,0)</f>
        <v>#N/A</v>
      </c>
      <c r="AK168" s="14" t="e">
        <f t="shared" si="164"/>
        <v>#N/A</v>
      </c>
      <c r="AL168" s="22" t="e">
        <f t="shared" si="165"/>
        <v>#N/A</v>
      </c>
      <c r="AM168" s="62" t="e">
        <f t="shared" si="113"/>
        <v>#N/A</v>
      </c>
      <c r="AN168" s="62" t="e">
        <f ca="1">AVERAGE(OFFSET($AM$3,0,0,'Données projet'!$E$10+1,1))-AVERAGE(OFFSET($H$3,0,0,'Données projet'!$E$10+1,1))</f>
        <v>#N/A</v>
      </c>
      <c r="AO168" s="62" t="e">
        <f t="shared" si="144"/>
        <v>#N/A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 t="e">
        <f>EXP(-LN(2)/35)*AU167+(1-EXP(-LN(2)/35))/(LN(2)/35)*AQ168*AR168*VLOOKUP('Données projet'!$B$10,Paramètres!$A$1:$I$89,3,0)*0.475*44/12</f>
        <v>#N/A</v>
      </c>
      <c r="AV168" s="23" t="e">
        <f>EXP(-LN(2)/25)*AV167+(1-EXP(-LN(2)/25))/(LN(2)/25)*Calculateur!AQ168*Calculateur!AS168*VLOOKUP('Données projet'!$B$10,Paramètres!$A$1:$I$89,3,0)*0.475*44/12</f>
        <v>#N/A</v>
      </c>
      <c r="AW168" s="23" t="e">
        <f>EXP(-LN(2)/2)*AW167+(1-EXP(-LN(2)/2))/(LN(2)/2)*AQ168*AT168*VLOOKUP('Données projet'!$B$10,Paramètres!$A$1:$I$89,3,0)*0.475*44/12</f>
        <v>#N/A</v>
      </c>
      <c r="AX168" s="23" t="e">
        <f t="shared" si="166"/>
        <v>#N/A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2">
        <f t="shared" si="140"/>
        <v>26.787534145359764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70">
        <f t="shared" si="110"/>
        <v>512.88005530316809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151.58413719376074</v>
      </c>
      <c r="T169" s="62">
        <f t="shared" si="142"/>
        <v>310.105543138185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6.6842200578008208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9.0119204413605074E-19</v>
      </c>
      <c r="AC169" s="24">
        <f t="shared" si="163"/>
        <v>6.6842200578008208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 t="e">
        <f>AI169*VLOOKUP('Données projet'!$B$10,Paramètres!$A$1:$I$89,3,0)*VLOOKUP('Données projet'!$B$10,Paramètres!$A$1:$I$89,5,0)</f>
        <v>#N/A</v>
      </c>
      <c r="AK169" s="14" t="e">
        <f t="shared" si="164"/>
        <v>#N/A</v>
      </c>
      <c r="AL169" s="22" t="e">
        <f t="shared" si="165"/>
        <v>#N/A</v>
      </c>
      <c r="AM169" s="62" t="e">
        <f t="shared" si="113"/>
        <v>#N/A</v>
      </c>
      <c r="AN169" s="62" t="e">
        <f ca="1">AVERAGE(OFFSET($AM$3,0,0,'Données projet'!$E$10+1,1))-AVERAGE(OFFSET($H$3,0,0,'Données projet'!$E$10+1,1))</f>
        <v>#N/A</v>
      </c>
      <c r="AO169" s="62" t="e">
        <f t="shared" si="144"/>
        <v>#N/A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 t="e">
        <f>EXP(-LN(2)/35)*AU168+(1-EXP(-LN(2)/35))/(LN(2)/35)*AQ169*AR169*VLOOKUP('Données projet'!$B$10,Paramètres!$A$1:$I$89,3,0)*0.475*44/12</f>
        <v>#N/A</v>
      </c>
      <c r="AV169" s="23" t="e">
        <f>EXP(-LN(2)/25)*AV168+(1-EXP(-LN(2)/25))/(LN(2)/25)*Calculateur!AQ169*Calculateur!AS169*VLOOKUP('Données projet'!$B$10,Paramètres!$A$1:$I$89,3,0)*0.475*44/12</f>
        <v>#N/A</v>
      </c>
      <c r="AW169" s="23" t="e">
        <f>EXP(-LN(2)/2)*AW168+(1-EXP(-LN(2)/2))/(LN(2)/2)*AQ169*AT169*VLOOKUP('Données projet'!$B$10,Paramètres!$A$1:$I$89,3,0)*0.475*44/12</f>
        <v>#N/A</v>
      </c>
      <c r="AX169" s="23" t="e">
        <f t="shared" si="166"/>
        <v>#N/A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2">
        <f t="shared" si="140"/>
        <v>26.930071405261604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70">
        <f t="shared" si="110"/>
        <v>514.16982436416379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151.58413719376074</v>
      </c>
      <c r="T170" s="62">
        <f t="shared" si="142"/>
        <v>310.105543138185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6.5531465794390149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6.3723900555996792E-19</v>
      </c>
      <c r="AC170" s="24">
        <f t="shared" si="163"/>
        <v>6.5531465794390149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 t="e">
        <f>AI170*VLOOKUP('Données projet'!$B$10,Paramètres!$A$1:$I$89,3,0)*VLOOKUP('Données projet'!$B$10,Paramètres!$A$1:$I$89,5,0)</f>
        <v>#N/A</v>
      </c>
      <c r="AK170" s="14" t="e">
        <f t="shared" si="164"/>
        <v>#N/A</v>
      </c>
      <c r="AL170" s="22" t="e">
        <f t="shared" si="165"/>
        <v>#N/A</v>
      </c>
      <c r="AM170" s="62" t="e">
        <f t="shared" si="113"/>
        <v>#N/A</v>
      </c>
      <c r="AN170" s="62" t="e">
        <f ca="1">AVERAGE(OFFSET($AM$3,0,0,'Données projet'!$E$10+1,1))-AVERAGE(OFFSET($H$3,0,0,'Données projet'!$E$10+1,1))</f>
        <v>#N/A</v>
      </c>
      <c r="AO170" s="62" t="e">
        <f t="shared" si="144"/>
        <v>#N/A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 t="e">
        <f>EXP(-LN(2)/35)*AU169+(1-EXP(-LN(2)/35))/(LN(2)/35)*AQ170*AR170*VLOOKUP('Données projet'!$B$10,Paramètres!$A$1:$I$89,3,0)*0.475*44/12</f>
        <v>#N/A</v>
      </c>
      <c r="AV170" s="23" t="e">
        <f>EXP(-LN(2)/25)*AV169+(1-EXP(-LN(2)/25))/(LN(2)/25)*Calculateur!AQ170*Calculateur!AS170*VLOOKUP('Données projet'!$B$10,Paramètres!$A$1:$I$89,3,0)*0.475*44/12</f>
        <v>#N/A</v>
      </c>
      <c r="AW170" s="23" t="e">
        <f>EXP(-LN(2)/2)*AW169+(1-EXP(-LN(2)/2))/(LN(2)/2)*AQ170*AT170*VLOOKUP('Données projet'!$B$10,Paramètres!$A$1:$I$89,3,0)*0.475*44/12</f>
        <v>#N/A</v>
      </c>
      <c r="AX170" s="23" t="e">
        <f t="shared" si="166"/>
        <v>#N/A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2">
        <f t="shared" si="140"/>
        <v>27.072509349827431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70">
        <f t="shared" si="110"/>
        <v>515.45942045094921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151.58413719376074</v>
      </c>
      <c r="T171" s="62">
        <f t="shared" si="142"/>
        <v>310.105543138185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6.4246433720409559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4.5059602206802537E-19</v>
      </c>
      <c r="AC171" s="24">
        <f t="shared" si="163"/>
        <v>6.4246433720409559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 t="e">
        <f>AI171*VLOOKUP('Données projet'!$B$10,Paramètres!$A$1:$I$89,3,0)*VLOOKUP('Données projet'!$B$10,Paramètres!$A$1:$I$89,5,0)</f>
        <v>#N/A</v>
      </c>
      <c r="AK171" s="14" t="e">
        <f t="shared" si="164"/>
        <v>#N/A</v>
      </c>
      <c r="AL171" s="22" t="e">
        <f t="shared" si="165"/>
        <v>#N/A</v>
      </c>
      <c r="AM171" s="62" t="e">
        <f t="shared" si="113"/>
        <v>#N/A</v>
      </c>
      <c r="AN171" s="62" t="e">
        <f ca="1">AVERAGE(OFFSET($AM$3,0,0,'Données projet'!$E$10+1,1))-AVERAGE(OFFSET($H$3,0,0,'Données projet'!$E$10+1,1))</f>
        <v>#N/A</v>
      </c>
      <c r="AO171" s="62" t="e">
        <f t="shared" si="144"/>
        <v>#N/A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 t="e">
        <f>EXP(-LN(2)/35)*AU170+(1-EXP(-LN(2)/35))/(LN(2)/35)*AQ171*AR171*VLOOKUP('Données projet'!$B$10,Paramètres!$A$1:$I$89,3,0)*0.475*44/12</f>
        <v>#N/A</v>
      </c>
      <c r="AV171" s="23" t="e">
        <f>EXP(-LN(2)/25)*AV170+(1-EXP(-LN(2)/25))/(LN(2)/25)*Calculateur!AQ171*Calculateur!AS171*VLOOKUP('Données projet'!$B$10,Paramètres!$A$1:$I$89,3,0)*0.475*44/12</f>
        <v>#N/A</v>
      </c>
      <c r="AW171" s="23" t="e">
        <f>EXP(-LN(2)/2)*AW170+(1-EXP(-LN(2)/2))/(LN(2)/2)*AQ171*AT171*VLOOKUP('Données projet'!$B$10,Paramètres!$A$1:$I$89,3,0)*0.475*44/12</f>
        <v>#N/A</v>
      </c>
      <c r="AX171" s="23" t="e">
        <f t="shared" si="166"/>
        <v>#N/A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2">
        <f t="shared" si="140"/>
        <v>27.214848638810537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70">
        <f t="shared" si="110"/>
        <v>516.74884471259475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151.58413719376074</v>
      </c>
      <c r="T172" s="62">
        <f t="shared" si="142"/>
        <v>310.105543138185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6.2986600341607559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3.1861950277998396E-19</v>
      </c>
      <c r="AC172" s="24">
        <f t="shared" si="163"/>
        <v>6.2986600341607559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 t="e">
        <f>AI172*VLOOKUP('Données projet'!$B$10,Paramètres!$A$1:$I$89,3,0)*VLOOKUP('Données projet'!$B$10,Paramètres!$A$1:$I$89,5,0)</f>
        <v>#N/A</v>
      </c>
      <c r="AK172" s="14" t="e">
        <f t="shared" si="164"/>
        <v>#N/A</v>
      </c>
      <c r="AL172" s="22" t="e">
        <f t="shared" si="165"/>
        <v>#N/A</v>
      </c>
      <c r="AM172" s="62" t="e">
        <f t="shared" si="113"/>
        <v>#N/A</v>
      </c>
      <c r="AN172" s="62" t="e">
        <f ca="1">AVERAGE(OFFSET($AM$3,0,0,'Données projet'!$E$10+1,1))-AVERAGE(OFFSET($H$3,0,0,'Données projet'!$E$10+1,1))</f>
        <v>#N/A</v>
      </c>
      <c r="AO172" s="62" t="e">
        <f t="shared" si="144"/>
        <v>#N/A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 t="e">
        <f>EXP(-LN(2)/35)*AU171+(1-EXP(-LN(2)/35))/(LN(2)/35)*AQ172*AR172*VLOOKUP('Données projet'!$B$10,Paramètres!$A$1:$I$89,3,0)*0.475*44/12</f>
        <v>#N/A</v>
      </c>
      <c r="AV172" s="23" t="e">
        <f>EXP(-LN(2)/25)*AV171+(1-EXP(-LN(2)/25))/(LN(2)/25)*Calculateur!AQ172*Calculateur!AS172*VLOOKUP('Données projet'!$B$10,Paramètres!$A$1:$I$89,3,0)*0.475*44/12</f>
        <v>#N/A</v>
      </c>
      <c r="AW172" s="23" t="e">
        <f>EXP(-LN(2)/2)*AW171+(1-EXP(-LN(2)/2))/(LN(2)/2)*AQ172*AT172*VLOOKUP('Données projet'!$B$10,Paramètres!$A$1:$I$89,3,0)*0.475*44/12</f>
        <v>#N/A</v>
      </c>
      <c r="AX172" s="23" t="e">
        <f t="shared" si="166"/>
        <v>#N/A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2">
        <f t="shared" si="140"/>
        <v>27.35708992370472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70">
        <f t="shared" si="110"/>
        <v>518.03809828378553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151.58413719376074</v>
      </c>
      <c r="T173" s="62">
        <f t="shared" si="142"/>
        <v>310.105543138185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6.1751471526941382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2.2529801103401269E-19</v>
      </c>
      <c r="AC173" s="24">
        <f t="shared" si="163"/>
        <v>6.1751471526941382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 t="e">
        <f>AI173*VLOOKUP('Données projet'!$B$10,Paramètres!$A$1:$I$89,3,0)*VLOOKUP('Données projet'!$B$10,Paramètres!$A$1:$I$89,5,0)</f>
        <v>#N/A</v>
      </c>
      <c r="AK173" s="14" t="e">
        <f t="shared" si="164"/>
        <v>#N/A</v>
      </c>
      <c r="AL173" s="22" t="e">
        <f t="shared" si="165"/>
        <v>#N/A</v>
      </c>
      <c r="AM173" s="62" t="e">
        <f t="shared" si="113"/>
        <v>#N/A</v>
      </c>
      <c r="AN173" s="62" t="e">
        <f ca="1">AVERAGE(OFFSET($AM$3,0,0,'Données projet'!$E$10+1,1))-AVERAGE(OFFSET($H$3,0,0,'Données projet'!$E$10+1,1))</f>
        <v>#N/A</v>
      </c>
      <c r="AO173" s="62" t="e">
        <f t="shared" si="144"/>
        <v>#N/A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 t="e">
        <f>EXP(-LN(2)/35)*AU172+(1-EXP(-LN(2)/35))/(LN(2)/35)*AQ173*AR173*VLOOKUP('Données projet'!$B$10,Paramètres!$A$1:$I$89,3,0)*0.475*44/12</f>
        <v>#N/A</v>
      </c>
      <c r="AV173" s="23" t="e">
        <f>EXP(-LN(2)/25)*AV172+(1-EXP(-LN(2)/25))/(LN(2)/25)*Calculateur!AQ173*Calculateur!AS173*VLOOKUP('Données projet'!$B$10,Paramètres!$A$1:$I$89,3,0)*0.475*44/12</f>
        <v>#N/A</v>
      </c>
      <c r="AW173" s="23" t="e">
        <f>EXP(-LN(2)/2)*AW172+(1-EXP(-LN(2)/2))/(LN(2)/2)*AQ173*AT173*VLOOKUP('Données projet'!$B$10,Paramètres!$A$1:$I$89,3,0)*0.475*44/12</f>
        <v>#N/A</v>
      </c>
      <c r="AX173" s="23" t="e">
        <f t="shared" si="166"/>
        <v>#N/A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2">
        <f t="shared" si="140"/>
        <v>27.499233847895834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70">
        <f t="shared" si="110"/>
        <v>519.32718228508497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151.58413719376074</v>
      </c>
      <c r="T174" s="62">
        <f t="shared" si="142"/>
        <v>310.105543138185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6.054056283497661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1.5930975138999198E-19</v>
      </c>
      <c r="AC174" s="24">
        <f t="shared" si="163"/>
        <v>6.054056283497661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 t="e">
        <f>AI174*VLOOKUP('Données projet'!$B$10,Paramètres!$A$1:$I$89,3,0)*VLOOKUP('Données projet'!$B$10,Paramètres!$A$1:$I$89,5,0)</f>
        <v>#N/A</v>
      </c>
      <c r="AK174" s="14" t="e">
        <f t="shared" si="164"/>
        <v>#N/A</v>
      </c>
      <c r="AL174" s="22" t="e">
        <f t="shared" si="165"/>
        <v>#N/A</v>
      </c>
      <c r="AM174" s="62" t="e">
        <f t="shared" si="113"/>
        <v>#N/A</v>
      </c>
      <c r="AN174" s="62" t="e">
        <f ca="1">AVERAGE(OFFSET($AM$3,0,0,'Données projet'!$E$10+1,1))-AVERAGE(OFFSET($H$3,0,0,'Données projet'!$E$10+1,1))</f>
        <v>#N/A</v>
      </c>
      <c r="AO174" s="62" t="e">
        <f t="shared" si="144"/>
        <v>#N/A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 t="e">
        <f>EXP(-LN(2)/35)*AU173+(1-EXP(-LN(2)/35))/(LN(2)/35)*AQ174*AR174*VLOOKUP('Données projet'!$B$10,Paramètres!$A$1:$I$89,3,0)*0.475*44/12</f>
        <v>#N/A</v>
      </c>
      <c r="AV174" s="23" t="e">
        <f>EXP(-LN(2)/25)*AV173+(1-EXP(-LN(2)/25))/(LN(2)/25)*Calculateur!AQ174*Calculateur!AS174*VLOOKUP('Données projet'!$B$10,Paramètres!$A$1:$I$89,3,0)*0.475*44/12</f>
        <v>#N/A</v>
      </c>
      <c r="AW174" s="23" t="e">
        <f>EXP(-LN(2)/2)*AW173+(1-EXP(-LN(2)/2))/(LN(2)/2)*AQ174*AT174*VLOOKUP('Données projet'!$B$10,Paramètres!$A$1:$I$89,3,0)*0.475*44/12</f>
        <v>#N/A</v>
      </c>
      <c r="AX174" s="23" t="e">
        <f t="shared" si="166"/>
        <v>#N/A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2">
        <f t="shared" si="140"/>
        <v>27.641281046809208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70">
        <f t="shared" si="110"/>
        <v>520.61609782319238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151.58413719376074</v>
      </c>
      <c r="T175" s="62">
        <f t="shared" si="142"/>
        <v>310.105543138185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5.9353399323879898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1.1264900551700634E-19</v>
      </c>
      <c r="AC175" s="24">
        <f t="shared" si="163"/>
        <v>5.9353399323879898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 t="e">
        <f>AI175*VLOOKUP('Données projet'!$B$10,Paramètres!$A$1:$I$89,3,0)*VLOOKUP('Données projet'!$B$10,Paramètres!$A$1:$I$89,5,0)</f>
        <v>#N/A</v>
      </c>
      <c r="AK175" s="14" t="e">
        <f t="shared" si="164"/>
        <v>#N/A</v>
      </c>
      <c r="AL175" s="22" t="e">
        <f t="shared" si="165"/>
        <v>#N/A</v>
      </c>
      <c r="AM175" s="62" t="e">
        <f t="shared" si="113"/>
        <v>#N/A</v>
      </c>
      <c r="AN175" s="62" t="e">
        <f ca="1">AVERAGE(OFFSET($AM$3,0,0,'Données projet'!$E$10+1,1))-AVERAGE(OFFSET($H$3,0,0,'Données projet'!$E$10+1,1))</f>
        <v>#N/A</v>
      </c>
      <c r="AO175" s="62" t="e">
        <f t="shared" si="144"/>
        <v>#N/A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 t="e">
        <f>EXP(-LN(2)/35)*AU174+(1-EXP(-LN(2)/35))/(LN(2)/35)*AQ175*AR175*VLOOKUP('Données projet'!$B$10,Paramètres!$A$1:$I$89,3,0)*0.475*44/12</f>
        <v>#N/A</v>
      </c>
      <c r="AV175" s="23" t="e">
        <f>EXP(-LN(2)/25)*AV174+(1-EXP(-LN(2)/25))/(LN(2)/25)*Calculateur!AQ175*Calculateur!AS175*VLOOKUP('Données projet'!$B$10,Paramètres!$A$1:$I$89,3,0)*0.475*44/12</f>
        <v>#N/A</v>
      </c>
      <c r="AW175" s="23" t="e">
        <f>EXP(-LN(2)/2)*AW174+(1-EXP(-LN(2)/2))/(LN(2)/2)*AQ175*AT175*VLOOKUP('Données projet'!$B$10,Paramètres!$A$1:$I$89,3,0)*0.475*44/12</f>
        <v>#N/A</v>
      </c>
      <c r="AX175" s="23" t="e">
        <f t="shared" si="166"/>
        <v>#N/A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2">
        <f t="shared" si="140"/>
        <v>27.783232148054115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70">
        <f t="shared" si="110"/>
        <v>521.90484599119395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151.58413719376074</v>
      </c>
      <c r="T176" s="62">
        <f t="shared" si="142"/>
        <v>310.105543138185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5.8189515365137554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7.965487569499599E-20</v>
      </c>
      <c r="AC176" s="24">
        <f t="shared" si="163"/>
        <v>5.8189515365137554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 t="e">
        <f>AI176*VLOOKUP('Données projet'!$B$10,Paramètres!$A$1:$I$89,3,0)*VLOOKUP('Données projet'!$B$10,Paramètres!$A$1:$I$89,5,0)</f>
        <v>#N/A</v>
      </c>
      <c r="AK176" s="14" t="e">
        <f t="shared" si="164"/>
        <v>#N/A</v>
      </c>
      <c r="AL176" s="22" t="e">
        <f t="shared" si="165"/>
        <v>#N/A</v>
      </c>
      <c r="AM176" s="62" t="e">
        <f t="shared" si="113"/>
        <v>#N/A</v>
      </c>
      <c r="AN176" s="62" t="e">
        <f ca="1">AVERAGE(OFFSET($AM$3,0,0,'Données projet'!$E$10+1,1))-AVERAGE(OFFSET($H$3,0,0,'Données projet'!$E$10+1,1))</f>
        <v>#N/A</v>
      </c>
      <c r="AO176" s="62" t="e">
        <f t="shared" si="144"/>
        <v>#N/A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 t="e">
        <f>EXP(-LN(2)/35)*AU175+(1-EXP(-LN(2)/35))/(LN(2)/35)*AQ176*AR176*VLOOKUP('Données projet'!$B$10,Paramètres!$A$1:$I$89,3,0)*0.475*44/12</f>
        <v>#N/A</v>
      </c>
      <c r="AV176" s="23" t="e">
        <f>EXP(-LN(2)/25)*AV175+(1-EXP(-LN(2)/25))/(LN(2)/25)*Calculateur!AQ176*Calculateur!AS176*VLOOKUP('Données projet'!$B$10,Paramètres!$A$1:$I$89,3,0)*0.475*44/12</f>
        <v>#N/A</v>
      </c>
      <c r="AW176" s="23" t="e">
        <f>EXP(-LN(2)/2)*AW175+(1-EXP(-LN(2)/2))/(LN(2)/2)*AQ176*AT176*VLOOKUP('Données projet'!$B$10,Paramètres!$A$1:$I$89,3,0)*0.475*44/12</f>
        <v>#N/A</v>
      </c>
      <c r="AX176" s="23" t="e">
        <f t="shared" si="166"/>
        <v>#N/A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2">
        <f t="shared" si="140"/>
        <v>27.925087771564392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70">
        <f t="shared" si="110"/>
        <v>523.1934278688077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151.58413719376074</v>
      </c>
      <c r="T177" s="62">
        <f t="shared" si="142"/>
        <v>310.105543138185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5.7048454460927029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5.6324502758503171E-20</v>
      </c>
      <c r="AC177" s="24">
        <f t="shared" si="163"/>
        <v>5.7048454460927029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 t="e">
        <f>AI177*VLOOKUP('Données projet'!$B$10,Paramètres!$A$1:$I$89,3,0)*VLOOKUP('Données projet'!$B$10,Paramètres!$A$1:$I$89,5,0)</f>
        <v>#N/A</v>
      </c>
      <c r="AK177" s="14" t="e">
        <f t="shared" si="164"/>
        <v>#N/A</v>
      </c>
      <c r="AL177" s="22" t="e">
        <f t="shared" si="165"/>
        <v>#N/A</v>
      </c>
      <c r="AM177" s="62" t="e">
        <f t="shared" si="113"/>
        <v>#N/A</v>
      </c>
      <c r="AN177" s="62" t="e">
        <f ca="1">AVERAGE(OFFSET($AM$3,0,0,'Données projet'!$E$10+1,1))-AVERAGE(OFFSET($H$3,0,0,'Données projet'!$E$10+1,1))</f>
        <v>#N/A</v>
      </c>
      <c r="AO177" s="62" t="e">
        <f t="shared" si="144"/>
        <v>#N/A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 t="e">
        <f>EXP(-LN(2)/35)*AU176+(1-EXP(-LN(2)/35))/(LN(2)/35)*AQ177*AR177*VLOOKUP('Données projet'!$B$10,Paramètres!$A$1:$I$89,3,0)*0.475*44/12</f>
        <v>#N/A</v>
      </c>
      <c r="AV177" s="23" t="e">
        <f>EXP(-LN(2)/25)*AV176+(1-EXP(-LN(2)/25))/(LN(2)/25)*Calculateur!AQ177*Calculateur!AS177*VLOOKUP('Données projet'!$B$10,Paramètres!$A$1:$I$89,3,0)*0.475*44/12</f>
        <v>#N/A</v>
      </c>
      <c r="AW177" s="23" t="e">
        <f>EXP(-LN(2)/2)*AW176+(1-EXP(-LN(2)/2))/(LN(2)/2)*AQ177*AT177*VLOOKUP('Données projet'!$B$10,Paramètres!$A$1:$I$89,3,0)*0.475*44/12</f>
        <v>#N/A</v>
      </c>
      <c r="AX177" s="23" t="e">
        <f t="shared" si="166"/>
        <v>#N/A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2">
        <f t="shared" si="140"/>
        <v>28.066848529735836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70">
        <f t="shared" si="110"/>
        <v>524.48184452262296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151.58413719376074</v>
      </c>
      <c r="T178" s="62">
        <f t="shared" si="142"/>
        <v>310.105543138185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5.5929769065069639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3.9827437847497995E-20</v>
      </c>
      <c r="AC178" s="24">
        <f t="shared" si="163"/>
        <v>5.5929769065069639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 t="e">
        <f>AI178*VLOOKUP('Données projet'!$B$10,Paramètres!$A$1:$I$89,3,0)*VLOOKUP('Données projet'!$B$10,Paramètres!$A$1:$I$89,5,0)</f>
        <v>#N/A</v>
      </c>
      <c r="AK178" s="14" t="e">
        <f t="shared" si="164"/>
        <v>#N/A</v>
      </c>
      <c r="AL178" s="22" t="e">
        <f t="shared" si="165"/>
        <v>#N/A</v>
      </c>
      <c r="AM178" s="62" t="e">
        <f t="shared" si="113"/>
        <v>#N/A</v>
      </c>
      <c r="AN178" s="62" t="e">
        <f ca="1">AVERAGE(OFFSET($AM$3,0,0,'Données projet'!$E$10+1,1))-AVERAGE(OFFSET($H$3,0,0,'Données projet'!$E$10+1,1))</f>
        <v>#N/A</v>
      </c>
      <c r="AO178" s="62" t="e">
        <f t="shared" si="144"/>
        <v>#N/A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 t="e">
        <f>EXP(-LN(2)/35)*AU177+(1-EXP(-LN(2)/35))/(LN(2)/35)*AQ178*AR178*VLOOKUP('Données projet'!$B$10,Paramètres!$A$1:$I$89,3,0)*0.475*44/12</f>
        <v>#N/A</v>
      </c>
      <c r="AV178" s="23" t="e">
        <f>EXP(-LN(2)/25)*AV177+(1-EXP(-LN(2)/25))/(LN(2)/25)*Calculateur!AQ178*Calculateur!AS178*VLOOKUP('Données projet'!$B$10,Paramètres!$A$1:$I$89,3,0)*0.475*44/12</f>
        <v>#N/A</v>
      </c>
      <c r="AW178" s="23" t="e">
        <f>EXP(-LN(2)/2)*AW177+(1-EXP(-LN(2)/2))/(LN(2)/2)*AQ178*AT178*VLOOKUP('Données projet'!$B$10,Paramètres!$A$1:$I$89,3,0)*0.475*44/12</f>
        <v>#N/A</v>
      </c>
      <c r="AX178" s="23" t="e">
        <f t="shared" si="166"/>
        <v>#N/A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2">
        <f t="shared" si="140"/>
        <v>28.208515027560498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70">
        <f t="shared" si="110"/>
        <v>525.77009700633425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151.58413719376074</v>
      </c>
      <c r="T179" s="62">
        <f t="shared" si="142"/>
        <v>310.105543138185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5.4833020407494297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2.8162251379251586E-20</v>
      </c>
      <c r="AC179" s="24">
        <f t="shared" si="163"/>
        <v>5.4833020407494297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 t="e">
        <f>AI179*VLOOKUP('Données projet'!$B$10,Paramètres!$A$1:$I$89,3,0)*VLOOKUP('Données projet'!$B$10,Paramètres!$A$1:$I$89,5,0)</f>
        <v>#N/A</v>
      </c>
      <c r="AK179" s="14" t="e">
        <f t="shared" si="164"/>
        <v>#N/A</v>
      </c>
      <c r="AL179" s="22" t="e">
        <f t="shared" si="165"/>
        <v>#N/A</v>
      </c>
      <c r="AM179" s="62" t="e">
        <f t="shared" si="113"/>
        <v>#N/A</v>
      </c>
      <c r="AN179" s="62" t="e">
        <f ca="1">AVERAGE(OFFSET($AM$3,0,0,'Données projet'!$E$10+1,1))-AVERAGE(OFFSET($H$3,0,0,'Données projet'!$E$10+1,1))</f>
        <v>#N/A</v>
      </c>
      <c r="AO179" s="62" t="e">
        <f t="shared" si="144"/>
        <v>#N/A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 t="e">
        <f>EXP(-LN(2)/35)*AU178+(1-EXP(-LN(2)/35))/(LN(2)/35)*AQ179*AR179*VLOOKUP('Données projet'!$B$10,Paramètres!$A$1:$I$89,3,0)*0.475*44/12</f>
        <v>#N/A</v>
      </c>
      <c r="AV179" s="23" t="e">
        <f>EXP(-LN(2)/25)*AV178+(1-EXP(-LN(2)/25))/(LN(2)/25)*Calculateur!AQ179*Calculateur!AS179*VLOOKUP('Données projet'!$B$10,Paramètres!$A$1:$I$89,3,0)*0.475*44/12</f>
        <v>#N/A</v>
      </c>
      <c r="AW179" s="23" t="e">
        <f>EXP(-LN(2)/2)*AW178+(1-EXP(-LN(2)/2))/(LN(2)/2)*AQ179*AT179*VLOOKUP('Données projet'!$B$10,Paramètres!$A$1:$I$89,3,0)*0.475*44/12</f>
        <v>#N/A</v>
      </c>
      <c r="AX179" s="23" t="e">
        <f t="shared" si="166"/>
        <v>#N/A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2">
        <f t="shared" si="140"/>
        <v>28.350087862757654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70">
        <f t="shared" si="110"/>
        <v>527.05818636096933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151.58413719376074</v>
      </c>
      <c r="T180" s="62">
        <f t="shared" si="142"/>
        <v>310.105543138185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5.3757778322143377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1.9913718923748998E-20</v>
      </c>
      <c r="AC180" s="24">
        <f t="shared" si="163"/>
        <v>5.3757778322143377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 t="e">
        <f>AI180*VLOOKUP('Données projet'!$B$10,Paramètres!$A$1:$I$89,3,0)*VLOOKUP('Données projet'!$B$10,Paramètres!$A$1:$I$89,5,0)</f>
        <v>#N/A</v>
      </c>
      <c r="AK180" s="14" t="e">
        <f t="shared" si="164"/>
        <v>#N/A</v>
      </c>
      <c r="AL180" s="22" t="e">
        <f t="shared" si="165"/>
        <v>#N/A</v>
      </c>
      <c r="AM180" s="62" t="e">
        <f t="shared" si="113"/>
        <v>#N/A</v>
      </c>
      <c r="AN180" s="62" t="e">
        <f ca="1">AVERAGE(OFFSET($AM$3,0,0,'Données projet'!$E$10+1,1))-AVERAGE(OFFSET($H$3,0,0,'Données projet'!$E$10+1,1))</f>
        <v>#N/A</v>
      </c>
      <c r="AO180" s="62" t="e">
        <f t="shared" si="144"/>
        <v>#N/A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 t="e">
        <f>EXP(-LN(2)/35)*AU179+(1-EXP(-LN(2)/35))/(LN(2)/35)*AQ180*AR180*VLOOKUP('Données projet'!$B$10,Paramètres!$A$1:$I$89,3,0)*0.475*44/12</f>
        <v>#N/A</v>
      </c>
      <c r="AV180" s="23" t="e">
        <f>EXP(-LN(2)/25)*AV179+(1-EXP(-LN(2)/25))/(LN(2)/25)*Calculateur!AQ180*Calculateur!AS180*VLOOKUP('Données projet'!$B$10,Paramètres!$A$1:$I$89,3,0)*0.475*44/12</f>
        <v>#N/A</v>
      </c>
      <c r="AW180" s="23" t="e">
        <f>EXP(-LN(2)/2)*AW179+(1-EXP(-LN(2)/2))/(LN(2)/2)*AQ180*AT180*VLOOKUP('Données projet'!$B$10,Paramètres!$A$1:$I$89,3,0)*0.475*44/12</f>
        <v>#N/A</v>
      </c>
      <c r="AX180" s="23" t="e">
        <f t="shared" si="166"/>
        <v>#N/A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2">
        <f t="shared" si="140"/>
        <v>28.491567625901897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70">
        <f t="shared" si="110"/>
        <v>528.34611361511224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151.58413719376074</v>
      </c>
      <c r="T181" s="62">
        <f t="shared" si="142"/>
        <v>310.105543138185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5.2703621078253278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1.4081125689625793E-20</v>
      </c>
      <c r="AC181" s="24">
        <f t="shared" si="163"/>
        <v>5.2703621078253278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 t="e">
        <f>AI181*VLOOKUP('Données projet'!$B$10,Paramètres!$A$1:$I$89,3,0)*VLOOKUP('Données projet'!$B$10,Paramètres!$A$1:$I$89,5,0)</f>
        <v>#N/A</v>
      </c>
      <c r="AK181" s="14" t="e">
        <f t="shared" si="164"/>
        <v>#N/A</v>
      </c>
      <c r="AL181" s="22" t="e">
        <f t="shared" si="165"/>
        <v>#N/A</v>
      </c>
      <c r="AM181" s="62" t="e">
        <f t="shared" si="113"/>
        <v>#N/A</v>
      </c>
      <c r="AN181" s="62" t="e">
        <f ca="1">AVERAGE(OFFSET($AM$3,0,0,'Données projet'!$E$10+1,1))-AVERAGE(OFFSET($H$3,0,0,'Données projet'!$E$10+1,1))</f>
        <v>#N/A</v>
      </c>
      <c r="AO181" s="62" t="e">
        <f t="shared" si="144"/>
        <v>#N/A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 t="e">
        <f>EXP(-LN(2)/35)*AU180+(1-EXP(-LN(2)/35))/(LN(2)/35)*AQ181*AR181*VLOOKUP('Données projet'!$B$10,Paramètres!$A$1:$I$89,3,0)*0.475*44/12</f>
        <v>#N/A</v>
      </c>
      <c r="AV181" s="23" t="e">
        <f>EXP(-LN(2)/25)*AV180+(1-EXP(-LN(2)/25))/(LN(2)/25)*Calculateur!AQ181*Calculateur!AS181*VLOOKUP('Données projet'!$B$10,Paramètres!$A$1:$I$89,3,0)*0.475*44/12</f>
        <v>#N/A</v>
      </c>
      <c r="AW181" s="23" t="e">
        <f>EXP(-LN(2)/2)*AW180+(1-EXP(-LN(2)/2))/(LN(2)/2)*AQ181*AT181*VLOOKUP('Données projet'!$B$10,Paramètres!$A$1:$I$89,3,0)*0.475*44/12</f>
        <v>#N/A</v>
      </c>
      <c r="AX181" s="23" t="e">
        <f t="shared" si="166"/>
        <v>#N/A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2">
        <f t="shared" si="140"/>
        <v>28.632954900548057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70">
        <f t="shared" si="110"/>
        <v>529.63387978512094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151.58413719376074</v>
      </c>
      <c r="T182" s="62">
        <f t="shared" si="142"/>
        <v>310.105543138185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5.1670135214943436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9.9568594618744988E-21</v>
      </c>
      <c r="AC182" s="24">
        <f t="shared" si="163"/>
        <v>5.1670135214943436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 t="e">
        <f>AI182*VLOOKUP('Données projet'!$B$10,Paramètres!$A$1:$I$89,3,0)*VLOOKUP('Données projet'!$B$10,Paramètres!$A$1:$I$89,5,0)</f>
        <v>#N/A</v>
      </c>
      <c r="AK182" s="14" t="e">
        <f t="shared" si="164"/>
        <v>#N/A</v>
      </c>
      <c r="AL182" s="22" t="e">
        <f t="shared" si="165"/>
        <v>#N/A</v>
      </c>
      <c r="AM182" s="62" t="e">
        <f t="shared" si="113"/>
        <v>#N/A</v>
      </c>
      <c r="AN182" s="62" t="e">
        <f ca="1">AVERAGE(OFFSET($AM$3,0,0,'Données projet'!$E$10+1,1))-AVERAGE(OFFSET($H$3,0,0,'Données projet'!$E$10+1,1))</f>
        <v>#N/A</v>
      </c>
      <c r="AO182" s="62" t="e">
        <f t="shared" si="144"/>
        <v>#N/A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 t="e">
        <f>EXP(-LN(2)/35)*AU181+(1-EXP(-LN(2)/35))/(LN(2)/35)*AQ182*AR182*VLOOKUP('Données projet'!$B$10,Paramètres!$A$1:$I$89,3,0)*0.475*44/12</f>
        <v>#N/A</v>
      </c>
      <c r="AV182" s="23" t="e">
        <f>EXP(-LN(2)/25)*AV181+(1-EXP(-LN(2)/25))/(LN(2)/25)*Calculateur!AQ182*Calculateur!AS182*VLOOKUP('Données projet'!$B$10,Paramètres!$A$1:$I$89,3,0)*0.475*44/12</f>
        <v>#N/A</v>
      </c>
      <c r="AW182" s="23" t="e">
        <f>EXP(-LN(2)/2)*AW181+(1-EXP(-LN(2)/2))/(LN(2)/2)*AQ182*AT182*VLOOKUP('Données projet'!$B$10,Paramètres!$A$1:$I$89,3,0)*0.475*44/12</f>
        <v>#N/A</v>
      </c>
      <c r="AX182" s="23" t="e">
        <f t="shared" si="166"/>
        <v>#N/A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2">
        <f t="shared" si="140"/>
        <v>28.774250263353558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70">
        <f t="shared" si="110"/>
        <v>530.92148587534052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151.58413719376074</v>
      </c>
      <c r="T183" s="62">
        <f t="shared" si="142"/>
        <v>310.105543138185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5.0656915379048959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7.0405628448128964E-21</v>
      </c>
      <c r="AC183" s="24">
        <f t="shared" si="163"/>
        <v>5.0656915379048959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 t="e">
        <f>AI183*VLOOKUP('Données projet'!$B$10,Paramètres!$A$1:$I$89,3,0)*VLOOKUP('Données projet'!$B$10,Paramètres!$A$1:$I$89,5,0)</f>
        <v>#N/A</v>
      </c>
      <c r="AK183" s="14" t="e">
        <f t="shared" si="164"/>
        <v>#N/A</v>
      </c>
      <c r="AL183" s="22" t="e">
        <f t="shared" si="165"/>
        <v>#N/A</v>
      </c>
      <c r="AM183" s="62" t="e">
        <f t="shared" si="113"/>
        <v>#N/A</v>
      </c>
      <c r="AN183" s="62" t="e">
        <f ca="1">AVERAGE(OFFSET($AM$3,0,0,'Données projet'!$E$10+1,1))-AVERAGE(OFFSET($H$3,0,0,'Données projet'!$E$10+1,1))</f>
        <v>#N/A</v>
      </c>
      <c r="AO183" s="62" t="e">
        <f t="shared" si="144"/>
        <v>#N/A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 t="e">
        <f>EXP(-LN(2)/35)*AU182+(1-EXP(-LN(2)/35))/(LN(2)/35)*AQ183*AR183*VLOOKUP('Données projet'!$B$10,Paramètres!$A$1:$I$89,3,0)*0.475*44/12</f>
        <v>#N/A</v>
      </c>
      <c r="AV183" s="23" t="e">
        <f>EXP(-LN(2)/25)*AV182+(1-EXP(-LN(2)/25))/(LN(2)/25)*Calculateur!AQ183*Calculateur!AS183*VLOOKUP('Données projet'!$B$10,Paramètres!$A$1:$I$89,3,0)*0.475*44/12</f>
        <v>#N/A</v>
      </c>
      <c r="AW183" s="23" t="e">
        <f>EXP(-LN(2)/2)*AW182+(1-EXP(-LN(2)/2))/(LN(2)/2)*AQ183*AT183*VLOOKUP('Données projet'!$B$10,Paramètres!$A$1:$I$89,3,0)*0.475*44/12</f>
        <v>#N/A</v>
      </c>
      <c r="AX183" s="23" t="e">
        <f t="shared" si="166"/>
        <v>#N/A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2">
        <f t="shared" si="140"/>
        <v>28.915454284197654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70">
        <f t="shared" si="110"/>
        <v>532.20893287831063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151.58413719376074</v>
      </c>
      <c r="T184" s="62">
        <f t="shared" si="142"/>
        <v>310.105543138185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4.9663564166133298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4.9784297309372494E-21</v>
      </c>
      <c r="AC184" s="24">
        <f t="shared" si="163"/>
        <v>4.9663564166133298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 t="e">
        <f>AI184*VLOOKUP('Données projet'!$B$10,Paramètres!$A$1:$I$89,3,0)*VLOOKUP('Données projet'!$B$10,Paramètres!$A$1:$I$89,5,0)</f>
        <v>#N/A</v>
      </c>
      <c r="AK184" s="14" t="e">
        <f t="shared" si="164"/>
        <v>#N/A</v>
      </c>
      <c r="AL184" s="22" t="e">
        <f t="shared" si="165"/>
        <v>#N/A</v>
      </c>
      <c r="AM184" s="62" t="e">
        <f t="shared" si="113"/>
        <v>#N/A</v>
      </c>
      <c r="AN184" s="62" t="e">
        <f ca="1">AVERAGE(OFFSET($AM$3,0,0,'Données projet'!$E$10+1,1))-AVERAGE(OFFSET($H$3,0,0,'Données projet'!$E$10+1,1))</f>
        <v>#N/A</v>
      </c>
      <c r="AO184" s="62" t="e">
        <f t="shared" si="144"/>
        <v>#N/A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 t="e">
        <f>EXP(-LN(2)/35)*AU183+(1-EXP(-LN(2)/35))/(LN(2)/35)*AQ184*AR184*VLOOKUP('Données projet'!$B$10,Paramètres!$A$1:$I$89,3,0)*0.475*44/12</f>
        <v>#N/A</v>
      </c>
      <c r="AV184" s="23" t="e">
        <f>EXP(-LN(2)/25)*AV183+(1-EXP(-LN(2)/25))/(LN(2)/25)*Calculateur!AQ184*Calculateur!AS184*VLOOKUP('Données projet'!$B$10,Paramètres!$A$1:$I$89,3,0)*0.475*44/12</f>
        <v>#N/A</v>
      </c>
      <c r="AW184" s="23" t="e">
        <f>EXP(-LN(2)/2)*AW183+(1-EXP(-LN(2)/2))/(LN(2)/2)*AQ184*AT184*VLOOKUP('Données projet'!$B$10,Paramètres!$A$1:$I$89,3,0)*0.475*44/12</f>
        <v>#N/A</v>
      </c>
      <c r="AX184" s="23" t="e">
        <f t="shared" si="166"/>
        <v>#N/A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2">
        <f t="shared" si="140"/>
        <v>29.056567526298124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70">
        <f t="shared" si="110"/>
        <v>533.49622177496894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151.58413719376074</v>
      </c>
      <c r="T185" s="62">
        <f t="shared" si="142"/>
        <v>310.105543138185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4.8689691964618502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3.5202814224064482E-21</v>
      </c>
      <c r="AC185" s="24">
        <f t="shared" si="163"/>
        <v>4.8689691964618502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 t="e">
        <f>AI185*VLOOKUP('Données projet'!$B$10,Paramètres!$A$1:$I$89,3,0)*VLOOKUP('Données projet'!$B$10,Paramètres!$A$1:$I$89,5,0)</f>
        <v>#N/A</v>
      </c>
      <c r="AK185" s="14" t="e">
        <f t="shared" si="164"/>
        <v>#N/A</v>
      </c>
      <c r="AL185" s="22" t="e">
        <f t="shared" si="165"/>
        <v>#N/A</v>
      </c>
      <c r="AM185" s="62" t="e">
        <f t="shared" si="113"/>
        <v>#N/A</v>
      </c>
      <c r="AN185" s="62" t="e">
        <f ca="1">AVERAGE(OFFSET($AM$3,0,0,'Données projet'!$E$10+1,1))-AVERAGE(OFFSET($H$3,0,0,'Données projet'!$E$10+1,1))</f>
        <v>#N/A</v>
      </c>
      <c r="AO185" s="62" t="e">
        <f t="shared" si="144"/>
        <v>#N/A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 t="e">
        <f>EXP(-LN(2)/35)*AU184+(1-EXP(-LN(2)/35))/(LN(2)/35)*AQ185*AR185*VLOOKUP('Données projet'!$B$10,Paramètres!$A$1:$I$89,3,0)*0.475*44/12</f>
        <v>#N/A</v>
      </c>
      <c r="AV185" s="23" t="e">
        <f>EXP(-LN(2)/25)*AV184+(1-EXP(-LN(2)/25))/(LN(2)/25)*Calculateur!AQ185*Calculateur!AS185*VLOOKUP('Données projet'!$B$10,Paramètres!$A$1:$I$89,3,0)*0.475*44/12</f>
        <v>#N/A</v>
      </c>
      <c r="AW185" s="23" t="e">
        <f>EXP(-LN(2)/2)*AW184+(1-EXP(-LN(2)/2))/(LN(2)/2)*AQ185*AT185*VLOOKUP('Données projet'!$B$10,Paramètres!$A$1:$I$89,3,0)*0.475*44/12</f>
        <v>#N/A</v>
      </c>
      <c r="AX185" s="23" t="e">
        <f t="shared" si="166"/>
        <v>#N/A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2">
        <f t="shared" si="140"/>
        <v>29.197590546325394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70">
        <f t="shared" si="110"/>
        <v>534.78335353484977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151.58413719376074</v>
      </c>
      <c r="T186" s="62">
        <f t="shared" si="142"/>
        <v>310.105543138185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4.7734916802972016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2.4892148654686247E-21</v>
      </c>
      <c r="AC186" s="24">
        <f t="shared" si="163"/>
        <v>4.7734916802972016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 t="e">
        <f>AI186*VLOOKUP('Données projet'!$B$10,Paramètres!$A$1:$I$89,3,0)*VLOOKUP('Données projet'!$B$10,Paramètres!$A$1:$I$89,5,0)</f>
        <v>#N/A</v>
      </c>
      <c r="AK186" s="14" t="e">
        <f t="shared" si="164"/>
        <v>#N/A</v>
      </c>
      <c r="AL186" s="22" t="e">
        <f t="shared" si="165"/>
        <v>#N/A</v>
      </c>
      <c r="AM186" s="62" t="e">
        <f t="shared" si="113"/>
        <v>#N/A</v>
      </c>
      <c r="AN186" s="62" t="e">
        <f ca="1">AVERAGE(OFFSET($AM$3,0,0,'Données projet'!$E$10+1,1))-AVERAGE(OFFSET($H$3,0,0,'Données projet'!$E$10+1,1))</f>
        <v>#N/A</v>
      </c>
      <c r="AO186" s="62" t="e">
        <f t="shared" si="144"/>
        <v>#N/A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 t="e">
        <f>EXP(-LN(2)/35)*AU185+(1-EXP(-LN(2)/35))/(LN(2)/35)*AQ186*AR186*VLOOKUP('Données projet'!$B$10,Paramètres!$A$1:$I$89,3,0)*0.475*44/12</f>
        <v>#N/A</v>
      </c>
      <c r="AV186" s="23" t="e">
        <f>EXP(-LN(2)/25)*AV185+(1-EXP(-LN(2)/25))/(LN(2)/25)*Calculateur!AQ186*Calculateur!AS186*VLOOKUP('Données projet'!$B$10,Paramètres!$A$1:$I$89,3,0)*0.475*44/12</f>
        <v>#N/A</v>
      </c>
      <c r="AW186" s="23" t="e">
        <f>EXP(-LN(2)/2)*AW185+(1-EXP(-LN(2)/2))/(LN(2)/2)*AQ186*AT186*VLOOKUP('Données projet'!$B$10,Paramètres!$A$1:$I$89,3,0)*0.475*44/12</f>
        <v>#N/A</v>
      </c>
      <c r="AX186" s="23" t="e">
        <f t="shared" si="166"/>
        <v>#N/A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2">
        <f t="shared" si="140"/>
        <v>29.338523894513862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70">
        <f t="shared" si="110"/>
        <v>536.07032911627812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151.58413719376074</v>
      </c>
      <c r="T187" s="62">
        <f t="shared" si="142"/>
        <v>310.105543138185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4.6798864199890078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1.7601407112032241E-21</v>
      </c>
      <c r="AC187" s="24">
        <f t="shared" si="163"/>
        <v>4.6798864199890078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 t="e">
        <f>AI187*VLOOKUP('Données projet'!$B$10,Paramètres!$A$1:$I$89,3,0)*VLOOKUP('Données projet'!$B$10,Paramètres!$A$1:$I$89,5,0)</f>
        <v>#N/A</v>
      </c>
      <c r="AK187" s="14" t="e">
        <f t="shared" si="164"/>
        <v>#N/A</v>
      </c>
      <c r="AL187" s="22" t="e">
        <f t="shared" si="165"/>
        <v>#N/A</v>
      </c>
      <c r="AM187" s="62" t="e">
        <f t="shared" si="113"/>
        <v>#N/A</v>
      </c>
      <c r="AN187" s="62" t="e">
        <f ca="1">AVERAGE(OFFSET($AM$3,0,0,'Données projet'!$E$10+1,1))-AVERAGE(OFFSET($H$3,0,0,'Données projet'!$E$10+1,1))</f>
        <v>#N/A</v>
      </c>
      <c r="AO187" s="62" t="e">
        <f t="shared" si="144"/>
        <v>#N/A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 t="e">
        <f>EXP(-LN(2)/35)*AU186+(1-EXP(-LN(2)/35))/(LN(2)/35)*AQ187*AR187*VLOOKUP('Données projet'!$B$10,Paramètres!$A$1:$I$89,3,0)*0.475*44/12</f>
        <v>#N/A</v>
      </c>
      <c r="AV187" s="23" t="e">
        <f>EXP(-LN(2)/25)*AV186+(1-EXP(-LN(2)/25))/(LN(2)/25)*Calculateur!AQ187*Calculateur!AS187*VLOOKUP('Données projet'!$B$10,Paramètres!$A$1:$I$89,3,0)*0.475*44/12</f>
        <v>#N/A</v>
      </c>
      <c r="AW187" s="23" t="e">
        <f>EXP(-LN(2)/2)*AW186+(1-EXP(-LN(2)/2))/(LN(2)/2)*AQ187*AT187*VLOOKUP('Données projet'!$B$10,Paramètres!$A$1:$I$89,3,0)*0.475*44/12</f>
        <v>#N/A</v>
      </c>
      <c r="AX187" s="23" t="e">
        <f t="shared" si="166"/>
        <v>#N/A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2">
        <f t="shared" si="140"/>
        <v>29.479368114770981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70">
        <f t="shared" si="110"/>
        <v>537.35714946655912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151.58413719376074</v>
      </c>
      <c r="T188" s="62">
        <f t="shared" si="142"/>
        <v>310.105543138185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4.5881167017418862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1.2446074327343123E-21</v>
      </c>
      <c r="AC188" s="24">
        <f t="shared" si="163"/>
        <v>4.5881167017418862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 t="e">
        <f>AI188*VLOOKUP('Données projet'!$B$10,Paramètres!$A$1:$I$89,3,0)*VLOOKUP('Données projet'!$B$10,Paramètres!$A$1:$I$89,5,0)</f>
        <v>#N/A</v>
      </c>
      <c r="AK188" s="14" t="e">
        <f t="shared" si="164"/>
        <v>#N/A</v>
      </c>
      <c r="AL188" s="22" t="e">
        <f t="shared" si="165"/>
        <v>#N/A</v>
      </c>
      <c r="AM188" s="62" t="e">
        <f t="shared" si="113"/>
        <v>#N/A</v>
      </c>
      <c r="AN188" s="62" t="e">
        <f ca="1">AVERAGE(OFFSET($AM$3,0,0,'Données projet'!$E$10+1,1))-AVERAGE(OFFSET($H$3,0,0,'Données projet'!$E$10+1,1))</f>
        <v>#N/A</v>
      </c>
      <c r="AO188" s="62" t="e">
        <f t="shared" si="144"/>
        <v>#N/A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 t="e">
        <f>EXP(-LN(2)/35)*AU187+(1-EXP(-LN(2)/35))/(LN(2)/35)*AQ188*AR188*VLOOKUP('Données projet'!$B$10,Paramètres!$A$1:$I$89,3,0)*0.475*44/12</f>
        <v>#N/A</v>
      </c>
      <c r="AV188" s="23" t="e">
        <f>EXP(-LN(2)/25)*AV187+(1-EXP(-LN(2)/25))/(LN(2)/25)*Calculateur!AQ188*Calculateur!AS188*VLOOKUP('Données projet'!$B$10,Paramètres!$A$1:$I$89,3,0)*0.475*44/12</f>
        <v>#N/A</v>
      </c>
      <c r="AW188" s="23" t="e">
        <f>EXP(-LN(2)/2)*AW187+(1-EXP(-LN(2)/2))/(LN(2)/2)*AQ188*AT188*VLOOKUP('Données projet'!$B$10,Paramètres!$A$1:$I$89,3,0)*0.475*44/12</f>
        <v>#N/A</v>
      </c>
      <c r="AX188" s="23" t="e">
        <f t="shared" si="166"/>
        <v>#N/A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2">
        <f t="shared" si="140"/>
        <v>29.620123744783776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70">
        <f t="shared" si="110"/>
        <v>538.6438155221648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151.58413719376074</v>
      </c>
      <c r="T189" s="62">
        <f t="shared" si="142"/>
        <v>310.105543138185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4.4981465316955891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8.8007035560161205E-22</v>
      </c>
      <c r="AC189" s="24">
        <f t="shared" si="163"/>
        <v>4.4981465316955891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 t="e">
        <f>AI189*VLOOKUP('Données projet'!$B$10,Paramètres!$A$1:$I$89,3,0)*VLOOKUP('Données projet'!$B$10,Paramètres!$A$1:$I$89,5,0)</f>
        <v>#N/A</v>
      </c>
      <c r="AK189" s="14" t="e">
        <f t="shared" si="164"/>
        <v>#N/A</v>
      </c>
      <c r="AL189" s="22" t="e">
        <f t="shared" si="165"/>
        <v>#N/A</v>
      </c>
      <c r="AM189" s="62" t="e">
        <f t="shared" si="113"/>
        <v>#N/A</v>
      </c>
      <c r="AN189" s="62" t="e">
        <f ca="1">AVERAGE(OFFSET($AM$3,0,0,'Données projet'!$E$10+1,1))-AVERAGE(OFFSET($H$3,0,0,'Données projet'!$E$10+1,1))</f>
        <v>#N/A</v>
      </c>
      <c r="AO189" s="62" t="e">
        <f t="shared" si="144"/>
        <v>#N/A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 t="e">
        <f>EXP(-LN(2)/35)*AU188+(1-EXP(-LN(2)/35))/(LN(2)/35)*AQ189*AR189*VLOOKUP('Données projet'!$B$10,Paramètres!$A$1:$I$89,3,0)*0.475*44/12</f>
        <v>#N/A</v>
      </c>
      <c r="AV189" s="23" t="e">
        <f>EXP(-LN(2)/25)*AV188+(1-EXP(-LN(2)/25))/(LN(2)/25)*Calculateur!AQ189*Calculateur!AS189*VLOOKUP('Données projet'!$B$10,Paramètres!$A$1:$I$89,3,0)*0.475*44/12</f>
        <v>#N/A</v>
      </c>
      <c r="AW189" s="23" t="e">
        <f>EXP(-LN(2)/2)*AW188+(1-EXP(-LN(2)/2))/(LN(2)/2)*AQ189*AT189*VLOOKUP('Données projet'!$B$10,Paramètres!$A$1:$I$89,3,0)*0.475*44/12</f>
        <v>#N/A</v>
      </c>
      <c r="AX189" s="23" t="e">
        <f t="shared" si="166"/>
        <v>#N/A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2">
        <f t="shared" si="140"/>
        <v>29.760791316122987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70">
        <f t="shared" si="110"/>
        <v>539.93032820891392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151.58413719376074</v>
      </c>
      <c r="T190" s="62">
        <f t="shared" si="142"/>
        <v>310.105543138185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4.4099406218075154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6.2230371636715617E-22</v>
      </c>
      <c r="AC190" s="24">
        <f t="shared" si="163"/>
        <v>4.4099406218075154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 t="e">
        <f>AI190*VLOOKUP('Données projet'!$B$10,Paramètres!$A$1:$I$89,3,0)*VLOOKUP('Données projet'!$B$10,Paramètres!$A$1:$I$89,5,0)</f>
        <v>#N/A</v>
      </c>
      <c r="AK190" s="14" t="e">
        <f t="shared" si="164"/>
        <v>#N/A</v>
      </c>
      <c r="AL190" s="22" t="e">
        <f t="shared" si="165"/>
        <v>#N/A</v>
      </c>
      <c r="AM190" s="62" t="e">
        <f t="shared" si="113"/>
        <v>#N/A</v>
      </c>
      <c r="AN190" s="62" t="e">
        <f ca="1">AVERAGE(OFFSET($AM$3,0,0,'Données projet'!$E$10+1,1))-AVERAGE(OFFSET($H$3,0,0,'Données projet'!$E$10+1,1))</f>
        <v>#N/A</v>
      </c>
      <c r="AO190" s="62" t="e">
        <f t="shared" si="144"/>
        <v>#N/A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 t="e">
        <f>EXP(-LN(2)/35)*AU189+(1-EXP(-LN(2)/35))/(LN(2)/35)*AQ190*AR190*VLOOKUP('Données projet'!$B$10,Paramètres!$A$1:$I$89,3,0)*0.475*44/12</f>
        <v>#N/A</v>
      </c>
      <c r="AV190" s="23" t="e">
        <f>EXP(-LN(2)/25)*AV189+(1-EXP(-LN(2)/25))/(LN(2)/25)*Calculateur!AQ190*Calculateur!AS190*VLOOKUP('Données projet'!$B$10,Paramètres!$A$1:$I$89,3,0)*0.475*44/12</f>
        <v>#N/A</v>
      </c>
      <c r="AW190" s="23" t="e">
        <f>EXP(-LN(2)/2)*AW189+(1-EXP(-LN(2)/2))/(LN(2)/2)*AQ190*AT190*VLOOKUP('Données projet'!$B$10,Paramètres!$A$1:$I$89,3,0)*0.475*44/12</f>
        <v>#N/A</v>
      </c>
      <c r="AX190" s="23" t="e">
        <f t="shared" si="166"/>
        <v>#N/A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2">
        <f t="shared" si="140"/>
        <v>29.901371354345098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70">
        <f t="shared" si="110"/>
        <v>541.21668844215083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151.58413719376074</v>
      </c>
      <c r="T191" s="62">
        <f t="shared" si="142"/>
        <v>310.105543138185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4.3234643760120539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4.4003517780080603E-22</v>
      </c>
      <c r="AC191" s="24">
        <f t="shared" si="163"/>
        <v>4.3234643760120539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 t="e">
        <f>AI191*VLOOKUP('Données projet'!$B$10,Paramètres!$A$1:$I$89,3,0)*VLOOKUP('Données projet'!$B$10,Paramètres!$A$1:$I$89,5,0)</f>
        <v>#N/A</v>
      </c>
      <c r="AK191" s="14" t="e">
        <f t="shared" si="164"/>
        <v>#N/A</v>
      </c>
      <c r="AL191" s="22" t="e">
        <f t="shared" si="165"/>
        <v>#N/A</v>
      </c>
      <c r="AM191" s="62" t="e">
        <f t="shared" si="113"/>
        <v>#N/A</v>
      </c>
      <c r="AN191" s="62" t="e">
        <f ca="1">AVERAGE(OFFSET($AM$3,0,0,'Données projet'!$E$10+1,1))-AVERAGE(OFFSET($H$3,0,0,'Données projet'!$E$10+1,1))</f>
        <v>#N/A</v>
      </c>
      <c r="AO191" s="62" t="e">
        <f t="shared" si="144"/>
        <v>#N/A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 t="e">
        <f>EXP(-LN(2)/35)*AU190+(1-EXP(-LN(2)/35))/(LN(2)/35)*AQ191*AR191*VLOOKUP('Données projet'!$B$10,Paramètres!$A$1:$I$89,3,0)*0.475*44/12</f>
        <v>#N/A</v>
      </c>
      <c r="AV191" s="23" t="e">
        <f>EXP(-LN(2)/25)*AV190+(1-EXP(-LN(2)/25))/(LN(2)/25)*Calculateur!AQ191*Calculateur!AS191*VLOOKUP('Données projet'!$B$10,Paramètres!$A$1:$I$89,3,0)*0.475*44/12</f>
        <v>#N/A</v>
      </c>
      <c r="AW191" s="23" t="e">
        <f>EXP(-LN(2)/2)*AW190+(1-EXP(-LN(2)/2))/(LN(2)/2)*AQ191*AT191*VLOOKUP('Données projet'!$B$10,Paramètres!$A$1:$I$89,3,0)*0.475*44/12</f>
        <v>#N/A</v>
      </c>
      <c r="AX191" s="23" t="e">
        <f t="shared" si="166"/>
        <v>#N/A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2">
        <f t="shared" si="140"/>
        <v>30.041864379091798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70">
        <f t="shared" si="110"/>
        <v>542.50289712691801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151.58413719376074</v>
      </c>
      <c r="T192" s="62">
        <f t="shared" si="142"/>
        <v>310.105543138185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4.2386838766513399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3.1115185818357809E-22</v>
      </c>
      <c r="AC192" s="24">
        <f t="shared" si="163"/>
        <v>4.2386838766513399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 t="e">
        <f>AI192*VLOOKUP('Données projet'!$B$10,Paramètres!$A$1:$I$89,3,0)*VLOOKUP('Données projet'!$B$10,Paramètres!$A$1:$I$89,5,0)</f>
        <v>#N/A</v>
      </c>
      <c r="AK192" s="14" t="e">
        <f t="shared" si="164"/>
        <v>#N/A</v>
      </c>
      <c r="AL192" s="22" t="e">
        <f t="shared" si="165"/>
        <v>#N/A</v>
      </c>
      <c r="AM192" s="62" t="e">
        <f t="shared" si="113"/>
        <v>#N/A</v>
      </c>
      <c r="AN192" s="62" t="e">
        <f ca="1">AVERAGE(OFFSET($AM$3,0,0,'Données projet'!$E$10+1,1))-AVERAGE(OFFSET($H$3,0,0,'Données projet'!$E$10+1,1))</f>
        <v>#N/A</v>
      </c>
      <c r="AO192" s="62" t="e">
        <f t="shared" si="144"/>
        <v>#N/A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 t="e">
        <f>EXP(-LN(2)/35)*AU191+(1-EXP(-LN(2)/35))/(LN(2)/35)*AQ192*AR192*VLOOKUP('Données projet'!$B$10,Paramètres!$A$1:$I$89,3,0)*0.475*44/12</f>
        <v>#N/A</v>
      </c>
      <c r="AV192" s="23" t="e">
        <f>EXP(-LN(2)/25)*AV191+(1-EXP(-LN(2)/25))/(LN(2)/25)*Calculateur!AQ192*Calculateur!AS192*VLOOKUP('Données projet'!$B$10,Paramètres!$A$1:$I$89,3,0)*0.475*44/12</f>
        <v>#N/A</v>
      </c>
      <c r="AW192" s="23" t="e">
        <f>EXP(-LN(2)/2)*AW191+(1-EXP(-LN(2)/2))/(LN(2)/2)*AQ192*AT192*VLOOKUP('Données projet'!$B$10,Paramètres!$A$1:$I$89,3,0)*0.475*44/12</f>
        <v>#N/A</v>
      </c>
      <c r="AX192" s="23" t="e">
        <f t="shared" si="166"/>
        <v>#N/A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2">
        <f t="shared" si="140"/>
        <v>30.182270904187739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70">
        <f t="shared" si="110"/>
        <v>543.78895515812667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151.58413719376074</v>
      </c>
      <c r="T193" s="62">
        <f t="shared" si="142"/>
        <v>310.105543138185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4.1555658711720902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2.2001758890040301E-22</v>
      </c>
      <c r="AC193" s="24">
        <f t="shared" si="163"/>
        <v>4.1555658711720902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 t="e">
        <f>AI193*VLOOKUP('Données projet'!$B$10,Paramètres!$A$1:$I$89,3,0)*VLOOKUP('Données projet'!$B$10,Paramètres!$A$1:$I$89,5,0)</f>
        <v>#N/A</v>
      </c>
      <c r="AK193" s="14" t="e">
        <f t="shared" si="164"/>
        <v>#N/A</v>
      </c>
      <c r="AL193" s="22" t="e">
        <f t="shared" si="165"/>
        <v>#N/A</v>
      </c>
      <c r="AM193" s="62" t="e">
        <f t="shared" si="113"/>
        <v>#N/A</v>
      </c>
      <c r="AN193" s="62" t="e">
        <f ca="1">AVERAGE(OFFSET($AM$3,0,0,'Données projet'!$E$10+1,1))-AVERAGE(OFFSET($H$3,0,0,'Données projet'!$E$10+1,1))</f>
        <v>#N/A</v>
      </c>
      <c r="AO193" s="62" t="e">
        <f t="shared" si="144"/>
        <v>#N/A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 t="e">
        <f>EXP(-LN(2)/35)*AU192+(1-EXP(-LN(2)/35))/(LN(2)/35)*AQ193*AR193*VLOOKUP('Données projet'!$B$10,Paramètres!$A$1:$I$89,3,0)*0.475*44/12</f>
        <v>#N/A</v>
      </c>
      <c r="AV193" s="23" t="e">
        <f>EXP(-LN(2)/25)*AV192+(1-EXP(-LN(2)/25))/(LN(2)/25)*Calculateur!AQ193*Calculateur!AS193*VLOOKUP('Données projet'!$B$10,Paramètres!$A$1:$I$89,3,0)*0.475*44/12</f>
        <v>#N/A</v>
      </c>
      <c r="AW193" s="23" t="e">
        <f>EXP(-LN(2)/2)*AW192+(1-EXP(-LN(2)/2))/(LN(2)/2)*AQ193*AT193*VLOOKUP('Données projet'!$B$10,Paramètres!$A$1:$I$89,3,0)*0.475*44/12</f>
        <v>#N/A</v>
      </c>
      <c r="AX193" s="23" t="e">
        <f t="shared" si="166"/>
        <v>#N/A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2">
        <f t="shared" si="140"/>
        <v>30.322591437735614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70">
        <f t="shared" si="110"/>
        <v>545.07486342072252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151.58413719376074</v>
      </c>
      <c r="T194" s="62">
        <f t="shared" si="142"/>
        <v>310.105543138185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4.0740777590833117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1.5557592909178904E-22</v>
      </c>
      <c r="AC194" s="24">
        <f t="shared" si="163"/>
        <v>4.0740777590833117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 t="e">
        <f>AI194*VLOOKUP('Données projet'!$B$10,Paramètres!$A$1:$I$89,3,0)*VLOOKUP('Données projet'!$B$10,Paramètres!$A$1:$I$89,5,0)</f>
        <v>#N/A</v>
      </c>
      <c r="AK194" s="14" t="e">
        <f t="shared" si="164"/>
        <v>#N/A</v>
      </c>
      <c r="AL194" s="22" t="e">
        <f t="shared" si="165"/>
        <v>#N/A</v>
      </c>
      <c r="AM194" s="62" t="e">
        <f t="shared" si="113"/>
        <v>#N/A</v>
      </c>
      <c r="AN194" s="62" t="e">
        <f ca="1">AVERAGE(OFFSET($AM$3,0,0,'Données projet'!$E$10+1,1))-AVERAGE(OFFSET($H$3,0,0,'Données projet'!$E$10+1,1))</f>
        <v>#N/A</v>
      </c>
      <c r="AO194" s="62" t="e">
        <f t="shared" si="144"/>
        <v>#N/A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 t="e">
        <f>EXP(-LN(2)/35)*AU193+(1-EXP(-LN(2)/35))/(LN(2)/35)*AQ194*AR194*VLOOKUP('Données projet'!$B$10,Paramètres!$A$1:$I$89,3,0)*0.475*44/12</f>
        <v>#N/A</v>
      </c>
      <c r="AV194" s="23" t="e">
        <f>EXP(-LN(2)/25)*AV193+(1-EXP(-LN(2)/25))/(LN(2)/25)*Calculateur!AQ194*Calculateur!AS194*VLOOKUP('Données projet'!$B$10,Paramètres!$A$1:$I$89,3,0)*0.475*44/12</f>
        <v>#N/A</v>
      </c>
      <c r="AW194" s="23" t="e">
        <f>EXP(-LN(2)/2)*AW193+(1-EXP(-LN(2)/2))/(LN(2)/2)*AQ194*AT194*VLOOKUP('Données projet'!$B$10,Paramètres!$A$1:$I$89,3,0)*0.475*44/12</f>
        <v>#N/A</v>
      </c>
      <c r="AX194" s="23" t="e">
        <f t="shared" si="166"/>
        <v>#N/A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2">
        <f t="shared" si="140"/>
        <v>30.462826482209802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70">
        <f t="shared" si="110"/>
        <v>546.36062278984843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151.58413719376074</v>
      </c>
      <c r="T195" s="62">
        <f t="shared" si="142"/>
        <v>310.105543138185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3.9941875791697532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1.1000879445020151E-22</v>
      </c>
      <c r="AC195" s="24">
        <f t="shared" si="163"/>
        <v>3.9941875791697532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 t="e">
        <f>AI195*VLOOKUP('Données projet'!$B$10,Paramètres!$A$1:$I$89,3,0)*VLOOKUP('Données projet'!$B$10,Paramètres!$A$1:$I$89,5,0)</f>
        <v>#N/A</v>
      </c>
      <c r="AK195" s="14" t="e">
        <f t="shared" si="164"/>
        <v>#N/A</v>
      </c>
      <c r="AL195" s="22" t="e">
        <f t="shared" si="165"/>
        <v>#N/A</v>
      </c>
      <c r="AM195" s="62" t="e">
        <f t="shared" si="113"/>
        <v>#N/A</v>
      </c>
      <c r="AN195" s="62" t="e">
        <f ca="1">AVERAGE(OFFSET($AM$3,0,0,'Données projet'!$E$10+1,1))-AVERAGE(OFFSET($H$3,0,0,'Données projet'!$E$10+1,1))</f>
        <v>#N/A</v>
      </c>
      <c r="AO195" s="62" t="e">
        <f t="shared" si="144"/>
        <v>#N/A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 t="e">
        <f>EXP(-LN(2)/35)*AU194+(1-EXP(-LN(2)/35))/(LN(2)/35)*AQ195*AR195*VLOOKUP('Données projet'!$B$10,Paramètres!$A$1:$I$89,3,0)*0.475*44/12</f>
        <v>#N/A</v>
      </c>
      <c r="AV195" s="23" t="e">
        <f>EXP(-LN(2)/25)*AV194+(1-EXP(-LN(2)/25))/(LN(2)/25)*Calculateur!AQ195*Calculateur!AS195*VLOOKUP('Données projet'!$B$10,Paramètres!$A$1:$I$89,3,0)*0.475*44/12</f>
        <v>#N/A</v>
      </c>
      <c r="AW195" s="23" t="e">
        <f>EXP(-LN(2)/2)*AW194+(1-EXP(-LN(2)/2))/(LN(2)/2)*AQ195*AT195*VLOOKUP('Données projet'!$B$10,Paramètres!$A$1:$I$89,3,0)*0.475*44/12</f>
        <v>#N/A</v>
      </c>
      <c r="AX195" s="23" t="e">
        <f t="shared" si="166"/>
        <v>#N/A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2">
        <f t="shared" si="140"/>
        <v>30.602976534547494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70">
        <f t="shared" ref="H196:H203" si="192">(B196+E196+F196)*44/12+(C196+D196)*0.475*44/12</f>
        <v>547.64623413100321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151.58413719376074</v>
      </c>
      <c r="T196" s="62">
        <f t="shared" si="142"/>
        <v>310.105543138185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3.9158639969561015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7.7787964545894522E-23</v>
      </c>
      <c r="AC196" s="24">
        <f t="shared" si="163"/>
        <v>3.9158639969561015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 t="e">
        <f>AI196*VLOOKUP('Données projet'!$B$10,Paramètres!$A$1:$I$89,3,0)*VLOOKUP('Données projet'!$B$10,Paramètres!$A$1:$I$89,5,0)</f>
        <v>#N/A</v>
      </c>
      <c r="AK196" s="14" t="e">
        <f t="shared" si="164"/>
        <v>#N/A</v>
      </c>
      <c r="AL196" s="22" t="e">
        <f t="shared" si="165"/>
        <v>#N/A</v>
      </c>
      <c r="AM196" s="62" t="e">
        <f t="shared" ref="AM196:AM203" si="193">AL196+(AD196+AE196)*44/12</f>
        <v>#N/A</v>
      </c>
      <c r="AN196" s="62" t="e">
        <f ca="1">AVERAGE(OFFSET($AM$3,0,0,'Données projet'!$E$10+1,1))-AVERAGE(OFFSET($H$3,0,0,'Données projet'!$E$10+1,1))</f>
        <v>#N/A</v>
      </c>
      <c r="AO196" s="62" t="e">
        <f t="shared" si="144"/>
        <v>#N/A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 t="e">
        <f>EXP(-LN(2)/35)*AU195+(1-EXP(-LN(2)/35))/(LN(2)/35)*AQ196*AR196*VLOOKUP('Données projet'!$B$10,Paramètres!$A$1:$I$89,3,0)*0.475*44/12</f>
        <v>#N/A</v>
      </c>
      <c r="AV196" s="23" t="e">
        <f>EXP(-LN(2)/25)*AV195+(1-EXP(-LN(2)/25))/(LN(2)/25)*Calculateur!AQ196*Calculateur!AS196*VLOOKUP('Données projet'!$B$10,Paramètres!$A$1:$I$89,3,0)*0.475*44/12</f>
        <v>#N/A</v>
      </c>
      <c r="AW196" s="23" t="e">
        <f>EXP(-LN(2)/2)*AW195+(1-EXP(-LN(2)/2))/(LN(2)/2)*AQ196*AT196*VLOOKUP('Données projet'!$B$10,Paramètres!$A$1:$I$89,3,0)*0.475*44/12</f>
        <v>#N/A</v>
      </c>
      <c r="AX196" s="23" t="e">
        <f t="shared" si="166"/>
        <v>#N/A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2">
        <f t="shared" ref="D197:D203" si="202">IFERROR(EXP(-1.0587+0.8836*LN(C197)+0.284),0)</f>
        <v>30.743042086238148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70">
        <f t="shared" si="192"/>
        <v>548.93169830019781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151.58413719376074</v>
      </c>
      <c r="T197" s="62">
        <f t="shared" ref="T197:T203" si="204">$T$3</f>
        <v>310.105543138185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3.8390762924169914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5.5004397225100753E-23</v>
      </c>
      <c r="AC197" s="24">
        <f t="shared" si="163"/>
        <v>3.8390762924169914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 t="e">
        <f>AI197*VLOOKUP('Données projet'!$B$10,Paramètres!$A$1:$I$89,3,0)*VLOOKUP('Données projet'!$B$10,Paramètres!$A$1:$I$89,5,0)</f>
        <v>#N/A</v>
      </c>
      <c r="AK197" s="14" t="e">
        <f t="shared" si="164"/>
        <v>#N/A</v>
      </c>
      <c r="AL197" s="22" t="e">
        <f t="shared" si="165"/>
        <v>#N/A</v>
      </c>
      <c r="AM197" s="62" t="e">
        <f t="shared" si="193"/>
        <v>#N/A</v>
      </c>
      <c r="AN197" s="62" t="e">
        <f ca="1">AVERAGE(OFFSET($AM$3,0,0,'Données projet'!$E$10+1,1))-AVERAGE(OFFSET($H$3,0,0,'Données projet'!$E$10+1,1))</f>
        <v>#N/A</v>
      </c>
      <c r="AO197" s="62" t="e">
        <f t="shared" ref="AO197:AO203" si="205">$AO$3</f>
        <v>#N/A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 t="e">
        <f>EXP(-LN(2)/35)*AU196+(1-EXP(-LN(2)/35))/(LN(2)/35)*AQ197*AR197*VLOOKUP('Données projet'!$B$10,Paramètres!$A$1:$I$89,3,0)*0.475*44/12</f>
        <v>#N/A</v>
      </c>
      <c r="AV197" s="23" t="e">
        <f>EXP(-LN(2)/25)*AV196+(1-EXP(-LN(2)/25))/(LN(2)/25)*Calculateur!AQ197*Calculateur!AS197*VLOOKUP('Données projet'!$B$10,Paramètres!$A$1:$I$89,3,0)*0.475*44/12</f>
        <v>#N/A</v>
      </c>
      <c r="AW197" s="23" t="e">
        <f>EXP(-LN(2)/2)*AW196+(1-EXP(-LN(2)/2))/(LN(2)/2)*AQ197*AT197*VLOOKUP('Données projet'!$B$10,Paramètres!$A$1:$I$89,3,0)*0.475*44/12</f>
        <v>#N/A</v>
      </c>
      <c r="AX197" s="23" t="e">
        <f t="shared" si="166"/>
        <v>#N/A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2">
        <f t="shared" si="202"/>
        <v>30.883023623410974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70">
        <f t="shared" si="192"/>
        <v>550.21701614410711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151.58413719376074</v>
      </c>
      <c r="T198" s="62">
        <f t="shared" si="204"/>
        <v>310.105543138185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3.7637943479280183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3.8893982272947261E-23</v>
      </c>
      <c r="AC198" s="24">
        <f t="shared" si="163"/>
        <v>3.7637943479280183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 t="e">
        <f>AI198*VLOOKUP('Données projet'!$B$10,Paramètres!$A$1:$I$89,3,0)*VLOOKUP('Données projet'!$B$10,Paramètres!$A$1:$I$89,5,0)</f>
        <v>#N/A</v>
      </c>
      <c r="AK198" s="14" t="e">
        <f t="shared" si="164"/>
        <v>#N/A</v>
      </c>
      <c r="AL198" s="22" t="e">
        <f t="shared" si="165"/>
        <v>#N/A</v>
      </c>
      <c r="AM198" s="62" t="e">
        <f t="shared" si="193"/>
        <v>#N/A</v>
      </c>
      <c r="AN198" s="62" t="e">
        <f ca="1">AVERAGE(OFFSET($AM$3,0,0,'Données projet'!$E$10+1,1))-AVERAGE(OFFSET($H$3,0,0,'Données projet'!$E$10+1,1))</f>
        <v>#N/A</v>
      </c>
      <c r="AO198" s="62" t="e">
        <f t="shared" si="205"/>
        <v>#N/A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 t="e">
        <f>EXP(-LN(2)/35)*AU197+(1-EXP(-LN(2)/35))/(LN(2)/35)*AQ198*AR198*VLOOKUP('Données projet'!$B$10,Paramètres!$A$1:$I$89,3,0)*0.475*44/12</f>
        <v>#N/A</v>
      </c>
      <c r="AV198" s="23" t="e">
        <f>EXP(-LN(2)/25)*AV197+(1-EXP(-LN(2)/25))/(LN(2)/25)*Calculateur!AQ198*Calculateur!AS198*VLOOKUP('Données projet'!$B$10,Paramètres!$A$1:$I$89,3,0)*0.475*44/12</f>
        <v>#N/A</v>
      </c>
      <c r="AW198" s="23" t="e">
        <f>EXP(-LN(2)/2)*AW197+(1-EXP(-LN(2)/2))/(LN(2)/2)*AQ198*AT198*VLOOKUP('Données projet'!$B$10,Paramètres!$A$1:$I$89,3,0)*0.475*44/12</f>
        <v>#N/A</v>
      </c>
      <c r="AX198" s="23" t="e">
        <f t="shared" si="166"/>
        <v>#N/A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2">
        <f t="shared" si="202"/>
        <v>31.022921626920507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70">
        <f t="shared" si="192"/>
        <v>551.50218850021952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151.58413719376074</v>
      </c>
      <c r="T199" s="62">
        <f t="shared" si="204"/>
        <v>310.105543138185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3.6899886364530219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2.7502198612550377E-23</v>
      </c>
      <c r="AC199" s="24">
        <f t="shared" si="163"/>
        <v>3.6899886364530219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 t="e">
        <f>AI199*VLOOKUP('Données projet'!$B$10,Paramètres!$A$1:$I$89,3,0)*VLOOKUP('Données projet'!$B$10,Paramètres!$A$1:$I$89,5,0)</f>
        <v>#N/A</v>
      </c>
      <c r="AK199" s="14" t="e">
        <f t="shared" si="164"/>
        <v>#N/A</v>
      </c>
      <c r="AL199" s="22" t="e">
        <f t="shared" si="165"/>
        <v>#N/A</v>
      </c>
      <c r="AM199" s="62" t="e">
        <f t="shared" si="193"/>
        <v>#N/A</v>
      </c>
      <c r="AN199" s="62" t="e">
        <f ca="1">AVERAGE(OFFSET($AM$3,0,0,'Données projet'!$E$10+1,1))-AVERAGE(OFFSET($H$3,0,0,'Données projet'!$E$10+1,1))</f>
        <v>#N/A</v>
      </c>
      <c r="AO199" s="62" t="e">
        <f t="shared" si="205"/>
        <v>#N/A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 t="e">
        <f>EXP(-LN(2)/35)*AU198+(1-EXP(-LN(2)/35))/(LN(2)/35)*AQ199*AR199*VLOOKUP('Données projet'!$B$10,Paramètres!$A$1:$I$89,3,0)*0.475*44/12</f>
        <v>#N/A</v>
      </c>
      <c r="AV199" s="23" t="e">
        <f>EXP(-LN(2)/25)*AV198+(1-EXP(-LN(2)/25))/(LN(2)/25)*Calculateur!AQ199*Calculateur!AS199*VLOOKUP('Données projet'!$B$10,Paramètres!$A$1:$I$89,3,0)*0.475*44/12</f>
        <v>#N/A</v>
      </c>
      <c r="AW199" s="23" t="e">
        <f>EXP(-LN(2)/2)*AW198+(1-EXP(-LN(2)/2))/(LN(2)/2)*AQ199*AT199*VLOOKUP('Données projet'!$B$10,Paramètres!$A$1:$I$89,3,0)*0.475*44/12</f>
        <v>#N/A</v>
      </c>
      <c r="AX199" s="23" t="e">
        <f t="shared" si="166"/>
        <v>#N/A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2">
        <f t="shared" si="202"/>
        <v>31.162736572430603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70">
        <f t="shared" si="192"/>
        <v>552.78721619698297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151.58413719376074</v>
      </c>
      <c r="T200" s="62">
        <f t="shared" si="204"/>
        <v>310.105543138185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3.6176302099630111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1.944699113647363E-23</v>
      </c>
      <c r="AC200" s="24">
        <f t="shared" si="163"/>
        <v>3.6176302099630111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 t="e">
        <f>AI200*VLOOKUP('Données projet'!$B$10,Paramètres!$A$1:$I$89,3,0)*VLOOKUP('Données projet'!$B$10,Paramètres!$A$1:$I$89,5,0)</f>
        <v>#N/A</v>
      </c>
      <c r="AK200" s="14" t="e">
        <f t="shared" si="164"/>
        <v>#N/A</v>
      </c>
      <c r="AL200" s="22" t="e">
        <f t="shared" si="165"/>
        <v>#N/A</v>
      </c>
      <c r="AM200" s="62" t="e">
        <f t="shared" si="193"/>
        <v>#N/A</v>
      </c>
      <c r="AN200" s="62" t="e">
        <f ca="1">AVERAGE(OFFSET($AM$3,0,0,'Données projet'!$E$10+1,1))-AVERAGE(OFFSET($H$3,0,0,'Données projet'!$E$10+1,1))</f>
        <v>#N/A</v>
      </c>
      <c r="AO200" s="62" t="e">
        <f t="shared" si="205"/>
        <v>#N/A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 t="e">
        <f>EXP(-LN(2)/35)*AU199+(1-EXP(-LN(2)/35))/(LN(2)/35)*AQ200*AR200*VLOOKUP('Données projet'!$B$10,Paramètres!$A$1:$I$89,3,0)*0.475*44/12</f>
        <v>#N/A</v>
      </c>
      <c r="AV200" s="23" t="e">
        <f>EXP(-LN(2)/25)*AV199+(1-EXP(-LN(2)/25))/(LN(2)/25)*Calculateur!AQ200*Calculateur!AS200*VLOOKUP('Données projet'!$B$10,Paramètres!$A$1:$I$89,3,0)*0.475*44/12</f>
        <v>#N/A</v>
      </c>
      <c r="AW200" s="23" t="e">
        <f>EXP(-LN(2)/2)*AW199+(1-EXP(-LN(2)/2))/(LN(2)/2)*AQ200*AT200*VLOOKUP('Données projet'!$B$10,Paramètres!$A$1:$I$89,3,0)*0.475*44/12</f>
        <v>#N/A</v>
      </c>
      <c r="AX200" s="23" t="e">
        <f t="shared" si="166"/>
        <v>#N/A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2">
        <f t="shared" si="202"/>
        <v>31.302468930496392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70">
        <f t="shared" si="192"/>
        <v>554.07210005394757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151.58413719376074</v>
      </c>
      <c r="T201" s="62">
        <f t="shared" si="204"/>
        <v>310.105543138185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3.5466906880821871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1.3751099306275188E-23</v>
      </c>
      <c r="AC201" s="24">
        <f t="shared" si="163"/>
        <v>3.5466906880821871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 t="e">
        <f>AI201*VLOOKUP('Données projet'!$B$10,Paramètres!$A$1:$I$89,3,0)*VLOOKUP('Données projet'!$B$10,Paramètres!$A$1:$I$89,5,0)</f>
        <v>#N/A</v>
      </c>
      <c r="AK201" s="14" t="e">
        <f t="shared" si="164"/>
        <v>#N/A</v>
      </c>
      <c r="AL201" s="22" t="e">
        <f t="shared" si="165"/>
        <v>#N/A</v>
      </c>
      <c r="AM201" s="62" t="e">
        <f t="shared" si="193"/>
        <v>#N/A</v>
      </c>
      <c r="AN201" s="62" t="e">
        <f ca="1">AVERAGE(OFFSET($AM$3,0,0,'Données projet'!$E$10+1,1))-AVERAGE(OFFSET($H$3,0,0,'Données projet'!$E$10+1,1))</f>
        <v>#N/A</v>
      </c>
      <c r="AO201" s="62" t="e">
        <f t="shared" si="205"/>
        <v>#N/A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 t="e">
        <f>EXP(-LN(2)/35)*AU200+(1-EXP(-LN(2)/35))/(LN(2)/35)*AQ201*AR201*VLOOKUP('Données projet'!$B$10,Paramètres!$A$1:$I$89,3,0)*0.475*44/12</f>
        <v>#N/A</v>
      </c>
      <c r="AV201" s="23" t="e">
        <f>EXP(-LN(2)/25)*AV200+(1-EXP(-LN(2)/25))/(LN(2)/25)*Calculateur!AQ201*Calculateur!AS201*VLOOKUP('Données projet'!$B$10,Paramètres!$A$1:$I$89,3,0)*0.475*44/12</f>
        <v>#N/A</v>
      </c>
      <c r="AW201" s="23" t="e">
        <f>EXP(-LN(2)/2)*AW200+(1-EXP(-LN(2)/2))/(LN(2)/2)*AQ201*AT201*VLOOKUP('Données projet'!$B$10,Paramètres!$A$1:$I$89,3,0)*0.475*44/12</f>
        <v>#N/A</v>
      </c>
      <c r="AX201" s="23" t="e">
        <f t="shared" si="166"/>
        <v>#N/A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2">
        <f t="shared" si="202"/>
        <v>31.442119166644662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70">
        <f t="shared" si="192"/>
        <v>555.35684088190578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151.58413719376074</v>
      </c>
      <c r="T202" s="62">
        <f t="shared" si="204"/>
        <v>310.105543138185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3.47714224695661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9.7234955682368152E-24</v>
      </c>
      <c r="AC202" s="24">
        <f t="shared" si="163"/>
        <v>3.47714224695661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 t="e">
        <f>AI202*VLOOKUP('Données projet'!$B$10,Paramètres!$A$1:$I$89,3,0)*VLOOKUP('Données projet'!$B$10,Paramètres!$A$1:$I$89,5,0)</f>
        <v>#N/A</v>
      </c>
      <c r="AK202" s="14" t="e">
        <f t="shared" si="164"/>
        <v>#N/A</v>
      </c>
      <c r="AL202" s="22" t="e">
        <f t="shared" si="165"/>
        <v>#N/A</v>
      </c>
      <c r="AM202" s="62" t="e">
        <f t="shared" si="193"/>
        <v>#N/A</v>
      </c>
      <c r="AN202" s="62" t="e">
        <f ca="1">AVERAGE(OFFSET($AM$3,0,0,'Données projet'!$E$10+1,1))-AVERAGE(OFFSET($H$3,0,0,'Données projet'!$E$10+1,1))</f>
        <v>#N/A</v>
      </c>
      <c r="AO202" s="62" t="e">
        <f t="shared" si="205"/>
        <v>#N/A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 t="e">
        <f>EXP(-LN(2)/35)*AU201+(1-EXP(-LN(2)/35))/(LN(2)/35)*AQ202*AR202*VLOOKUP('Données projet'!$B$10,Paramètres!$A$1:$I$89,3,0)*0.475*44/12</f>
        <v>#N/A</v>
      </c>
      <c r="AV202" s="23" t="e">
        <f>EXP(-LN(2)/25)*AV201+(1-EXP(-LN(2)/25))/(LN(2)/25)*Calculateur!AQ202*Calculateur!AS202*VLOOKUP('Données projet'!$B$10,Paramètres!$A$1:$I$89,3,0)*0.475*44/12</f>
        <v>#N/A</v>
      </c>
      <c r="AW202" s="23" t="e">
        <f>EXP(-LN(2)/2)*AW201+(1-EXP(-LN(2)/2))/(LN(2)/2)*AQ202*AT202*VLOOKUP('Données projet'!$B$10,Paramètres!$A$1:$I$89,3,0)*0.475*44/12</f>
        <v>#N/A</v>
      </c>
      <c r="AX202" s="23" t="e">
        <f t="shared" si="166"/>
        <v>#N/A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2">
        <f t="shared" si="202"/>
        <v>31.581687741452679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70">
        <f t="shared" si="192"/>
        <v>556.64143948302979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151.58413719376074</v>
      </c>
      <c r="T203" s="62">
        <f t="shared" si="204"/>
        <v>310.105543138185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3.408957608341145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6.8755496531375942E-24</v>
      </c>
      <c r="AC203" s="24">
        <f t="shared" si="163"/>
        <v>3.408957608341145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 t="e">
        <f>AI203*VLOOKUP('Données projet'!$B$10,Paramètres!$A$1:$I$89,3,0)*VLOOKUP('Données projet'!$B$10,Paramètres!$A$1:$I$89,5,0)</f>
        <v>#N/A</v>
      </c>
      <c r="AK203" s="14" t="e">
        <f t="shared" si="164"/>
        <v>#N/A</v>
      </c>
      <c r="AL203" s="22" t="e">
        <f t="shared" si="165"/>
        <v>#N/A</v>
      </c>
      <c r="AM203" s="62" t="e">
        <f t="shared" si="193"/>
        <v>#N/A</v>
      </c>
      <c r="AN203" s="62" t="e">
        <f ca="1">AVERAGE(OFFSET($AM$3,0,0,'Données projet'!$E$10+1,1))-AVERAGE(OFFSET($H$3,0,0,'Données projet'!$E$10+1,1))</f>
        <v>#N/A</v>
      </c>
      <c r="AO203" s="62" t="e">
        <f t="shared" si="205"/>
        <v>#N/A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 t="e">
        <f>EXP(-LN(2)/35)*AU202+(1-EXP(-LN(2)/35))/(LN(2)/35)*AQ203*AR203*VLOOKUP('Données projet'!$B$10,Paramètres!$A$1:$I$89,3,0)*0.475*44/12</f>
        <v>#N/A</v>
      </c>
      <c r="AV203" s="23" t="e">
        <f>EXP(-LN(2)/25)*AV202+(1-EXP(-LN(2)/25))/(LN(2)/25)*Calculateur!AQ203*Calculateur!AS203*VLOOKUP('Données projet'!$B$10,Paramètres!$A$1:$I$89,3,0)*0.475*44/12</f>
        <v>#N/A</v>
      </c>
      <c r="AW203" s="23" t="e">
        <f>EXP(-LN(2)/2)*AW202+(1-EXP(-LN(2)/2))/(LN(2)/2)*AQ203*AT203*VLOOKUP('Données projet'!$B$10,Paramètres!$A$1:$I$89,3,0)*0.475*44/12</f>
        <v>#N/A</v>
      </c>
      <c r="AX203" s="23" t="e">
        <f t="shared" si="166"/>
        <v>#N/A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1.4261938757879591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 t="e">
        <f>EXP(LN('Données projet'!B62)/'Données projet'!A62)</f>
        <v>#NUM!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C1" workbookViewId="0">
      <selection activeCell="C5" sqref="C5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maritime</v>
      </c>
      <c r="B6" s="155">
        <f>'Données projet'!D9</f>
        <v>1.17</v>
      </c>
      <c r="C6" s="156">
        <f ca="1">IF(OR('Données projet'!B9="",'Données projet'!C9="",'Données projet'!C9=0%),0,Calculateur!S3)</f>
        <v>151.58413719376074</v>
      </c>
      <c r="D6" s="156">
        <f>IF(OR('Données projet'!B9="",'Données projet'!C9="",'Données projet'!C9=0%),0,Calculateur!T3)</f>
        <v>310.105543138185</v>
      </c>
      <c r="E6" s="156">
        <f ca="1">MIN(C6,D6)</f>
        <v>151.58413719376074</v>
      </c>
      <c r="F6" s="156">
        <f ca="1">E6*B6</f>
        <v>177.35344051670006</v>
      </c>
      <c r="G6" s="156">
        <f ca="1">F6*(100%-'Données projet'!$C$24)*(100%-'Données projet'!$C$25)*(100%-'Données projet'!$C$26)*(100%-'Données projet'!$C$27)</f>
        <v>135.67538199527553</v>
      </c>
      <c r="H6" s="157">
        <f>IF(OR('Données projet'!B9="",'Données projet'!C9="",'Données projet'!C9=0%),0,AVERAGE(Calculateur!$AC$3:$AC$33)*B6)</f>
        <v>11.330258922173931</v>
      </c>
      <c r="I6" s="158">
        <f>H6*(100%-'Données projet'!$C$24)*(100%-'Données projet'!$C$25)*(100%-'Données projet'!$C$26)*(100%-'Données projet'!$C$27)</f>
        <v>8.667648075463056</v>
      </c>
      <c r="J6" s="159">
        <f>IF(OR('Données projet'!B9="",'Données projet'!C9="",'Données projet'!C9=0%),0,SUM(Calculateur!$V$3:$V$33)*VLOOKUP('Données projet'!$B$9,Paramètres!$A$1:$I$89,9,0)*B6)</f>
        <v>82.835999999999999</v>
      </c>
      <c r="K6" s="160">
        <f>J6*(100%-'Données projet'!$C$24)*(100%-'Données projet'!$C$25)*(100%-'Données projet'!$C$26)*(100%-'Données projet'!$C$27)</f>
        <v>63.369540000000001</v>
      </c>
      <c r="L6" s="161">
        <f ca="1">G6+I6+K6</f>
        <v>207.71257007073859</v>
      </c>
      <c r="M6" s="25">
        <f ca="1">L6/B6</f>
        <v>177.53211117157144</v>
      </c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/>
      </c>
      <c r="B7" s="163">
        <f>'Données projet'!D10</f>
        <v>0</v>
      </c>
      <c r="C7" s="156">
        <f>IF(OR('Données projet'!B10="",'Données projet'!C10="",'Données projet'!C10=0%),0,Calculateur!AN3)</f>
        <v>0</v>
      </c>
      <c r="D7" s="156">
        <f>IF(OR('Données projet'!B10="",'Données projet'!C10="",'Données projet'!C10=0%),0,Calculateur!AO3)</f>
        <v>0</v>
      </c>
      <c r="E7" s="156">
        <f t="shared" ref="E7:E15" si="0">MIN(C7,D7)</f>
        <v>0</v>
      </c>
      <c r="F7" s="156">
        <f t="shared" ref="F7:F15" si="1">E7*B7</f>
        <v>0</v>
      </c>
      <c r="G7" s="156">
        <f>F7*(100%-'Données projet'!$C$24)*(100%-'Données projet'!$C$25)*(100%-'Données projet'!$C$26)*(100%-'Données projet'!$C$27)</f>
        <v>0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si="2">G7+I7+K7</f>
        <v>0</v>
      </c>
      <c r="M7" s="25" t="e">
        <f>L7/B7</f>
        <v>#DIV/0!</v>
      </c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177.35344051670006</v>
      </c>
      <c r="G16" s="175">
        <f t="shared" ca="1" si="3"/>
        <v>135.67538199527553</v>
      </c>
      <c r="H16" s="176">
        <f t="shared" si="3"/>
        <v>11.330258922173931</v>
      </c>
      <c r="I16" s="176">
        <f t="shared" si="3"/>
        <v>8.667648075463056</v>
      </c>
      <c r="J16" s="177">
        <f t="shared" si="3"/>
        <v>82.835999999999999</v>
      </c>
      <c r="K16" s="177">
        <f t="shared" si="3"/>
        <v>63.369540000000001</v>
      </c>
      <c r="L16" s="178">
        <f t="shared" ca="1" si="3"/>
        <v>207.71257007073859</v>
      </c>
      <c r="M16" s="25">
        <f ca="1">L16/6.42</f>
        <v>32.353982877062087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maritime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/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D1" zoomScale="90" zoomScaleNormal="90" workbookViewId="0">
      <selection activeCell="I20" sqref="I20:I2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27" t="s">
        <v>315</v>
      </c>
      <c r="I4" s="327"/>
      <c r="K4" s="324" t="s">
        <v>253</v>
      </c>
      <c r="L4" s="325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5" t="s">
        <v>310</v>
      </c>
      <c r="S7" s="336"/>
      <c r="T7" s="336"/>
      <c r="U7" s="336"/>
      <c r="V7" s="337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maritime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4176.5088663229981</v>
      </c>
      <c r="U10" s="190">
        <f>'Données projet'!D9</f>
        <v>1.17</v>
      </c>
      <c r="V10" s="189">
        <f>U10*T10</f>
        <v>4886.5153735979075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/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0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maritime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28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8"/>
      <c r="H16" s="203"/>
      <c r="I16" s="204"/>
      <c r="J16" s="216"/>
      <c r="K16" s="225"/>
      <c r="L16" s="324" t="s">
        <v>254</v>
      </c>
      <c r="M16" s="325"/>
      <c r="N16" s="2">
        <v>70</v>
      </c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28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69.999999999999929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8"/>
      <c r="J18" s="216"/>
      <c r="K18" s="225"/>
      <c r="L18" s="295" t="s">
        <v>255</v>
      </c>
      <c r="M18" s="297"/>
      <c r="N18" s="205">
        <v>30</v>
      </c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8"/>
      <c r="H19" s="232" t="s">
        <v>178</v>
      </c>
      <c r="I19" s="232" t="s">
        <v>287</v>
      </c>
      <c r="J19" s="260"/>
      <c r="K19" s="183"/>
      <c r="L19" s="324" t="s">
        <v>288</v>
      </c>
      <c r="M19" s="325"/>
      <c r="N19" s="191">
        <f>N17*N18</f>
        <v>2099.9999999999977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8"/>
      <c r="H20" s="203">
        <v>0</v>
      </c>
      <c r="I20" s="204">
        <v>3300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150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450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13</v>
      </c>
      <c r="B23" s="193">
        <f>'Données projet'!D36</f>
        <v>28</v>
      </c>
      <c r="C23" s="206">
        <v>10</v>
      </c>
      <c r="D23" s="194">
        <f>B23*C23</f>
        <v>280</v>
      </c>
      <c r="E23" s="206"/>
      <c r="F23" s="261"/>
      <c r="H23" s="203">
        <v>3</v>
      </c>
      <c r="I23" s="204">
        <v>150</v>
      </c>
      <c r="K23" s="225"/>
      <c r="L23" s="326" t="s">
        <v>260</v>
      </c>
      <c r="M23" s="326"/>
      <c r="N23" s="326"/>
      <c r="O23" s="25"/>
      <c r="P23" s="25"/>
      <c r="Q23" s="265"/>
      <c r="R23" s="25"/>
      <c r="S23" s="185" t="s">
        <v>264</v>
      </c>
      <c r="T23" s="340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-229.00559118705041</v>
      </c>
      <c r="U23" s="340"/>
      <c r="V23" s="340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18</v>
      </c>
      <c r="B24" s="193">
        <f>'Données projet'!D37</f>
        <v>40</v>
      </c>
      <c r="C24" s="206">
        <v>15</v>
      </c>
      <c r="D24" s="194">
        <f t="shared" ref="D24:D42" si="2">B24*C24</f>
        <v>600</v>
      </c>
      <c r="E24" s="206"/>
      <c r="F24" s="264"/>
      <c r="H24" s="203">
        <v>5</v>
      </c>
      <c r="I24" s="204">
        <v>480</v>
      </c>
      <c r="K24" s="225"/>
      <c r="O24" s="25"/>
      <c r="P24" s="25"/>
      <c r="Q24" s="265"/>
      <c r="R24" s="25"/>
      <c r="S24" s="185" t="s">
        <v>261</v>
      </c>
      <c r="T24" s="341">
        <f ca="1">'Scénario référence'!$B$8*$M$30*'Données projet'!$C$5+('Scénario référence'!B9+'Scénario référence'!B10+'Scénario référence'!F8+'Scénario référence'!F9)*$N$19/(1+M4)^N16*'Données projet'!$C$5</f>
        <v>112.78850110926651</v>
      </c>
      <c r="U24" s="341"/>
      <c r="V24" s="341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23</v>
      </c>
      <c r="B25" s="193">
        <f>'Données projet'!D38</f>
        <v>52</v>
      </c>
      <c r="C25" s="206">
        <v>25</v>
      </c>
      <c r="D25" s="194">
        <f t="shared" si="2"/>
        <v>1300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42">
        <f ca="1">T23-T24</f>
        <v>-341.79409229631693</v>
      </c>
      <c r="U25" s="342"/>
      <c r="V25" s="342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9" t="s">
        <v>258</v>
      </c>
      <c r="M26" s="330"/>
      <c r="N26" s="330"/>
      <c r="O26" s="330"/>
      <c r="P26" s="331"/>
      <c r="Q26" s="265"/>
      <c r="R26" s="25"/>
      <c r="S26" s="198" t="s">
        <v>265</v>
      </c>
      <c r="T26" s="339" t="str">
        <f ca="1">IF(T25&lt;0,"Votre projet est additionnel","Votre projet n'est pas additionnel")</f>
        <v>Votre projet est additionnel</v>
      </c>
      <c r="U26" s="339"/>
      <c r="V26" s="339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34</v>
      </c>
      <c r="B27" s="193">
        <f>'Données projet'!D40</f>
        <v>325</v>
      </c>
      <c r="C27" s="206">
        <v>45</v>
      </c>
      <c r="D27" s="194">
        <f t="shared" si="2"/>
        <v>14625</v>
      </c>
      <c r="E27" s="206"/>
      <c r="F27" s="264"/>
      <c r="G27" s="259"/>
      <c r="H27" s="203"/>
      <c r="I27" s="204"/>
      <c r="K27" s="225"/>
      <c r="L27" s="332"/>
      <c r="M27" s="333"/>
      <c r="N27" s="333"/>
      <c r="O27" s="333"/>
      <c r="P27" s="334"/>
      <c r="Q27" s="265"/>
      <c r="R27" s="25"/>
      <c r="S27" s="338" t="s">
        <v>267</v>
      </c>
      <c r="T27" s="338"/>
      <c r="U27" s="338"/>
      <c r="V27" s="338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/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0</v>
      </c>
      <c r="B54" s="193">
        <f>'Données projet'!D62</f>
        <v>0</v>
      </c>
      <c r="C54" s="292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str">
        <f>IF(O67+1&lt;=MIN('Données projet'!$E$9:$E$18),O67+1,"STOP")</f>
        <v>STOP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2025-02-05T08:06:19Z</dcterms:modified>
</cp:coreProperties>
</file>