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Desktop/"/>
    </mc:Choice>
  </mc:AlternateContent>
  <xr:revisionPtr revIDLastSave="0" documentId="13_ncr:1_{3AA97E7D-D4B1-4D48-B112-491D6E107E23}" xr6:coauthVersionLast="47" xr6:coauthVersionMax="47" xr10:uidLastSave="{00000000-0000-0000-0000-000000000000}"/>
  <bookViews>
    <workbookView xWindow="500" yWindow="1080" windowWidth="30240" windowHeight="1888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8" i="6" l="1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C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W20" i="2"/>
  <c r="EV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HG38" i="2"/>
  <c r="EA38" i="2"/>
  <c r="HH38" i="2"/>
  <c r="EX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EB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W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G140" i="2"/>
  <c r="EC140" i="2"/>
  <c r="FS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FS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B154" i="2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HH155" i="2"/>
  <c r="EA155" i="2"/>
  <c r="EW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HH156" i="2"/>
  <c r="FS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ED172" i="2" s="1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HH185" i="2"/>
  <c r="HG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R186" i="2"/>
  <c r="EW186" i="2"/>
  <c r="EA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B189" i="2" l="1"/>
  <c r="EV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HH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HH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Q193" i="2"/>
  <c r="EA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HH197" i="2"/>
  <c r="AA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EW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/>
  <c r="DI200" i="2" l="1"/>
  <c r="FS201" i="2"/>
  <c r="EB201" i="2"/>
  <c r="HG201" i="2"/>
  <c r="HH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W202" i="2" l="1"/>
  <c r="HH202" i="2"/>
  <c r="FR202" i="2"/>
  <c r="HG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164" i="2" a="1"/>
  <c r="BC164" i="2" s="1"/>
  <c r="BC31" i="2" a="1"/>
  <c r="BC31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192" i="2" l="1" a="1"/>
  <c r="BC192" i="2" s="1"/>
  <c r="BC55" i="2" a="1"/>
  <c r="BC55" i="2" s="1"/>
  <c r="CS116" i="2" a="1"/>
  <c r="CS116" i="2" s="1"/>
  <c r="CS129" i="2" a="1"/>
  <c r="CS129" i="2" s="1"/>
  <c r="CS161" i="2" a="1"/>
  <c r="CS161" i="2" s="1"/>
  <c r="CS77" i="2" a="1"/>
  <c r="CS77" i="2" s="1"/>
  <c r="CS66" i="2" a="1"/>
  <c r="CS66" i="2" s="1"/>
  <c r="CS114" i="2" a="1"/>
  <c r="CS114" i="2" s="1"/>
  <c r="CS56" i="2" a="1"/>
  <c r="CS56" i="2" s="1"/>
  <c r="BX107" i="2" a="1"/>
  <c r="BX107" i="2" s="1"/>
  <c r="BC68" i="2" a="1"/>
  <c r="BC68" i="2" s="1"/>
  <c r="BC58" i="2" a="1"/>
  <c r="BC58" i="2" s="1"/>
  <c r="BC185" i="2" a="1"/>
  <c r="BC185" i="2" s="1"/>
  <c r="BC143" i="2" a="1"/>
  <c r="BC143" i="2" s="1"/>
  <c r="BC84" i="2" a="1"/>
  <c r="BC84" i="2" s="1"/>
  <c r="BC32" i="2" a="1"/>
  <c r="BC32" i="2" s="1"/>
  <c r="BP203" i="2"/>
  <c r="BC34" i="2" a="1"/>
  <c r="BC34" i="2" s="1"/>
  <c r="BC181" i="2" a="1"/>
  <c r="BC181" i="2" s="1"/>
  <c r="BC65" i="2" a="1"/>
  <c r="BC65" i="2" s="1"/>
  <c r="BC114" i="2" a="1"/>
  <c r="BC114" i="2" s="1"/>
  <c r="BC126" i="2" a="1"/>
  <c r="BC126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151" i="2" a="1"/>
  <c r="AH151" i="2" s="1"/>
  <c r="AH92" i="2" a="1"/>
  <c r="AH92" i="2" s="1"/>
  <c r="AH90" i="2" a="1"/>
  <c r="AH90" i="2" s="1"/>
  <c r="DN56" i="2" a="1"/>
  <c r="DN56" i="2" s="1"/>
  <c r="DN155" i="2" a="1"/>
  <c r="DN155" i="2" s="1"/>
  <c r="FS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CY24" i="2" l="1"/>
  <c r="CY80" i="2"/>
  <c r="CY60" i="2"/>
  <c r="CY155" i="2"/>
  <c r="CY13" i="2"/>
  <c r="CY128" i="2"/>
  <c r="CY156" i="2"/>
  <c r="CY40" i="2"/>
  <c r="CY191" i="2"/>
  <c r="CY117" i="2"/>
  <c r="CY27" i="2"/>
  <c r="CY188" i="2"/>
  <c r="CY84" i="2"/>
  <c r="CY52" i="2"/>
  <c r="CY146" i="2"/>
  <c r="CY29" i="2"/>
  <c r="CY93" i="2"/>
  <c r="CY151" i="2"/>
  <c r="CY10" i="2"/>
  <c r="CY76" i="2"/>
  <c r="CY91" i="2"/>
  <c r="CY31" i="2"/>
  <c r="CY167" i="2"/>
  <c r="CY129" i="2"/>
  <c r="CY184" i="2"/>
  <c r="CY17" i="2"/>
  <c r="CY121" i="2"/>
  <c r="CY101" i="2"/>
  <c r="CY99" i="2"/>
  <c r="CY28" i="2"/>
  <c r="CY47" i="2"/>
  <c r="CY20" i="2"/>
  <c r="CY198" i="2"/>
  <c r="CY131" i="2"/>
  <c r="CY195" i="2"/>
  <c r="CY105" i="2"/>
  <c r="CY65" i="2"/>
  <c r="CY106" i="2"/>
  <c r="CY120" i="2"/>
  <c r="CY70" i="2"/>
  <c r="CY86" i="2"/>
  <c r="CY54" i="2"/>
  <c r="CY48" i="2"/>
  <c r="CY133" i="2"/>
  <c r="CY200" i="2"/>
  <c r="CY66" i="2"/>
  <c r="CY186" i="2"/>
  <c r="CY110" i="2"/>
  <c r="CY38" i="2"/>
  <c r="CY7" i="2"/>
  <c r="CY75" i="2"/>
  <c r="CY160" i="2"/>
  <c r="CY92" i="2"/>
  <c r="CY78" i="2"/>
  <c r="CY137" i="2"/>
  <c r="CY4" i="2"/>
  <c r="CY136" i="2"/>
  <c r="CY41" i="2"/>
  <c r="CY3" i="2"/>
  <c r="C10" i="4" s="1"/>
  <c r="E10" i="4" s="1"/>
  <c r="F10" i="4" s="1"/>
  <c r="G10" i="4" s="1"/>
  <c r="L10" i="4" s="1"/>
  <c r="CY187" i="2"/>
  <c r="CY148" i="2"/>
  <c r="CY157" i="2"/>
  <c r="CY9" i="2"/>
  <c r="CY179" i="2"/>
  <c r="CY164" i="2"/>
  <c r="CY152" i="2"/>
  <c r="CY74" i="2"/>
  <c r="CY19" i="2"/>
  <c r="CY178" i="2"/>
  <c r="CY127" i="2"/>
  <c r="CY64" i="2"/>
  <c r="CY25" i="2"/>
  <c r="CY140" i="2"/>
  <c r="CY87" i="2"/>
  <c r="CY26" i="2"/>
  <c r="CY77" i="2"/>
  <c r="CY8" i="2"/>
  <c r="CY181" i="2"/>
  <c r="CY61" i="2"/>
  <c r="CY89" i="2"/>
  <c r="CY72" i="2"/>
  <c r="CY44" i="2"/>
  <c r="CY118" i="2"/>
  <c r="CY113" i="2"/>
  <c r="CY192" i="2"/>
  <c r="CY159" i="2"/>
  <c r="CY57" i="2"/>
  <c r="CY56" i="2"/>
  <c r="CY158" i="2"/>
  <c r="CY67" i="2"/>
  <c r="CY5" i="2"/>
  <c r="CY196" i="2"/>
  <c r="CY197" i="2"/>
  <c r="CY173" i="2"/>
  <c r="CY149" i="2"/>
  <c r="CY174" i="2"/>
  <c r="CY50" i="2"/>
  <c r="CY171" i="2"/>
  <c r="CY32" i="2"/>
  <c r="CY147" i="2"/>
  <c r="CY116" i="2"/>
  <c r="CY170" i="2"/>
  <c r="CY114" i="2"/>
  <c r="CY126" i="2"/>
  <c r="CY143" i="2"/>
  <c r="CY124" i="2"/>
  <c r="CY55" i="2"/>
  <c r="CY144" i="2"/>
  <c r="CY49" i="2"/>
  <c r="CY103" i="2"/>
  <c r="CY182" i="2"/>
  <c r="CY45" i="2"/>
  <c r="CY22" i="2"/>
  <c r="CY34" i="2"/>
  <c r="CY102" i="2"/>
  <c r="CY119" i="2"/>
  <c r="CY177" i="2"/>
  <c r="CY62" i="2"/>
  <c r="CY51" i="2"/>
  <c r="CY81" i="2"/>
  <c r="CY97" i="2"/>
  <c r="CY194" i="2"/>
  <c r="CY145" i="2"/>
  <c r="CY30" i="2"/>
  <c r="CY190" i="2"/>
  <c r="CY33" i="2"/>
  <c r="CY172" i="2"/>
  <c r="CY83" i="2"/>
  <c r="CY82" i="2"/>
  <c r="CY202" i="2"/>
  <c r="CY183" i="2"/>
  <c r="CY111" i="2"/>
  <c r="CY85" i="2"/>
  <c r="CY43" i="2"/>
  <c r="CY193" i="2"/>
  <c r="CY15" i="2"/>
  <c r="CY176" i="2"/>
  <c r="CY168" i="2"/>
  <c r="CY58" i="2"/>
  <c r="CY175" i="2"/>
  <c r="CY36" i="2"/>
  <c r="CY142" i="2"/>
  <c r="CY100" i="2"/>
  <c r="CY79" i="2"/>
  <c r="CY150" i="2"/>
  <c r="CY14" i="2"/>
  <c r="CY21" i="2"/>
  <c r="CY59" i="2"/>
  <c r="CY53" i="2"/>
  <c r="CY162" i="2"/>
  <c r="CY73" i="2"/>
  <c r="CY161" i="2"/>
  <c r="CY109" i="2"/>
  <c r="CY63" i="2"/>
  <c r="CY123" i="2"/>
  <c r="CY201" i="2"/>
  <c r="CY130" i="2"/>
  <c r="CY12" i="2"/>
  <c r="CY90" i="2"/>
  <c r="CY180" i="2"/>
  <c r="CY165" i="2"/>
  <c r="CY154" i="2"/>
  <c r="CY95" i="2"/>
  <c r="CY139" i="2"/>
  <c r="CY132" i="2"/>
  <c r="CY16" i="2"/>
  <c r="CY23" i="2"/>
  <c r="CY98" i="2"/>
  <c r="CY104" i="2"/>
  <c r="CY71" i="2"/>
  <c r="CY166" i="2"/>
  <c r="CY125" i="2"/>
  <c r="CY185" i="2"/>
  <c r="CY68" i="2"/>
  <c r="CY122" i="2"/>
  <c r="CY141" i="2"/>
  <c r="CY112" i="2"/>
  <c r="CY35" i="2"/>
  <c r="CY199" i="2"/>
  <c r="CY115" i="2"/>
  <c r="CY108" i="2"/>
  <c r="CY134" i="2"/>
  <c r="CY88" i="2"/>
  <c r="CY107" i="2"/>
  <c r="CY189" i="2"/>
  <c r="CY37" i="2"/>
  <c r="CY6" i="2"/>
  <c r="CY18" i="2"/>
  <c r="CY94" i="2"/>
  <c r="CY163" i="2"/>
  <c r="CY203" i="2"/>
  <c r="CY153" i="2"/>
  <c r="CY69" i="2"/>
  <c r="CY138" i="2"/>
  <c r="CY39" i="2"/>
  <c r="CY46" i="2"/>
  <c r="CY42" i="2"/>
  <c r="CY169" i="2"/>
  <c r="CY96" i="2"/>
  <c r="CY11" i="2"/>
  <c r="CY135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I6" i="2" l="1"/>
  <c r="BI139" i="2"/>
  <c r="BI144" i="2"/>
  <c r="BI9" i="2"/>
  <c r="BI112" i="2"/>
  <c r="BI32" i="2"/>
  <c r="BI149" i="2"/>
  <c r="BI196" i="2"/>
  <c r="BI158" i="2"/>
  <c r="BI188" i="2"/>
  <c r="BI20" i="2"/>
  <c r="BI162" i="2"/>
  <c r="BI39" i="2"/>
  <c r="BI186" i="2"/>
  <c r="BI68" i="2"/>
  <c r="BI129" i="2"/>
  <c r="BI96" i="2"/>
  <c r="BI161" i="2"/>
  <c r="BI11" i="2"/>
  <c r="BI134" i="2"/>
  <c r="BI15" i="2"/>
  <c r="BI72" i="2"/>
  <c r="BI102" i="2"/>
  <c r="BI8" i="2"/>
  <c r="BI5" i="2"/>
  <c r="BI107" i="2"/>
  <c r="BI174" i="2"/>
  <c r="BI29" i="2"/>
  <c r="BI100" i="2"/>
  <c r="BI169" i="2"/>
  <c r="BI74" i="2"/>
  <c r="BI133" i="2"/>
  <c r="BI47" i="2"/>
  <c r="BI127" i="2"/>
  <c r="BI83" i="2"/>
  <c r="BI51" i="2"/>
  <c r="BI150" i="2"/>
  <c r="BI84" i="2"/>
  <c r="BI187" i="2"/>
  <c r="BI195" i="2"/>
  <c r="BI135" i="2"/>
  <c r="BI203" i="2"/>
  <c r="BI97" i="2"/>
  <c r="BI35" i="2"/>
  <c r="BI89" i="2"/>
  <c r="BI40" i="2"/>
  <c r="BI36" i="2"/>
  <c r="BI170" i="2"/>
  <c r="BI126" i="2"/>
  <c r="BI55" i="2"/>
  <c r="BI143" i="2"/>
  <c r="BI82" i="2"/>
  <c r="BI85" i="2"/>
  <c r="BI118" i="2"/>
  <c r="BI23" i="2"/>
  <c r="BI116" i="2"/>
  <c r="BI109" i="2"/>
  <c r="BI145" i="2"/>
  <c r="BI98" i="2"/>
  <c r="BI7" i="2"/>
  <c r="BI94" i="2"/>
  <c r="BI41" i="2"/>
  <c r="BI160" i="2"/>
  <c r="BI130" i="2"/>
  <c r="BI173" i="2"/>
  <c r="BI177" i="2"/>
  <c r="BI30" i="2"/>
  <c r="BI172" i="2"/>
  <c r="BI199" i="2"/>
  <c r="BI61" i="2"/>
  <c r="BI76" i="2"/>
  <c r="BI146" i="2"/>
  <c r="BI180" i="2"/>
  <c r="BI38" i="2"/>
  <c r="BI192" i="2"/>
  <c r="BI138" i="2"/>
  <c r="BI88" i="2"/>
  <c r="BI67" i="2"/>
  <c r="BI101" i="2"/>
  <c r="BI18" i="2"/>
  <c r="BI45" i="2"/>
  <c r="BI121" i="2"/>
  <c r="BI190" i="2"/>
  <c r="BI175" i="2"/>
  <c r="BI189" i="2"/>
  <c r="BI157" i="2"/>
  <c r="BI181" i="2"/>
  <c r="BI44" i="2"/>
  <c r="BI4" i="2"/>
  <c r="BI165" i="2"/>
  <c r="BI22" i="2"/>
  <c r="BI152" i="2"/>
  <c r="BI86" i="2"/>
  <c r="BI53" i="2"/>
  <c r="BI176" i="2"/>
  <c r="BI191" i="2"/>
  <c r="BI202" i="2"/>
  <c r="BI182" i="2"/>
  <c r="BI99" i="2"/>
  <c r="BI117" i="2"/>
  <c r="BI87" i="2"/>
  <c r="BI193" i="2"/>
  <c r="BI105" i="2"/>
  <c r="BI42" i="2"/>
  <c r="BI140" i="2"/>
  <c r="BI14" i="2"/>
  <c r="BI54" i="2"/>
  <c r="BI17" i="2"/>
  <c r="BI81" i="2"/>
  <c r="BI70" i="2"/>
  <c r="BI128" i="2"/>
  <c r="BI137" i="2"/>
  <c r="BI60" i="2"/>
  <c r="BI78" i="2"/>
  <c r="BI147" i="2"/>
  <c r="BI59" i="2"/>
  <c r="BI34" i="2"/>
  <c r="BI103" i="2"/>
  <c r="BI62" i="2"/>
  <c r="BI80" i="2"/>
  <c r="BI194" i="2"/>
  <c r="BI93" i="2"/>
  <c r="BI19" i="2"/>
  <c r="BI171" i="2"/>
  <c r="BI115" i="2"/>
  <c r="BI167" i="2"/>
  <c r="BI164" i="2"/>
  <c r="BI111" i="2"/>
  <c r="BI24" i="2"/>
  <c r="BI56" i="2"/>
  <c r="BI113" i="2"/>
  <c r="BI43" i="2"/>
  <c r="BI141" i="2"/>
  <c r="BI168" i="2"/>
  <c r="BI28" i="2"/>
  <c r="BI148" i="2"/>
  <c r="BI151" i="2"/>
  <c r="BI183" i="2"/>
  <c r="BI48" i="2"/>
  <c r="BI65" i="2"/>
  <c r="BI110" i="2"/>
  <c r="BI16" i="2"/>
  <c r="BI64" i="2"/>
  <c r="BI123" i="2"/>
  <c r="BI166" i="2"/>
  <c r="BI108" i="2"/>
  <c r="BI159" i="2"/>
  <c r="BI156" i="2"/>
  <c r="BI131" i="2"/>
  <c r="BI163" i="2"/>
  <c r="BI92" i="2"/>
  <c r="BI10" i="2"/>
  <c r="BI63" i="2"/>
  <c r="BI124" i="2"/>
  <c r="BI31" i="2"/>
  <c r="BI136" i="2"/>
  <c r="BI33" i="2"/>
  <c r="BI57" i="2"/>
  <c r="BI27" i="2"/>
  <c r="BI90" i="2"/>
  <c r="BI66" i="2"/>
  <c r="BI12" i="2"/>
  <c r="BI25" i="2"/>
  <c r="BI125" i="2"/>
  <c r="BI50" i="2"/>
  <c r="BI75" i="2"/>
  <c r="BI73" i="2"/>
  <c r="BI198" i="2"/>
  <c r="BI119" i="2"/>
  <c r="BI132" i="2"/>
  <c r="BI95" i="2"/>
  <c r="BI21" i="2"/>
  <c r="BI153" i="2"/>
  <c r="BI26" i="2"/>
  <c r="BI154" i="2"/>
  <c r="BI69" i="2"/>
  <c r="BI58" i="2"/>
  <c r="BI201" i="2"/>
  <c r="BI79" i="2"/>
  <c r="BI104" i="2"/>
  <c r="BI178" i="2"/>
  <c r="BI91" i="2"/>
  <c r="BI142" i="2"/>
  <c r="BI77" i="2"/>
  <c r="BI46" i="2"/>
  <c r="BI3" i="2"/>
  <c r="C8" i="4" s="1"/>
  <c r="E8" i="4" s="1"/>
  <c r="F8" i="4" s="1"/>
  <c r="G8" i="4" s="1"/>
  <c r="L8" i="4" s="1"/>
  <c r="BI49" i="2"/>
  <c r="BI200" i="2"/>
  <c r="BI37" i="2"/>
  <c r="BI114" i="2"/>
  <c r="BI13" i="2"/>
  <c r="BI197" i="2"/>
  <c r="BI106" i="2"/>
  <c r="BI120" i="2"/>
  <c r="BI179" i="2"/>
  <c r="BI184" i="2"/>
  <c r="BI52" i="2"/>
  <c r="BI71" i="2"/>
  <c r="BI155" i="2"/>
  <c r="BI185" i="2"/>
  <c r="BI122" i="2"/>
  <c r="BF134" i="2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<sst xmlns="http://schemas.openxmlformats.org/spreadsheetml/2006/main" count="1179" uniqueCount="329">
  <si>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</si>
  <si>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</si>
  <si>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</si>
  <si>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</si>
  <si>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</si>
  <si>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</si>
  <si>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</si>
  <si>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</si>
  <si>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</si>
  <si>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</si>
  <si>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</si>
  <si>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</si>
  <si>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</si>
  <si>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</si>
  <si>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</si>
  <si>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</si>
  <si>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</si>
  <si>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</si>
  <si>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</si>
  <si>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</si>
  <si>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</si>
  <si>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</si>
  <si>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</si>
  <si>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</si>
  <si>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</si>
  <si>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</si>
  <si>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</si>
  <si>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</si>
  <si>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</si>
  <si>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</si>
  <si>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</si>
  <si>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</si>
  <si>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</si>
  <si>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</si>
  <si>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</si>
  <si>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</si>
  <si>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</si>
  <si>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</si>
  <si>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</si>
  <si>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</si>
  <si>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</si>
  <si>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</si>
  <si>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</si>
  <si>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</si>
  <si>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</si>
  <si>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</si>
  <si>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</si>
  <si>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</si>
  <si>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</si>
  <si>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</si>
  <si>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</si>
  <si>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</si>
  <si>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</si>
  <si>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</si>
  <si>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</si>
  <si>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</si>
  <si>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</si>
  <si>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</si>
  <si>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</si>
  <si>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</si>
  <si>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</si>
  <si>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</si>
  <si>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</si>
  <si>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</si>
  <si>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</si>
  <si>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</si>
  <si>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</si>
  <si>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</si>
  <si>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</si>
  <si>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</si>
  <si>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</si>
  <si>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</si>
  <si>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</si>
  <si>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</si>
  <si>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</si>
  <si>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</si>
  <si>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</si>
  <si>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</si>
  <si>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</si>
  <si>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</si>
  <si>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</si>
  <si>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</si>
  <si>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</si>
  <si>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</si>
  <si>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</si>
  <si>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</si>
  <si>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</si>
  <si>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</si>
  <si>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</si>
  <si>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</si>
  <si>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</si>
  <si>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</si>
  <si>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</si>
  <si>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</si>
  <si>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</si>
  <si>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</si>
  <si>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</si>
  <si>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</si>
  <si>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</si>
  <si>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</si>
  <si>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</si>
  <si>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</si>
  <si>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</si>
  <si>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</si>
  <si>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</si>
  <si>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</si>
  <si>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</si>
  <si>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</si>
  <si>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</si>
  <si>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</si>
  <si>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</si>
  <si>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</si>
  <si>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</si>
  <si>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</si>
  <si>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</si>
  <si>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</si>
  <si>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</si>
  <si>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</si>
  <si>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</si>
  <si>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</si>
  <si>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</si>
  <si>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</si>
  <si>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</si>
  <si>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</si>
  <si>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</si>
  <si>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</si>
  <si>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</si>
  <si>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</si>
  <si>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</si>
  <si>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</si>
  <si>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</si>
  <si>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</si>
  <si>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</si>
  <si>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</si>
  <si>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</si>
  <si>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</si>
  <si>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</si>
  <si>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</si>
  <si>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</si>
  <si>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</si>
  <si>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</si>
  <si>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</si>
  <si>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</si>
  <si>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</si>
  <si>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</si>
  <si>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</si>
  <si>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</si>
  <si>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</si>
  <si>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</si>
  <si>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</si>
  <si>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</si>
  <si>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</si>
  <si>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</si>
  <si>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</si>
  <si>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</si>
  <si>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</si>
  <si>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</si>
  <si>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</si>
  <si>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</si>
  <si>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</si>
  <si>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</si>
  <si>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</si>
  <si>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</si>
  <si>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</si>
  <si>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</si>
  <si>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</si>
  <si>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</si>
  <si>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</si>
  <si>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</si>
  <si>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</si>
  <si>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</si>
  <si>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</si>
  <si>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</si>
  <si>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</si>
  <si>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</si>
  <si>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</si>
  <si>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</si>
  <si>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</si>
  <si>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</si>
  <si>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</si>
  <si>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</si>
  <si>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</si>
  <si>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</si>
  <si>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</si>
  <si>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</si>
  <si>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</si>
  <si>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</si>
  <si>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</si>
  <si>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</si>
  <si>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</si>
  <si>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</si>
  <si>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</si>
  <si>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</si>
  <si>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</si>
  <si>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</si>
  <si>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</si>
  <si>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</si>
  <si>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</si>
  <si>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</si>
  <si>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</si>
  <si>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</si>
  <si>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</si>
  <si>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</si>
  <si>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</si>
  <si>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</si>
  <si>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</si>
  <si>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</si>
  <si>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</si>
  <si>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</si>
  <si>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</si>
  <si>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</si>
  <si>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</si>
  <si>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</si>
  <si>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</si>
  <si>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</si>
  <si>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</si>
  <si>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</si>
  <si>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</si>
  <si>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</si>
  <si>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</si>
  <si>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</si>
  <si>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</si>
  <si>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</si>
  <si>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</si>
  <si>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</si>
  <si>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</si>
  <si>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</si>
  <si>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</si>
  <si>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</si>
  <si>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</si>
  <si>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</si>
  <si>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</si>
  <si>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</si>
  <si>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</si>
  <si>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</si>
  <si>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</si>
  <si>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</si>
  <si>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</si>
  <si>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</si>
  <si>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</si>
  <si>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</si>
  <si>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</si>
  <si>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</si>
  <si>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</si>
  <si>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</si>
  <si>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</si>
  <si>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</si>
  <si>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</si>
  <si>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</si>
  <si>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</si>
  <si>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</si>
  <si>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</si>
  <si>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</si>
  <si>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</si>
  <si>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</si>
  <si>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</si>
  <si>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</si>
  <si>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</si>
  <si>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</si>
  <si>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</si>
  <si>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</si>
  <si>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</si>
  <si>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</si>
  <si>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</si>
  <si>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</si>
  <si>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</si>
  <si>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</si>
  <si>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</si>
  <si>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</si>
  <si>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</si>
  <si>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</si>
  <si>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</si>
  <si>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</si>
  <si>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</si>
  <si>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</si>
  <si>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</si>
  <si>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</si>
  <si>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</si>
  <si>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</si>
  <si>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</si>
  <si>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</si>
  <si>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</si>
  <si>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</si>
  <si>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</si>
  <si>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</si>
  <si>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</si>
  <si>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</si>
  <si>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</si>
  <si>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</si>
  <si>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</si>
  <si>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</si>
  <si>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</si>
  <si>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</si>
  <si>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</si>
  <si>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</si>
  <si>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</si>
  <si>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</si>
  <si>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</si>
  <si>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</si>
  <si>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</si>
  <si>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</si>
  <si>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</si>
  <si>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</si>
  <si>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</si>
  <si>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</si>
  <si>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</si>
  <si>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</si>
  <si>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</si>
  <si>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</si>
  <si>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</si>
  <si>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</si>
  <si>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</si>
  <si>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</si>
  <si>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</si>
  <si>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</si>
  <si>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</si>
  <si>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</si>
  <si>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</si>
  <si>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</si>
  <si>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</si>
  <si>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</si>
  <si>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</si>
  <si>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</si>
  <si>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</si>
  <si>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CHENE SESSILE LOIRE ONF 2022 CLASSE 2 MOYENNE</t>
  </si>
  <si>
    <t>CEDRE NATIONAL ONF 2022 CLASSE 3 MOYENNE</t>
  </si>
  <si>
    <t>CHENE ROUGE HOL 1996 CLASSE 8 FORTE</t>
  </si>
  <si>
    <t>PIN LARICIO CENTRE NORD OUEST ONF 2022 CLASSE 1 FORTE</t>
  </si>
  <si>
    <t>CHARME ALLEMAGNE 2009 CLASSE 4 FORTE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</si>
</sst>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2.8745217508420016</c:v>
                </c:pt>
                <c:pt idx="2">
                  <c:v>3.4068657681992938</c:v>
                </c:pt>
                <c:pt idx="3">
                  <c:v>4.0381589112070619</c:v>
                </c:pt>
                <c:pt idx="4">
                  <c:v>4.7868568329917327</c:v>
                </c:pt>
                <c:pt idx="5">
                  <c:v>5.6748685780787644</c:v>
                </c:pt>
                <c:pt idx="6">
                  <c:v>6.7282047096905346</c:v>
                </c:pt>
                <c:pt idx="7">
                  <c:v>7.977747412439534</c:v>
                </c:pt>
                <c:pt idx="8">
                  <c:v>9.46016558391233</c:v>
                </c:pt>
                <c:pt idx="9">
                  <c:v>11.219002280705888</c:v>
                </c:pt>
                <c:pt idx="10">
                  <c:v>13.305967061288117</c:v>
                </c:pt>
                <c:pt idx="11">
                  <c:v>15.782471926199797</c:v>
                </c:pt>
                <c:pt idx="12">
                  <c:v>18.721456881968866</c:v>
                </c:pt>
                <c:pt idx="13">
                  <c:v>22.209559870498705</c:v>
                </c:pt>
                <c:pt idx="14">
                  <c:v>26.349696174658593</c:v>
                </c:pt>
                <c:pt idx="15">
                  <c:v>31.264124747640277</c:v>
                </c:pt>
                <c:pt idx="16">
                  <c:v>37.098093592475649</c:v>
                </c:pt>
                <c:pt idx="17">
                  <c:v>44.024173784303287</c:v>
                </c:pt>
                <c:pt idx="18">
                  <c:v>52.247412511718153</c:v>
                </c:pt>
                <c:pt idx="19">
                  <c:v>62.011460246030794</c:v>
                </c:pt>
                <c:pt idx="20">
                  <c:v>73.605856579967607</c:v>
                </c:pt>
                <c:pt idx="21">
                  <c:v>87.374694304940405</c:v>
                </c:pt>
                <c:pt idx="22">
                  <c:v>103.72692298373788</c:v>
                </c:pt>
                <c:pt idx="23">
                  <c:v>123.14860289167234</c:v>
                </c:pt>
                <c:pt idx="24">
                  <c:v>146.21747925406896</c:v>
                </c:pt>
                <c:pt idx="25">
                  <c:v>173.62031699977572</c:v>
                </c:pt>
                <c:pt idx="26">
                  <c:v>181.87091401836071</c:v>
                </c:pt>
                <c:pt idx="27">
                  <c:v>212.73607093912582</c:v>
                </c:pt>
                <c:pt idx="28">
                  <c:v>243.49791694752579</c:v>
                </c:pt>
                <c:pt idx="29">
                  <c:v>274.17134356368149</c:v>
                </c:pt>
                <c:pt idx="30">
                  <c:v>304.76763100544377</c:v>
                </c:pt>
                <c:pt idx="31">
                  <c:v>290.09043438800069</c:v>
                </c:pt>
                <c:pt idx="32">
                  <c:v>314.13644855888288</c:v>
                </c:pt>
                <c:pt idx="33">
                  <c:v>338.14166327303161</c:v>
                </c:pt>
                <c:pt idx="34">
                  <c:v>362.10938015631012</c:v>
                </c:pt>
                <c:pt idx="35">
                  <c:v>386.04242822867786</c:v>
                </c:pt>
                <c:pt idx="36">
                  <c:v>359.26761671038668</c:v>
                </c:pt>
                <c:pt idx="37">
                  <c:v>381.17737444442355</c:v>
                </c:pt>
                <c:pt idx="38">
                  <c:v>403.05975148729209</c:v>
                </c:pt>
                <c:pt idx="39">
                  <c:v>424.91644236173062</c:v>
                </c:pt>
                <c:pt idx="40">
                  <c:v>446.74895314532608</c:v>
                </c:pt>
                <c:pt idx="41">
                  <c:v>411.1577331667466</c:v>
                </c:pt>
                <c:pt idx="42">
                  <c:v>430.17457368980803</c:v>
                </c:pt>
                <c:pt idx="43">
                  <c:v>449.17335497371801</c:v>
                </c:pt>
                <c:pt idx="44">
                  <c:v>468.1549479232915</c:v>
                </c:pt>
                <c:pt idx="45">
                  <c:v>487.12014710011567</c:v>
                </c:pt>
                <c:pt idx="46">
                  <c:v>445.53664668300252</c:v>
                </c:pt>
                <c:pt idx="47">
                  <c:v>464.52146730282021</c:v>
                </c:pt>
                <c:pt idx="48">
                  <c:v>483.48974744521917</c:v>
                </c:pt>
                <c:pt idx="49">
                  <c:v>502.44222694105275</c:v>
                </c:pt>
                <c:pt idx="50">
                  <c:v>521.37958529087598</c:v>
                </c:pt>
                <c:pt idx="51">
                  <c:v>476.2272055134643</c:v>
                </c:pt>
                <c:pt idx="52">
                  <c:v>493.57277607855121</c:v>
                </c:pt>
                <c:pt idx="53">
                  <c:v>510.90543009043859</c:v>
                </c:pt>
                <c:pt idx="54">
                  <c:v>528.22566719687347</c:v>
                </c:pt>
                <c:pt idx="55">
                  <c:v>545.53395162610957</c:v>
                </c:pt>
                <c:pt idx="56">
                  <c:v>498.00791974705635</c:v>
                </c:pt>
                <c:pt idx="57">
                  <c:v>514.93448269445719</c:v>
                </c:pt>
                <c:pt idx="58">
                  <c:v>531.84930555696326</c:v>
                </c:pt>
                <c:pt idx="59">
                  <c:v>548.75281407770046</c:v>
                </c:pt>
                <c:pt idx="60">
                  <c:v>565.64540564761023</c:v>
                </c:pt>
                <c:pt idx="61">
                  <c:v>517.75442325269739</c:v>
                </c:pt>
                <c:pt idx="62">
                  <c:v>534.2647756409882</c:v>
                </c:pt>
                <c:pt idx="63">
                  <c:v>550.7644018454572</c:v>
                </c:pt>
                <c:pt idx="64">
                  <c:v>567.25366826689606</c:v>
                </c:pt>
                <c:pt idx="65">
                  <c:v>583.73291828020945</c:v>
                </c:pt>
                <c:pt idx="66">
                  <c:v>534.66733162768435</c:v>
                </c:pt>
                <c:pt idx="67">
                  <c:v>549.95978525961118</c:v>
                </c:pt>
                <c:pt idx="68">
                  <c:v>565.24332506261237</c:v>
                </c:pt>
                <c:pt idx="69">
                  <c:v>580.51822588576954</c:v>
                </c:pt>
                <c:pt idx="70">
                  <c:v>595.78474694239355</c:v>
                </c:pt>
                <c:pt idx="71">
                  <c:v>546.74107162107373</c:v>
                </c:pt>
                <c:pt idx="72">
                  <c:v>562.02646462929295</c:v>
                </c:pt>
                <c:pt idx="73">
                  <c:v>577.30316213956019</c:v>
                </c:pt>
                <c:pt idx="74">
                  <c:v>592.57142654607617</c:v>
                </c:pt>
                <c:pt idx="75">
                  <c:v>607.83150562611183</c:v>
                </c:pt>
                <c:pt idx="76">
                  <c:v>558.00484690701285</c:v>
                </c:pt>
                <c:pt idx="77">
                  <c:v>572.47986505863321</c:v>
                </c:pt>
                <c:pt idx="78">
                  <c:v>586.94724165778564</c:v>
                </c:pt>
                <c:pt idx="79">
                  <c:v>601.40719150322104</c:v>
                </c:pt>
                <c:pt idx="80">
                  <c:v>615.85991822759172</c:v>
                </c:pt>
                <c:pt idx="81">
                  <c:v>566.04748025569222</c:v>
                </c:pt>
                <c:pt idx="82">
                  <c:v>580.51822588576954</c:v>
                </c:pt>
                <c:pt idx="83">
                  <c:v>594.98145072732621</c:v>
                </c:pt>
                <c:pt idx="84">
                  <c:v>609.43736326756527</c:v>
                </c:pt>
                <c:pt idx="85">
                  <c:v>623.88616130163632</c:v>
                </c:pt>
                <c:pt idx="86">
                  <c:v>575.29355767229924</c:v>
                </c:pt>
                <c:pt idx="87">
                  <c:v>588.95600740371719</c:v>
                </c:pt>
                <c:pt idx="88">
                  <c:v>602.6118585478207</c:v>
                </c:pt>
                <c:pt idx="89">
                  <c:v>616.26128163921362</c:v>
                </c:pt>
                <c:pt idx="90">
                  <c:v>629.90443904577739</c:v>
                </c:pt>
                <c:pt idx="91">
                  <c:v>581.32193370692335</c:v>
                </c:pt>
                <c:pt idx="92">
                  <c:v>594.98145072732643</c:v>
                </c:pt>
                <c:pt idx="93">
                  <c:v>608.63444544128708</c:v>
                </c:pt>
                <c:pt idx="94">
                  <c:v>622.28108470755797</c:v>
                </c:pt>
                <c:pt idx="95">
                  <c:v>635.92152747320358</c:v>
                </c:pt>
                <c:pt idx="96">
                  <c:v>588.55426568732651</c:v>
                </c:pt>
                <c:pt idx="97">
                  <c:v>601.40719150322104</c:v>
                </c:pt>
                <c:pt idx="98">
                  <c:v>614.25441030438799</c:v>
                </c:pt>
                <c:pt idx="99">
                  <c:v>627.09605822700246</c:v>
                </c:pt>
                <c:pt idx="100">
                  <c:v>639.93226537936891</c:v>
                </c:pt>
                <c:pt idx="101">
                  <c:v>594.17813194616622</c:v>
                </c:pt>
                <c:pt idx="102">
                  <c:v>606.62705460156792</c:v>
                </c:pt>
                <c:pt idx="103">
                  <c:v>619.07067399707353</c:v>
                </c:pt>
                <c:pt idx="104">
                  <c:v>631.50911171358302</c:v>
                </c:pt>
                <c:pt idx="105">
                  <c:v>643.94248415395737</c:v>
                </c:pt>
                <c:pt idx="106">
                  <c:v>599.80089073891179</c:v>
                </c:pt>
                <c:pt idx="107">
                  <c:v>611.84598514336176</c:v>
                </c:pt>
                <c:pt idx="108">
                  <c:v>623.88616130163609</c:v>
                </c:pt>
                <c:pt idx="109">
                  <c:v>635.92152747320313</c:v>
                </c:pt>
                <c:pt idx="110">
                  <c:v>647.95218748710658</c:v>
                </c:pt>
                <c:pt idx="111">
                  <c:v>603.41494210376175</c:v>
                </c:pt>
                <c:pt idx="112">
                  <c:v>615.0571751294201</c:v>
                </c:pt>
                <c:pt idx="113">
                  <c:v>626.69483974698073</c:v>
                </c:pt>
                <c:pt idx="114">
                  <c:v>638.32803272102228</c:v>
                </c:pt>
                <c:pt idx="115">
                  <c:v>649.95684700277172</c:v>
                </c:pt>
                <c:pt idx="116">
                  <c:v>607.02854378886298</c:v>
                </c:pt>
                <c:pt idx="117">
                  <c:v>618.26801748386993</c:v>
                </c:pt>
                <c:pt idx="118">
                  <c:v>629.50325767404081</c:v>
                </c:pt>
                <c:pt idx="119">
                  <c:v>640.73435054600907</c:v>
                </c:pt>
                <c:pt idx="120">
                  <c:v>651.96137901954216</c:v>
                </c:pt>
                <c:pt idx="121">
                  <c:v>7.9696537706996534E-12</c:v>
                </c:pt>
                <c:pt idx="122">
                  <c:v>7.9696537706996534E-12</c:v>
                </c:pt>
                <c:pt idx="123">
                  <c:v>7.9696537706996534E-12</c:v>
                </c:pt>
                <c:pt idx="124">
                  <c:v>7.9696537706996534E-12</c:v>
                </c:pt>
                <c:pt idx="125">
                  <c:v>7.9696537706996534E-12</c:v>
                </c:pt>
                <c:pt idx="126">
                  <c:v>7.9696537706996534E-12</c:v>
                </c:pt>
                <c:pt idx="127">
                  <c:v>7.9696537706996534E-12</c:v>
                </c:pt>
                <c:pt idx="128">
                  <c:v>7.9696537706996534E-12</c:v>
                </c:pt>
                <c:pt idx="129">
                  <c:v>7.9696537706996534E-12</c:v>
                </c:pt>
                <c:pt idx="130">
                  <c:v>7.9696537706996534E-12</c:v>
                </c:pt>
                <c:pt idx="131">
                  <c:v>7.9696537706996534E-12</c:v>
                </c:pt>
                <c:pt idx="132">
                  <c:v>7.9696537706996534E-12</c:v>
                </c:pt>
                <c:pt idx="133">
                  <c:v>7.9696537706996534E-12</c:v>
                </c:pt>
                <c:pt idx="134">
                  <c:v>7.9696537706996534E-12</c:v>
                </c:pt>
                <c:pt idx="135">
                  <c:v>7.9696537706996534E-12</c:v>
                </c:pt>
                <c:pt idx="136">
                  <c:v>7.9696537706996534E-12</c:v>
                </c:pt>
                <c:pt idx="137">
                  <c:v>7.9696537706996534E-12</c:v>
                </c:pt>
                <c:pt idx="138">
                  <c:v>7.9696537706996534E-12</c:v>
                </c:pt>
                <c:pt idx="139">
                  <c:v>7.9696537706996534E-12</c:v>
                </c:pt>
                <c:pt idx="140">
                  <c:v>7.9696537706996534E-12</c:v>
                </c:pt>
                <c:pt idx="141">
                  <c:v>7.9696537706996534E-12</c:v>
                </c:pt>
                <c:pt idx="142">
                  <c:v>7.9696537706996534E-12</c:v>
                </c:pt>
                <c:pt idx="143">
                  <c:v>7.9696537706996534E-12</c:v>
                </c:pt>
                <c:pt idx="144">
                  <c:v>7.9696537706996534E-12</c:v>
                </c:pt>
                <c:pt idx="145">
                  <c:v>7.9696537706996534E-12</c:v>
                </c:pt>
                <c:pt idx="146">
                  <c:v>7.9696537706996534E-12</c:v>
                </c:pt>
                <c:pt idx="147">
                  <c:v>7.9696537706996534E-12</c:v>
                </c:pt>
                <c:pt idx="148">
                  <c:v>7.9696537706996534E-12</c:v>
                </c:pt>
                <c:pt idx="149">
                  <c:v>7.9696537706996534E-12</c:v>
                </c:pt>
                <c:pt idx="150">
                  <c:v>7.9696537706996534E-12</c:v>
                </c:pt>
                <c:pt idx="151">
                  <c:v>7.9696537706996534E-12</c:v>
                </c:pt>
                <c:pt idx="152">
                  <c:v>7.9696537706996534E-12</c:v>
                </c:pt>
                <c:pt idx="153">
                  <c:v>7.9696537706996534E-12</c:v>
                </c:pt>
                <c:pt idx="154">
                  <c:v>7.9696537706996534E-12</c:v>
                </c:pt>
                <c:pt idx="155">
                  <c:v>7.9696537706996534E-12</c:v>
                </c:pt>
                <c:pt idx="156">
                  <c:v>7.9696537706996534E-12</c:v>
                </c:pt>
                <c:pt idx="157">
                  <c:v>7.9696537706996534E-12</c:v>
                </c:pt>
                <c:pt idx="158">
                  <c:v>7.9696537706996534E-12</c:v>
                </c:pt>
                <c:pt idx="159">
                  <c:v>7.9696537706996534E-12</c:v>
                </c:pt>
                <c:pt idx="160">
                  <c:v>7.9696537706996534E-12</c:v>
                </c:pt>
                <c:pt idx="161">
                  <c:v>7.9696537706996534E-12</c:v>
                </c:pt>
                <c:pt idx="162">
                  <c:v>7.9696537706996534E-12</c:v>
                </c:pt>
                <c:pt idx="163">
                  <c:v>7.9696537706996534E-12</c:v>
                </c:pt>
                <c:pt idx="164">
                  <c:v>7.9696537706996534E-12</c:v>
                </c:pt>
                <c:pt idx="165">
                  <c:v>7.9696537706996534E-12</c:v>
                </c:pt>
                <c:pt idx="166">
                  <c:v>7.9696537706996534E-12</c:v>
                </c:pt>
                <c:pt idx="167">
                  <c:v>7.9696537706996534E-12</c:v>
                </c:pt>
                <c:pt idx="168">
                  <c:v>7.9696537706996534E-12</c:v>
                </c:pt>
                <c:pt idx="169">
                  <c:v>7.9696537706996534E-12</c:v>
                </c:pt>
                <c:pt idx="170">
                  <c:v>7.9696537706996534E-12</c:v>
                </c:pt>
                <c:pt idx="171">
                  <c:v>7.9696537706996534E-12</c:v>
                </c:pt>
                <c:pt idx="172">
                  <c:v>7.9696537706996534E-12</c:v>
                </c:pt>
                <c:pt idx="173">
                  <c:v>7.9696537706996534E-12</c:v>
                </c:pt>
                <c:pt idx="174">
                  <c:v>7.9696537706996534E-12</c:v>
                </c:pt>
                <c:pt idx="175">
                  <c:v>7.9696537706996534E-12</c:v>
                </c:pt>
                <c:pt idx="176">
                  <c:v>7.9696537706996534E-12</c:v>
                </c:pt>
                <c:pt idx="177">
                  <c:v>7.9696537706996534E-12</c:v>
                </c:pt>
                <c:pt idx="178">
                  <c:v>7.9696537706996534E-12</c:v>
                </c:pt>
                <c:pt idx="179">
                  <c:v>7.9696537706996534E-12</c:v>
                </c:pt>
                <c:pt idx="180">
                  <c:v>7.9696537706996534E-12</c:v>
                </c:pt>
                <c:pt idx="181">
                  <c:v>7.9696537706996534E-12</c:v>
                </c:pt>
                <c:pt idx="182">
                  <c:v>7.9696537706996534E-12</c:v>
                </c:pt>
                <c:pt idx="183">
                  <c:v>7.9696537706996534E-12</c:v>
                </c:pt>
                <c:pt idx="184">
                  <c:v>7.9696537706996534E-12</c:v>
                </c:pt>
                <c:pt idx="185">
                  <c:v>7.9696537706996534E-12</c:v>
                </c:pt>
                <c:pt idx="186">
                  <c:v>7.9696537706996534E-12</c:v>
                </c:pt>
                <c:pt idx="187">
                  <c:v>7.9696537706996534E-12</c:v>
                </c:pt>
                <c:pt idx="188">
                  <c:v>7.9696537706996534E-12</c:v>
                </c:pt>
                <c:pt idx="189">
                  <c:v>7.9696537706996534E-12</c:v>
                </c:pt>
                <c:pt idx="190">
                  <c:v>7.9696537706996534E-12</c:v>
                </c:pt>
                <c:pt idx="191">
                  <c:v>7.9696537706996534E-12</c:v>
                </c:pt>
                <c:pt idx="192">
                  <c:v>7.9696537706996534E-12</c:v>
                </c:pt>
                <c:pt idx="193">
                  <c:v>7.9696537706996534E-12</c:v>
                </c:pt>
                <c:pt idx="194">
                  <c:v>7.9696537706996534E-12</c:v>
                </c:pt>
                <c:pt idx="195">
                  <c:v>7.9696537706996534E-12</c:v>
                </c:pt>
                <c:pt idx="196">
                  <c:v>7.9696537706996534E-12</c:v>
                </c:pt>
                <c:pt idx="197">
                  <c:v>7.9696537706996534E-12</c:v>
                </c:pt>
                <c:pt idx="198">
                  <c:v>7.9696537706996534E-12</c:v>
                </c:pt>
                <c:pt idx="199">
                  <c:v>7.9696537706996534E-12</c:v>
                </c:pt>
                <c:pt idx="200">
                  <c:v>7.9696537706996534E-12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1.9897619947882648</c:v>
                </c:pt>
                <c:pt idx="2">
                  <c:v>2.552996102096587</c:v>
                </c:pt>
                <c:pt idx="3">
                  <c:v>3.2763048074509658</c:v>
                </c:pt>
                <c:pt idx="4">
                  <c:v>4.2053545364457383</c:v>
                </c:pt>
                <c:pt idx="5">
                  <c:v>5.3988855456307512</c:v>
                </c:pt>
                <c:pt idx="6">
                  <c:v>6.9324670734462677</c:v>
                </c:pt>
                <c:pt idx="7">
                  <c:v>8.9033343180521864</c:v>
                </c:pt>
                <c:pt idx="8">
                  <c:v>11.436619765722265</c:v>
                </c:pt>
                <c:pt idx="9">
                  <c:v>14.693381903188557</c:v>
                </c:pt>
                <c:pt idx="10">
                  <c:v>18.880951128950827</c:v>
                </c:pt>
                <c:pt idx="11">
                  <c:v>24.266263373552302</c:v>
                </c:pt>
                <c:pt idx="12">
                  <c:v>31.193046415276033</c:v>
                </c:pt>
                <c:pt idx="13">
                  <c:v>40.10397488031095</c:v>
                </c:pt>
                <c:pt idx="14">
                  <c:v>51.569233906282783</c:v>
                </c:pt>
                <c:pt idx="15">
                  <c:v>66.323349688114789</c:v>
                </c:pt>
                <c:pt idx="16">
                  <c:v>92.52086174225677</c:v>
                </c:pt>
                <c:pt idx="17">
                  <c:v>118.53116912117031</c:v>
                </c:pt>
                <c:pt idx="18">
                  <c:v>144.4015398483165</c:v>
                </c:pt>
                <c:pt idx="19">
                  <c:v>170.16069105127073</c:v>
                </c:pt>
                <c:pt idx="20">
                  <c:v>135.53069857495038</c:v>
                </c:pt>
                <c:pt idx="21">
                  <c:v>161.15012092979916</c:v>
                </c:pt>
                <c:pt idx="22">
                  <c:v>186.67293481199212</c:v>
                </c:pt>
                <c:pt idx="23">
                  <c:v>212.11422506599504</c:v>
                </c:pt>
                <c:pt idx="24">
                  <c:v>237.48514992227561</c:v>
                </c:pt>
                <c:pt idx="25">
                  <c:v>206.53161528161434</c:v>
                </c:pt>
                <c:pt idx="26">
                  <c:v>233.40713942060134</c:v>
                </c:pt>
                <c:pt idx="27">
                  <c:v>260.21198168451195</c:v>
                </c:pt>
                <c:pt idx="28">
                  <c:v>286.9544450254437</c:v>
                </c:pt>
                <c:pt idx="29">
                  <c:v>313.64115705254318</c:v>
                </c:pt>
                <c:pt idx="30">
                  <c:v>340.27752501668789</c:v>
                </c:pt>
                <c:pt idx="31">
                  <c:v>278.36609264736126</c:v>
                </c:pt>
                <c:pt idx="32">
                  <c:v>302.23179355590867</c:v>
                </c:pt>
                <c:pt idx="33">
                  <c:v>329.55032341167629</c:v>
                </c:pt>
                <c:pt idx="34">
                  <c:v>356.81889117361976</c:v>
                </c:pt>
                <c:pt idx="35">
                  <c:v>384.04184826296751</c:v>
                </c:pt>
                <c:pt idx="36">
                  <c:v>411.22287909086322</c:v>
                </c:pt>
                <c:pt idx="37">
                  <c:v>438.36514154393291</c:v>
                </c:pt>
                <c:pt idx="38">
                  <c:v>394.55487802716283</c:v>
                </c:pt>
                <c:pt idx="39">
                  <c:v>420.22488186827945</c:v>
                </c:pt>
                <c:pt idx="40">
                  <c:v>445.86112223405894</c:v>
                </c:pt>
                <c:pt idx="41">
                  <c:v>471.46581141120987</c:v>
                </c:pt>
                <c:pt idx="42">
                  <c:v>497.59132076910765</c:v>
                </c:pt>
                <c:pt idx="43">
                  <c:v>523.68779015923326</c:v>
                </c:pt>
                <c:pt idx="44">
                  <c:v>549.75686849194517</c:v>
                </c:pt>
                <c:pt idx="45">
                  <c:v>575.80003571503141</c:v>
                </c:pt>
                <c:pt idx="46">
                  <c:v>601.8186271385938</c:v>
                </c:pt>
                <c:pt idx="47">
                  <c:v>506.41653892108405</c:v>
                </c:pt>
                <c:pt idx="48">
                  <c:v>528.75648473851322</c:v>
                </c:pt>
                <c:pt idx="49">
                  <c:v>551.07656885500978</c:v>
                </c:pt>
                <c:pt idx="50">
                  <c:v>573.37770811696282</c:v>
                </c:pt>
                <c:pt idx="51">
                  <c:v>596.09612790395624</c:v>
                </c:pt>
                <c:pt idx="52">
                  <c:v>618.79654510083196</c:v>
                </c:pt>
                <c:pt idx="53">
                  <c:v>641.47971233217879</c:v>
                </c:pt>
                <c:pt idx="54">
                  <c:v>664.14632471536174</c:v>
                </c:pt>
                <c:pt idx="55">
                  <c:v>686.79702610651418</c:v>
                </c:pt>
                <c:pt idx="56">
                  <c:v>709.43241448048059</c:v>
                </c:pt>
                <c:pt idx="57">
                  <c:v>631.9290821225411</c:v>
                </c:pt>
                <c:pt idx="58">
                  <c:v>651.84618577047866</c:v>
                </c:pt>
                <c:pt idx="59">
                  <c:v>671.75074866286002</c:v>
                </c:pt>
                <c:pt idx="60">
                  <c:v>691.27714232149219</c:v>
                </c:pt>
                <c:pt idx="61">
                  <c:v>710.79223670196086</c:v>
                </c:pt>
                <c:pt idx="62">
                  <c:v>730.2963853903326</c:v>
                </c:pt>
                <c:pt idx="63">
                  <c:v>749.78992156646348</c:v>
                </c:pt>
                <c:pt idx="64">
                  <c:v>769.2731596922963</c:v>
                </c:pt>
                <c:pt idx="65">
                  <c:v>788.74639702040906</c:v>
                </c:pt>
                <c:pt idx="66">
                  <c:v>808.20991494600241</c:v>
                </c:pt>
                <c:pt idx="67">
                  <c:v>714.19784633129484</c:v>
                </c:pt>
                <c:pt idx="68">
                  <c:v>730.5010493755093</c:v>
                </c:pt>
                <c:pt idx="69">
                  <c:v>746.69477779915371</c:v>
                </c:pt>
                <c:pt idx="70">
                  <c:v>762.88136676195211</c:v>
                </c:pt>
                <c:pt idx="71">
                  <c:v>779.06098894972001</c:v>
                </c:pt>
                <c:pt idx="72">
                  <c:v>795.23380929745065</c:v>
                </c:pt>
                <c:pt idx="73">
                  <c:v>811.39998549097754</c:v>
                </c:pt>
                <c:pt idx="74">
                  <c:v>827.55966842661417</c:v>
                </c:pt>
                <c:pt idx="75">
                  <c:v>843.71300263306648</c:v>
                </c:pt>
                <c:pt idx="76">
                  <c:v>859.86012665938733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1.4291543668766262</c:v>
                </c:pt>
                <c:pt idx="2">
                  <c:v>1.6668584822322881</c:v>
                </c:pt>
                <c:pt idx="3">
                  <c:v>1.9442470068561069</c:v>
                </c:pt>
                <c:pt idx="4">
                  <c:v>2.2679686856822596</c:v>
                </c:pt>
                <c:pt idx="5">
                  <c:v>2.6457899024890454</c:v>
                </c:pt>
                <c:pt idx="6">
                  <c:v>3.0867831349357764</c:v>
                </c:pt>
                <c:pt idx="7">
                  <c:v>3.6015472779597215</c:v>
                </c:pt>
                <c:pt idx="8">
                  <c:v>4.2024652388357486</c:v>
                </c:pt>
                <c:pt idx="9">
                  <c:v>4.9040051255561234</c:v>
                </c:pt>
                <c:pt idx="10">
                  <c:v>5.7230724249731315</c:v>
                </c:pt>
                <c:pt idx="11">
                  <c:v>6.6794218250620458</c:v>
                </c:pt>
                <c:pt idx="12">
                  <c:v>7.796138807971313</c:v>
                </c:pt>
                <c:pt idx="13">
                  <c:v>9.1002028638425916</c:v>
                </c:pt>
                <c:pt idx="14">
                  <c:v>10.623146192580593</c:v>
                </c:pt>
                <c:pt idx="15">
                  <c:v>12.401824122043109</c:v>
                </c:pt>
                <c:pt idx="16">
                  <c:v>14.479316235310385</c:v>
                </c:pt>
                <c:pt idx="17">
                  <c:v>16.905980435651845</c:v>
                </c:pt>
                <c:pt idx="18">
                  <c:v>19.740685966201656</c:v>
                </c:pt>
                <c:pt idx="19">
                  <c:v>23.052255836662599</c:v>
                </c:pt>
                <c:pt idx="20">
                  <c:v>26.921154302242531</c:v>
                </c:pt>
                <c:pt idx="21">
                  <c:v>31.44146112011536</c:v>
                </c:pt>
                <c:pt idx="22">
                  <c:v>36.723181427825928</c:v>
                </c:pt>
                <c:pt idx="23">
                  <c:v>42.894948424090153</c:v>
                </c:pt>
                <c:pt idx="24">
                  <c:v>50.10718579373664</c:v>
                </c:pt>
                <c:pt idx="25">
                  <c:v>58.535808249179098</c:v>
                </c:pt>
                <c:pt idx="26">
                  <c:v>68.386551946749833</c:v>
                </c:pt>
                <c:pt idx="27">
                  <c:v>79.900042212465777</c:v>
                </c:pt>
                <c:pt idx="28">
                  <c:v>93.357724370818289</c:v>
                </c:pt>
                <c:pt idx="29">
                  <c:v>109.08880497181222</c:v>
                </c:pt>
                <c:pt idx="30">
                  <c:v>127.47837589447978</c:v>
                </c:pt>
                <c:pt idx="31">
                  <c:v>138.4345205657205</c:v>
                </c:pt>
                <c:pt idx="32">
                  <c:v>149.36982926723314</c:v>
                </c:pt>
                <c:pt idx="33">
                  <c:v>160.28604398764332</c:v>
                </c:pt>
                <c:pt idx="34">
                  <c:v>171.18464966259771</c:v>
                </c:pt>
                <c:pt idx="35">
                  <c:v>182.06692642317867</c:v>
                </c:pt>
                <c:pt idx="36">
                  <c:v>194.4626831633781</c:v>
                </c:pt>
                <c:pt idx="37">
                  <c:v>206.840076692922</c:v>
                </c:pt>
                <c:pt idx="38">
                  <c:v>219.20036132924983</c:v>
                </c:pt>
                <c:pt idx="39">
                  <c:v>231.54463825280232</c:v>
                </c:pt>
                <c:pt idx="40">
                  <c:v>243.87388154779401</c:v>
                </c:pt>
                <c:pt idx="41">
                  <c:v>257.414085438472</c:v>
                </c:pt>
                <c:pt idx="42">
                  <c:v>270.93818880693084</c:v>
                </c:pt>
                <c:pt idx="43">
                  <c:v>284.447108733596</c:v>
                </c:pt>
                <c:pt idx="44">
                  <c:v>297.94166804438095</c:v>
                </c:pt>
                <c:pt idx="45">
                  <c:v>311.42260891900111</c:v>
                </c:pt>
                <c:pt idx="46">
                  <c:v>325.96384792470673</c:v>
                </c:pt>
                <c:pt idx="47">
                  <c:v>340.49076175474403</c:v>
                </c:pt>
                <c:pt idx="48">
                  <c:v>355.00404766122102</c:v>
                </c:pt>
                <c:pt idx="49">
                  <c:v>369.50434123060467</c:v>
                </c:pt>
                <c:pt idx="50">
                  <c:v>383.99222409421549</c:v>
                </c:pt>
                <c:pt idx="51">
                  <c:v>398.46823041409965</c:v>
                </c:pt>
                <c:pt idx="52">
                  <c:v>240.20262398498866</c:v>
                </c:pt>
                <c:pt idx="53">
                  <c:v>253.51695709548235</c:v>
                </c:pt>
                <c:pt idx="54">
                  <c:v>266.81545917972466</c:v>
                </c:pt>
                <c:pt idx="55">
                  <c:v>280.09903066030222</c:v>
                </c:pt>
                <c:pt idx="56">
                  <c:v>292.79851644004327</c:v>
                </c:pt>
                <c:pt idx="57">
                  <c:v>305.48570806934259</c:v>
                </c:pt>
                <c:pt idx="58">
                  <c:v>318.16118821698802</c:v>
                </c:pt>
                <c:pt idx="59">
                  <c:v>330.82548931985656</c:v>
                </c:pt>
                <c:pt idx="60">
                  <c:v>343.47909971146322</c:v>
                </c:pt>
                <c:pt idx="61">
                  <c:v>356.12246879986333</c:v>
                </c:pt>
                <c:pt idx="62">
                  <c:v>267.4033594140854</c:v>
                </c:pt>
                <c:pt idx="63">
                  <c:v>279.07502565621843</c:v>
                </c:pt>
                <c:pt idx="64">
                  <c:v>290.73574451517726</c:v>
                </c:pt>
                <c:pt idx="65">
                  <c:v>302.38601713273596</c:v>
                </c:pt>
                <c:pt idx="66">
                  <c:v>314.39929278070736</c:v>
                </c:pt>
                <c:pt idx="67">
                  <c:v>326.40239465265228</c:v>
                </c:pt>
                <c:pt idx="68">
                  <c:v>338.39574971516998</c:v>
                </c:pt>
                <c:pt idx="69">
                  <c:v>350.37975218974185</c:v>
                </c:pt>
                <c:pt idx="70">
                  <c:v>362.35476712199647</c:v>
                </c:pt>
                <c:pt idx="71">
                  <c:v>374.32113345435664</c:v>
                </c:pt>
                <c:pt idx="72">
                  <c:v>386.27916668515809</c:v>
                </c:pt>
                <c:pt idx="73">
                  <c:v>398.22916118123521</c:v>
                </c:pt>
                <c:pt idx="74">
                  <c:v>307.10398746380133</c:v>
                </c:pt>
                <c:pt idx="75">
                  <c:v>317.9881505859999</c:v>
                </c:pt>
                <c:pt idx="76">
                  <c:v>328.86406579909431</c:v>
                </c:pt>
                <c:pt idx="77">
                  <c:v>339.7320444403465</c:v>
                </c:pt>
                <c:pt idx="78">
                  <c:v>350.59237629302532</c:v>
                </c:pt>
                <c:pt idx="79">
                  <c:v>361.44533171439571</c:v>
                </c:pt>
                <c:pt idx="80">
                  <c:v>372.29116349468018</c:v>
                </c:pt>
                <c:pt idx="81">
                  <c:v>383.41068047160314</c:v>
                </c:pt>
                <c:pt idx="82">
                  <c:v>394.52318922165023</c:v>
                </c:pt>
                <c:pt idx="83">
                  <c:v>405.62891501870325</c:v>
                </c:pt>
                <c:pt idx="84">
                  <c:v>416.72806979169383</c:v>
                </c:pt>
                <c:pt idx="85">
                  <c:v>427.82085325710779</c:v>
                </c:pt>
                <c:pt idx="86">
                  <c:v>343.37983080196494</c:v>
                </c:pt>
                <c:pt idx="87">
                  <c:v>353.35423547887029</c:v>
                </c:pt>
                <c:pt idx="88">
                  <c:v>363.32247137647801</c:v>
                </c:pt>
                <c:pt idx="89">
                  <c:v>373.28473168505292</c:v>
                </c:pt>
                <c:pt idx="90">
                  <c:v>383.24119843689959</c:v>
                </c:pt>
                <c:pt idx="91">
                  <c:v>393.3218600608177</c:v>
                </c:pt>
                <c:pt idx="92">
                  <c:v>403.39692099740586</c:v>
                </c:pt>
                <c:pt idx="93">
                  <c:v>413.4665408968429</c:v>
                </c:pt>
                <c:pt idx="94">
                  <c:v>423.53087099597883</c:v>
                </c:pt>
                <c:pt idx="95">
                  <c:v>433.59005475539442</c:v>
                </c:pt>
                <c:pt idx="96">
                  <c:v>443.64422843425086</c:v>
                </c:pt>
                <c:pt idx="97">
                  <c:v>453.69352161030332</c:v>
                </c:pt>
                <c:pt idx="98">
                  <c:v>373.45497586576568</c:v>
                </c:pt>
                <c:pt idx="99">
                  <c:v>382.41702725810211</c:v>
                </c:pt>
                <c:pt idx="100">
                  <c:v>391.37451283949099</c:v>
                </c:pt>
                <c:pt idx="101">
                  <c:v>400.39860082749988</c:v>
                </c:pt>
                <c:pt idx="102">
                  <c:v>409.41828763484824</c:v>
                </c:pt>
                <c:pt idx="103">
                  <c:v>418.43368393940273</c:v>
                </c:pt>
                <c:pt idx="104">
                  <c:v>427.44489525856028</c:v>
                </c:pt>
                <c:pt idx="105">
                  <c:v>436.4520222959373</c:v>
                </c:pt>
                <c:pt idx="106">
                  <c:v>445.477023232585</c:v>
                </c:pt>
                <c:pt idx="107">
                  <c:v>454.49810936219592</c:v>
                </c:pt>
                <c:pt idx="108">
                  <c:v>463.51536937085211</c:v>
                </c:pt>
                <c:pt idx="109">
                  <c:v>472.52888821143847</c:v>
                </c:pt>
                <c:pt idx="110">
                  <c:v>390.01589545204268</c:v>
                </c:pt>
                <c:pt idx="111">
                  <c:v>398.10298449959987</c:v>
                </c:pt>
                <c:pt idx="112">
                  <c:v>406.18651636625395</c:v>
                </c:pt>
                <c:pt idx="113">
                  <c:v>414.26657187002019</c:v>
                </c:pt>
                <c:pt idx="114">
                  <c:v>422.34322841725231</c:v>
                </c:pt>
                <c:pt idx="115">
                  <c:v>430.41656021057776</c:v>
                </c:pt>
                <c:pt idx="116">
                  <c:v>438.44521912503188</c:v>
                </c:pt>
                <c:pt idx="117">
                  <c:v>446.47072511112657</c:v>
                </c:pt>
                <c:pt idx="118">
                  <c:v>454.49314286458565</c:v>
                </c:pt>
                <c:pt idx="119">
                  <c:v>462.51253460982065</c:v>
                </c:pt>
                <c:pt idx="120">
                  <c:v>470.52896023648236</c:v>
                </c:pt>
                <c:pt idx="121">
                  <c:v>478.54247742621436</c:v>
                </c:pt>
                <c:pt idx="122">
                  <c:v>251.65040324023883</c:v>
                </c:pt>
                <c:pt idx="123">
                  <c:v>257.97329481270214</c:v>
                </c:pt>
                <c:pt idx="124">
                  <c:v>264.29268310629078</c:v>
                </c:pt>
                <c:pt idx="125">
                  <c:v>270.60866382321586</c:v>
                </c:pt>
                <c:pt idx="126">
                  <c:v>275.84350117891302</c:v>
                </c:pt>
                <c:pt idx="127">
                  <c:v>281.07610746226015</c:v>
                </c:pt>
                <c:pt idx="128">
                  <c:v>286.30653013368601</c:v>
                </c:pt>
                <c:pt idx="129">
                  <c:v>291.53481477536656</c:v>
                </c:pt>
                <c:pt idx="130">
                  <c:v>296.76100519867578</c:v>
                </c:pt>
                <c:pt idx="131">
                  <c:v>301.98514354366256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2" zoomScale="80" zoomScaleNormal="80" workbookViewId="0">
      <selection activeCell="D88" sqref="D88:D107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11.35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14</v>
      </c>
      <c r="C9" s="35">
        <v>0.1255621958</v>
      </c>
      <c r="D9" s="36">
        <f t="shared" ref="D9:D18" si="0">C9*$C$5</f>
        <v>1.4251309223299999</v>
      </c>
      <c r="E9" s="37">
        <v>183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13</v>
      </c>
      <c r="C10" s="35">
        <v>5.0212556200000001E-2</v>
      </c>
      <c r="D10" s="36">
        <f t="shared" si="0"/>
        <v>0.56991251287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6</v>
      </c>
      <c r="C11" s="35">
        <v>7.5349639600000004E-2</v>
      </c>
      <c r="D11" s="36">
        <f t="shared" si="0"/>
        <v>0.85521840946000005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35</v>
      </c>
      <c r="C12" s="35">
        <v>0.67488139979999995</v>
      </c>
      <c r="D12" s="36">
        <f t="shared" si="0"/>
        <v>7.6599038877299988</v>
      </c>
      <c r="E12" s="37">
        <v>76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164</v>
      </c>
      <c r="C13" s="35">
        <v>7.39942086E-2</v>
      </c>
      <c r="D13" s="36">
        <f t="shared" si="0"/>
        <v>0.83983426761000002</v>
      </c>
      <c r="E13" s="37">
        <v>131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11.349999999999998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Chêne sessile</v>
      </c>
      <c r="D32" s="258" t="s">
        <v>307</v>
      </c>
      <c r="J32" s="25" t="s">
        <v>324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42</v>
      </c>
      <c r="B36" s="63">
        <v>163.26</v>
      </c>
      <c r="C36" s="63">
        <v>1</v>
      </c>
      <c r="D36" s="63">
        <v>43.21</v>
      </c>
      <c r="E36" s="54">
        <v>0.2</v>
      </c>
      <c r="F36" s="54"/>
      <c r="G36" s="54"/>
      <c r="H36" s="54">
        <v>0.8</v>
      </c>
      <c r="I36" s="52">
        <f>IFERROR(B36/A36,"")</f>
        <v>3.887142857142857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50</v>
      </c>
      <c r="B37" s="63">
        <v>195.02</v>
      </c>
      <c r="C37" s="63">
        <v>2</v>
      </c>
      <c r="D37" s="63">
        <v>35.58</v>
      </c>
      <c r="E37" s="54">
        <v>0.2</v>
      </c>
      <c r="F37" s="54"/>
      <c r="G37" s="54"/>
      <c r="H37" s="54">
        <v>0.8</v>
      </c>
      <c r="I37" s="56">
        <f t="shared" ref="I37:I55" si="1">IF(A37&lt;&gt;0,(B37-(B36-D36))/(A37-A36),"")</f>
        <v>9.3712500000000034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58</v>
      </c>
      <c r="B38" s="63">
        <v>235.87</v>
      </c>
      <c r="C38" s="63">
        <v>3</v>
      </c>
      <c r="D38" s="63">
        <v>44.93</v>
      </c>
      <c r="E38" s="54">
        <v>0.2</v>
      </c>
      <c r="F38" s="54"/>
      <c r="G38" s="54"/>
      <c r="H38" s="54">
        <v>0.8</v>
      </c>
      <c r="I38" s="56">
        <f t="shared" si="1"/>
        <v>9.5537500000000009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66</v>
      </c>
      <c r="B39" s="63">
        <v>264.95999999999998</v>
      </c>
      <c r="C39" s="63">
        <v>4</v>
      </c>
      <c r="D39" s="63">
        <v>49.91</v>
      </c>
      <c r="E39" s="54">
        <v>0.3</v>
      </c>
      <c r="F39" s="54"/>
      <c r="G39" s="54"/>
      <c r="H39" s="54">
        <v>0.7</v>
      </c>
      <c r="I39" s="52">
        <f t="shared" si="1"/>
        <v>9.2524999999999977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74</v>
      </c>
      <c r="B40" s="63">
        <v>285.98</v>
      </c>
      <c r="C40" s="63">
        <v>5</v>
      </c>
      <c r="D40" s="63">
        <v>47.4</v>
      </c>
      <c r="E40" s="54">
        <v>0.4</v>
      </c>
      <c r="F40" s="54"/>
      <c r="G40" s="54"/>
      <c r="H40" s="54">
        <v>0.6</v>
      </c>
      <c r="I40" s="52">
        <f t="shared" si="1"/>
        <v>8.8662500000000044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84</v>
      </c>
      <c r="B41" s="63">
        <v>325.35000000000002</v>
      </c>
      <c r="C41" s="63">
        <v>6</v>
      </c>
      <c r="D41" s="63">
        <v>61.47</v>
      </c>
      <c r="E41" s="54">
        <v>0.4</v>
      </c>
      <c r="F41" s="54"/>
      <c r="G41" s="54"/>
      <c r="H41" s="54">
        <v>0.6</v>
      </c>
      <c r="I41" s="56">
        <f t="shared" si="1"/>
        <v>8.6770000000000014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94</v>
      </c>
      <c r="B42" s="63">
        <v>346.79</v>
      </c>
      <c r="C42" s="63">
        <v>7</v>
      </c>
      <c r="D42" s="63">
        <v>61.85</v>
      </c>
      <c r="E42" s="54">
        <v>0.5</v>
      </c>
      <c r="F42" s="54"/>
      <c r="G42" s="54"/>
      <c r="H42" s="54">
        <v>0.5</v>
      </c>
      <c r="I42" s="56">
        <f t="shared" si="1"/>
        <v>8.2910000000000021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104</v>
      </c>
      <c r="B43" s="63">
        <v>365.41</v>
      </c>
      <c r="C43" s="63">
        <v>8</v>
      </c>
      <c r="D43" s="63">
        <v>60.19</v>
      </c>
      <c r="E43" s="54">
        <v>0.5</v>
      </c>
      <c r="F43" s="54"/>
      <c r="G43" s="54"/>
      <c r="H43" s="54">
        <v>0.5</v>
      </c>
      <c r="I43" s="52">
        <f t="shared" si="1"/>
        <v>8.0470000000000024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>
        <v>114</v>
      </c>
      <c r="B44" s="63">
        <v>384.57</v>
      </c>
      <c r="C44" s="63">
        <v>9</v>
      </c>
      <c r="D44" s="63">
        <v>56.07</v>
      </c>
      <c r="E44" s="54">
        <v>0.6</v>
      </c>
      <c r="F44" s="54"/>
      <c r="G44" s="54"/>
      <c r="H44" s="54">
        <v>0.4</v>
      </c>
      <c r="I44" s="52">
        <f t="shared" si="1"/>
        <v>7.9349999999999969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>
        <v>124</v>
      </c>
      <c r="B45" s="63">
        <v>408.42</v>
      </c>
      <c r="C45" s="63">
        <v>10</v>
      </c>
      <c r="D45" s="63">
        <v>52.53</v>
      </c>
      <c r="E45" s="54">
        <v>0.7</v>
      </c>
      <c r="F45" s="54"/>
      <c r="G45" s="54"/>
      <c r="H45" s="54">
        <v>0.3</v>
      </c>
      <c r="I45" s="52">
        <f t="shared" si="1"/>
        <v>7.9920000000000018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>
        <v>134</v>
      </c>
      <c r="B46" s="63">
        <v>436.59</v>
      </c>
      <c r="C46" s="63">
        <v>11</v>
      </c>
      <c r="D46" s="63">
        <v>54.95</v>
      </c>
      <c r="E46" s="54">
        <v>0.7</v>
      </c>
      <c r="F46" s="54"/>
      <c r="G46" s="54"/>
      <c r="H46" s="54">
        <v>0.3</v>
      </c>
      <c r="I46" s="52">
        <f t="shared" si="1"/>
        <v>8.0699999999999985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>
        <v>144</v>
      </c>
      <c r="B47" s="63">
        <v>463.23</v>
      </c>
      <c r="C47" s="63">
        <v>12</v>
      </c>
      <c r="D47" s="63">
        <v>56.01</v>
      </c>
      <c r="E47" s="54">
        <v>0.7</v>
      </c>
      <c r="F47" s="54"/>
      <c r="G47" s="54"/>
      <c r="H47" s="54">
        <v>0.3</v>
      </c>
      <c r="I47" s="52">
        <f t="shared" si="1"/>
        <v>8.1590000000000025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>
        <v>154</v>
      </c>
      <c r="B48" s="63">
        <v>490.47</v>
      </c>
      <c r="C48" s="63">
        <v>13</v>
      </c>
      <c r="D48" s="63">
        <v>55.13</v>
      </c>
      <c r="E48" s="54">
        <v>0.7</v>
      </c>
      <c r="F48" s="54"/>
      <c r="G48" s="54"/>
      <c r="H48" s="54">
        <v>0.3</v>
      </c>
      <c r="I48" s="52">
        <f t="shared" si="1"/>
        <v>8.3249999999999993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>
        <v>164</v>
      </c>
      <c r="B49" s="63">
        <v>519.77</v>
      </c>
      <c r="C49" s="63">
        <v>14</v>
      </c>
      <c r="D49" s="63">
        <v>59.58</v>
      </c>
      <c r="E49" s="54">
        <v>0.8</v>
      </c>
      <c r="F49" s="54"/>
      <c r="G49" s="54"/>
      <c r="H49" s="54">
        <v>0.2</v>
      </c>
      <c r="I49" s="52">
        <f t="shared" si="1"/>
        <v>8.4429999999999943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>
        <v>174</v>
      </c>
      <c r="B50" s="53">
        <v>545.65</v>
      </c>
      <c r="C50" s="53">
        <v>15</v>
      </c>
      <c r="D50" s="53">
        <v>214.77</v>
      </c>
      <c r="E50" s="54">
        <v>0.8</v>
      </c>
      <c r="F50" s="54"/>
      <c r="G50" s="54"/>
      <c r="H50" s="54">
        <v>0.2</v>
      </c>
      <c r="I50" s="52">
        <f t="shared" si="1"/>
        <v>8.5459999999999976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>
        <v>177</v>
      </c>
      <c r="B51" s="53">
        <v>347.04</v>
      </c>
      <c r="C51" s="53">
        <v>16</v>
      </c>
      <c r="D51" s="53">
        <v>115.19</v>
      </c>
      <c r="E51" s="54">
        <v>0.8</v>
      </c>
      <c r="F51" s="54"/>
      <c r="G51" s="54"/>
      <c r="H51" s="54">
        <v>0.2</v>
      </c>
      <c r="I51" s="52">
        <f t="shared" si="1"/>
        <v>5.3866666666666747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>
        <v>180</v>
      </c>
      <c r="B52" s="53">
        <v>241.62</v>
      </c>
      <c r="C52" s="53">
        <v>17</v>
      </c>
      <c r="D52" s="53">
        <v>77.72</v>
      </c>
      <c r="E52" s="54">
        <v>0.8</v>
      </c>
      <c r="F52" s="54"/>
      <c r="G52" s="54"/>
      <c r="H52" s="54">
        <v>0.2</v>
      </c>
      <c r="I52" s="52">
        <f t="shared" si="1"/>
        <v>3.2566666666666606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>
        <v>183</v>
      </c>
      <c r="B53" s="53">
        <v>169.76</v>
      </c>
      <c r="C53" s="53">
        <v>18</v>
      </c>
      <c r="D53" s="53">
        <v>169.76</v>
      </c>
      <c r="E53" s="54">
        <v>0.8</v>
      </c>
      <c r="F53" s="54"/>
      <c r="G53" s="54"/>
      <c r="H53" s="54">
        <v>0.2</v>
      </c>
      <c r="I53" s="52">
        <f t="shared" si="1"/>
        <v>1.9533333333333285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Chêne rouge d'Amérique</v>
      </c>
      <c r="D58" s="258" t="s">
        <v>307</v>
      </c>
      <c r="J58" s="25" t="s">
        <v>326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10</v>
      </c>
      <c r="B62" s="63">
        <v>29</v>
      </c>
      <c r="C62" s="63">
        <v>1</v>
      </c>
      <c r="D62" s="63">
        <v>0</v>
      </c>
      <c r="E62" s="54">
        <v>0</v>
      </c>
      <c r="F62" s="54"/>
      <c r="G62" s="54"/>
      <c r="H62" s="54">
        <v>1</v>
      </c>
      <c r="I62" s="56">
        <f>IFERROR(B62/A62,"")</f>
        <v>2.9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15</v>
      </c>
      <c r="B63" s="63">
        <v>73</v>
      </c>
      <c r="C63" s="63">
        <v>2</v>
      </c>
      <c r="D63" s="63">
        <v>0</v>
      </c>
      <c r="E63" s="54">
        <v>0</v>
      </c>
      <c r="F63" s="54"/>
      <c r="G63" s="54"/>
      <c r="H63" s="54">
        <v>1</v>
      </c>
      <c r="I63" s="52">
        <f>IF(A63&lt;&gt;0,(B63-(B62-D62))/(A63-A62),"")</f>
        <v>8.8000000000000007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20</v>
      </c>
      <c r="B64" s="63">
        <v>129</v>
      </c>
      <c r="C64" s="63">
        <v>3</v>
      </c>
      <c r="D64" s="63">
        <v>54</v>
      </c>
      <c r="E64" s="54">
        <v>0</v>
      </c>
      <c r="F64" s="54"/>
      <c r="G64" s="54"/>
      <c r="H64" s="54">
        <v>1</v>
      </c>
      <c r="I64" s="52">
        <f>IF(A64&lt;&gt;0,(B64-(B63-D63))/(A64-A63),"")</f>
        <v>11.2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25</v>
      </c>
      <c r="B65" s="63">
        <v>126</v>
      </c>
      <c r="C65" s="63">
        <v>4</v>
      </c>
      <c r="D65" s="63">
        <v>26</v>
      </c>
      <c r="E65" s="54">
        <v>0</v>
      </c>
      <c r="F65" s="54"/>
      <c r="G65" s="54"/>
      <c r="H65" s="54">
        <v>1</v>
      </c>
      <c r="I65" s="52">
        <f>IF(A65&lt;&gt;0,(B65-(B64-D64))/(A65-A64),"")</f>
        <v>10.199999999999999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30</v>
      </c>
      <c r="B66" s="63">
        <v>149</v>
      </c>
      <c r="C66" s="63">
        <v>5</v>
      </c>
      <c r="D66" s="63">
        <v>27</v>
      </c>
      <c r="E66" s="54">
        <v>0.2</v>
      </c>
      <c r="F66" s="54"/>
      <c r="G66" s="54"/>
      <c r="H66" s="54">
        <v>0.8</v>
      </c>
      <c r="I66" s="52">
        <f t="shared" ref="I66:I81" si="2">IF(A66&lt;&gt;0,(B66-(B65-D65))/(A66-A65),"")</f>
        <v>9.8000000000000007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35</v>
      </c>
      <c r="B67" s="63">
        <v>168</v>
      </c>
      <c r="C67" s="63">
        <v>6</v>
      </c>
      <c r="D67" s="63">
        <v>27</v>
      </c>
      <c r="E67" s="54">
        <v>0.2</v>
      </c>
      <c r="F67" s="54"/>
      <c r="G67" s="54"/>
      <c r="H67" s="54">
        <v>0.8</v>
      </c>
      <c r="I67" s="52">
        <f t="shared" si="2"/>
        <v>9.1999999999999993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40</v>
      </c>
      <c r="B68" s="63">
        <v>185</v>
      </c>
      <c r="C68" s="63">
        <v>7</v>
      </c>
      <c r="D68" s="63">
        <v>27</v>
      </c>
      <c r="E68" s="54">
        <v>0.3</v>
      </c>
      <c r="F68" s="54"/>
      <c r="G68" s="54"/>
      <c r="H68" s="54">
        <v>0.7</v>
      </c>
      <c r="I68" s="52">
        <f t="shared" si="2"/>
        <v>8.8000000000000007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45</v>
      </c>
      <c r="B69" s="53">
        <v>198</v>
      </c>
      <c r="C69" s="53">
        <v>8</v>
      </c>
      <c r="D69" s="53">
        <v>26</v>
      </c>
      <c r="E69" s="54">
        <v>0.3</v>
      </c>
      <c r="F69" s="54"/>
      <c r="G69" s="54"/>
      <c r="H69" s="54">
        <v>0.7</v>
      </c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50</v>
      </c>
      <c r="B70" s="53">
        <v>209</v>
      </c>
      <c r="C70" s="53">
        <v>9</v>
      </c>
      <c r="D70" s="53">
        <v>24</v>
      </c>
      <c r="E70" s="54">
        <v>0.4</v>
      </c>
      <c r="F70" s="54"/>
      <c r="G70" s="54"/>
      <c r="H70" s="54">
        <v>0.6</v>
      </c>
      <c r="I70" s="52">
        <f t="shared" si="2"/>
        <v>7.4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55</v>
      </c>
      <c r="B71" s="53">
        <v>218</v>
      </c>
      <c r="C71" s="53">
        <v>10</v>
      </c>
      <c r="D71" s="53">
        <v>23</v>
      </c>
      <c r="E71" s="54">
        <v>0.4</v>
      </c>
      <c r="F71" s="54"/>
      <c r="G71" s="54"/>
      <c r="H71" s="54">
        <v>0.6</v>
      </c>
      <c r="I71" s="52">
        <f t="shared" si="2"/>
        <v>6.6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60</v>
      </c>
      <c r="B72" s="53">
        <v>225</v>
      </c>
      <c r="C72" s="53">
        <v>11</v>
      </c>
      <c r="D72" s="53">
        <v>21</v>
      </c>
      <c r="E72" s="54">
        <v>0.5</v>
      </c>
      <c r="F72" s="54"/>
      <c r="G72" s="54"/>
      <c r="H72" s="54">
        <v>0.5</v>
      </c>
      <c r="I72" s="52">
        <f t="shared" si="2"/>
        <v>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>
        <v>65</v>
      </c>
      <c r="B73" s="53">
        <v>232</v>
      </c>
      <c r="C73" s="53">
        <v>12</v>
      </c>
      <c r="D73" s="53">
        <v>20</v>
      </c>
      <c r="E73" s="54">
        <v>0.5</v>
      </c>
      <c r="F73" s="54"/>
      <c r="G73" s="54"/>
      <c r="H73" s="54">
        <v>0.5</v>
      </c>
      <c r="I73" s="52">
        <f t="shared" si="2"/>
        <v>5.6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>
        <v>70</v>
      </c>
      <c r="B74" s="53">
        <v>237</v>
      </c>
      <c r="C74" s="53">
        <v>13</v>
      </c>
      <c r="D74" s="53">
        <v>18</v>
      </c>
      <c r="E74" s="54">
        <v>0.6</v>
      </c>
      <c r="F74" s="54"/>
      <c r="G74" s="54"/>
      <c r="H74" s="54">
        <v>0.4</v>
      </c>
      <c r="I74" s="52">
        <f t="shared" si="2"/>
        <v>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>
        <v>75</v>
      </c>
      <c r="B75" s="53">
        <v>241</v>
      </c>
      <c r="C75" s="53">
        <v>14</v>
      </c>
      <c r="D75" s="53">
        <v>16</v>
      </c>
      <c r="E75" s="54">
        <v>0.6</v>
      </c>
      <c r="F75" s="54"/>
      <c r="G75" s="54"/>
      <c r="H75" s="54">
        <v>0.4</v>
      </c>
      <c r="I75" s="52">
        <f t="shared" si="2"/>
        <v>4.4000000000000004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>
        <v>80</v>
      </c>
      <c r="B76" s="53">
        <v>245</v>
      </c>
      <c r="C76" s="53">
        <v>15</v>
      </c>
      <c r="D76" s="53">
        <v>15</v>
      </c>
      <c r="E76" s="54">
        <v>0.7</v>
      </c>
      <c r="F76" s="54"/>
      <c r="G76" s="54"/>
      <c r="H76" s="54">
        <v>0.3</v>
      </c>
      <c r="I76" s="52">
        <f t="shared" si="2"/>
        <v>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>
        <v>85</v>
      </c>
      <c r="B77" s="53">
        <v>248</v>
      </c>
      <c r="C77" s="53">
        <v>16</v>
      </c>
      <c r="D77" s="53">
        <v>14</v>
      </c>
      <c r="E77" s="54">
        <v>0.7</v>
      </c>
      <c r="F77" s="54"/>
      <c r="G77" s="54"/>
      <c r="H77" s="54">
        <v>0.3</v>
      </c>
      <c r="I77" s="52">
        <f t="shared" si="2"/>
        <v>3.6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>
        <v>90</v>
      </c>
      <c r="B78" s="53">
        <v>249</v>
      </c>
      <c r="C78" s="53">
        <v>17</v>
      </c>
      <c r="D78" s="53">
        <v>12</v>
      </c>
      <c r="E78" s="54">
        <v>0.8</v>
      </c>
      <c r="F78" s="54"/>
      <c r="G78" s="54"/>
      <c r="H78" s="54">
        <v>0.2</v>
      </c>
      <c r="I78" s="52">
        <f t="shared" si="2"/>
        <v>3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>
        <v>95</v>
      </c>
      <c r="B79" s="53">
        <v>252</v>
      </c>
      <c r="C79" s="53">
        <v>18</v>
      </c>
      <c r="D79" s="53">
        <v>12</v>
      </c>
      <c r="E79" s="54">
        <v>0.8</v>
      </c>
      <c r="F79" s="54"/>
      <c r="G79" s="54"/>
      <c r="H79" s="54">
        <v>0.2</v>
      </c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>
        <v>100</v>
      </c>
      <c r="B80" s="53">
        <v>255</v>
      </c>
      <c r="C80" s="53">
        <v>19</v>
      </c>
      <c r="D80" s="53">
        <v>255</v>
      </c>
      <c r="E80" s="54">
        <v>0.8</v>
      </c>
      <c r="F80" s="54"/>
      <c r="G80" s="54"/>
      <c r="H80" s="54">
        <v>0.2</v>
      </c>
      <c r="I80" s="52">
        <f t="shared" si="2"/>
        <v>3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Charme</v>
      </c>
      <c r="D84" s="258" t="s">
        <v>307</v>
      </c>
      <c r="J84" s="25" t="s">
        <v>328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25</v>
      </c>
      <c r="B88" s="63">
        <v>82</v>
      </c>
      <c r="C88" s="63">
        <v>1</v>
      </c>
      <c r="D88" s="63">
        <v>11</v>
      </c>
      <c r="E88" s="54">
        <v>0</v>
      </c>
      <c r="F88" s="54"/>
      <c r="G88" s="54"/>
      <c r="H88" s="54">
        <v>1</v>
      </c>
      <c r="I88" s="56">
        <f>IFERROR(B88/A88,"")</f>
        <v>3.28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30</v>
      </c>
      <c r="B89" s="63">
        <v>146</v>
      </c>
      <c r="C89" s="63">
        <v>2</v>
      </c>
      <c r="D89" s="63">
        <v>19</v>
      </c>
      <c r="E89" s="54">
        <v>0</v>
      </c>
      <c r="F89" s="54"/>
      <c r="G89" s="54"/>
      <c r="H89" s="54">
        <v>1</v>
      </c>
      <c r="I89" s="56">
        <f t="shared" ref="I89:I107" si="3">IF(A89&lt;&gt;0,(B89-(B88-D88))/(A89-A88),"")</f>
        <v>15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35</v>
      </c>
      <c r="B90" s="63">
        <v>186</v>
      </c>
      <c r="C90" s="63">
        <v>3</v>
      </c>
      <c r="D90" s="63">
        <v>24</v>
      </c>
      <c r="E90" s="54">
        <v>0.2</v>
      </c>
      <c r="F90" s="54"/>
      <c r="G90" s="54"/>
      <c r="H90" s="54">
        <v>0.8</v>
      </c>
      <c r="I90" s="56">
        <f t="shared" si="3"/>
        <v>11.8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40</v>
      </c>
      <c r="B91" s="63">
        <v>216</v>
      </c>
      <c r="C91" s="63">
        <v>4</v>
      </c>
      <c r="D91" s="63">
        <v>27</v>
      </c>
      <c r="E91" s="54">
        <v>0.2</v>
      </c>
      <c r="F91" s="54"/>
      <c r="G91" s="54"/>
      <c r="H91" s="54">
        <v>0.8</v>
      </c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45</v>
      </c>
      <c r="B92" s="63">
        <v>236</v>
      </c>
      <c r="C92" s="63">
        <v>5</v>
      </c>
      <c r="D92" s="63">
        <v>30</v>
      </c>
      <c r="E92" s="54">
        <v>0.2</v>
      </c>
      <c r="F92" s="54"/>
      <c r="G92" s="54"/>
      <c r="H92" s="54">
        <v>0.8</v>
      </c>
      <c r="I92" s="56">
        <f t="shared" si="3"/>
        <v>9.4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50</v>
      </c>
      <c r="B93" s="63">
        <v>253</v>
      </c>
      <c r="C93" s="63">
        <v>6</v>
      </c>
      <c r="D93" s="63">
        <v>31</v>
      </c>
      <c r="E93" s="54">
        <v>0.3</v>
      </c>
      <c r="F93" s="54"/>
      <c r="G93" s="54"/>
      <c r="H93" s="54">
        <v>0.7</v>
      </c>
      <c r="I93" s="56">
        <f t="shared" si="3"/>
        <v>9.4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55</v>
      </c>
      <c r="B94" s="63">
        <v>265</v>
      </c>
      <c r="C94" s="63">
        <v>7</v>
      </c>
      <c r="D94" s="63">
        <v>32</v>
      </c>
      <c r="E94" s="54">
        <v>0.4</v>
      </c>
      <c r="F94" s="54"/>
      <c r="G94" s="54"/>
      <c r="H94" s="54">
        <v>0.6</v>
      </c>
      <c r="I94" s="56">
        <f t="shared" si="3"/>
        <v>8.6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>
        <v>60</v>
      </c>
      <c r="B95" s="63">
        <v>275</v>
      </c>
      <c r="C95" s="63">
        <v>8</v>
      </c>
      <c r="D95" s="63">
        <v>32</v>
      </c>
      <c r="E95" s="54">
        <v>0.4</v>
      </c>
      <c r="F95" s="54"/>
      <c r="G95" s="54"/>
      <c r="H95" s="54">
        <v>0.6</v>
      </c>
      <c r="I95" s="56">
        <f t="shared" si="3"/>
        <v>8.4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>
        <v>65</v>
      </c>
      <c r="B96" s="63">
        <v>284</v>
      </c>
      <c r="C96" s="63">
        <v>9</v>
      </c>
      <c r="D96" s="63">
        <v>32</v>
      </c>
      <c r="E96" s="54">
        <v>0.5</v>
      </c>
      <c r="F96" s="54"/>
      <c r="G96" s="54"/>
      <c r="H96" s="54">
        <v>0.5</v>
      </c>
      <c r="I96" s="56">
        <f t="shared" si="3"/>
        <v>8.1999999999999993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>
        <v>70</v>
      </c>
      <c r="B97" s="63">
        <v>290</v>
      </c>
      <c r="C97" s="63">
        <v>10</v>
      </c>
      <c r="D97" s="63">
        <v>32</v>
      </c>
      <c r="E97" s="54">
        <v>0.5</v>
      </c>
      <c r="F97" s="54"/>
      <c r="G97" s="54"/>
      <c r="H97" s="54">
        <v>0.5</v>
      </c>
      <c r="I97" s="56">
        <f t="shared" si="3"/>
        <v>7.6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>
        <v>75</v>
      </c>
      <c r="B98" s="63">
        <v>296</v>
      </c>
      <c r="C98" s="63">
        <v>11</v>
      </c>
      <c r="D98" s="63">
        <v>32</v>
      </c>
      <c r="E98" s="54">
        <v>0.6</v>
      </c>
      <c r="F98" s="54"/>
      <c r="G98" s="54"/>
      <c r="H98" s="54">
        <v>0.4</v>
      </c>
      <c r="I98" s="56">
        <f t="shared" si="3"/>
        <v>7.6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>
        <v>80</v>
      </c>
      <c r="B99" s="63">
        <v>300</v>
      </c>
      <c r="C99" s="63">
        <v>12</v>
      </c>
      <c r="D99" s="63">
        <v>32</v>
      </c>
      <c r="E99" s="54">
        <v>0.7</v>
      </c>
      <c r="F99" s="54"/>
      <c r="G99" s="54"/>
      <c r="H99" s="54">
        <v>0.3</v>
      </c>
      <c r="I99" s="56">
        <f t="shared" si="3"/>
        <v>7.2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>
        <v>85</v>
      </c>
      <c r="B100" s="63">
        <v>304</v>
      </c>
      <c r="C100" s="63">
        <v>13</v>
      </c>
      <c r="D100" s="63">
        <v>31</v>
      </c>
      <c r="E100" s="54">
        <v>0.7</v>
      </c>
      <c r="F100" s="54"/>
      <c r="G100" s="54"/>
      <c r="H100" s="54">
        <v>0.3</v>
      </c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>
        <v>90</v>
      </c>
      <c r="B101" s="63">
        <v>307</v>
      </c>
      <c r="C101" s="63">
        <v>14</v>
      </c>
      <c r="D101" s="63">
        <v>31</v>
      </c>
      <c r="E101" s="54">
        <v>0.7</v>
      </c>
      <c r="F101" s="54"/>
      <c r="G101" s="54"/>
      <c r="H101" s="54">
        <v>0.3</v>
      </c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>
        <v>95</v>
      </c>
      <c r="B102" s="53">
        <v>310</v>
      </c>
      <c r="C102" s="63">
        <v>15</v>
      </c>
      <c r="D102" s="53">
        <v>30</v>
      </c>
      <c r="E102" s="54">
        <v>0.7</v>
      </c>
      <c r="F102" s="54"/>
      <c r="G102" s="54"/>
      <c r="H102" s="54">
        <v>0.3</v>
      </c>
      <c r="I102" s="56">
        <f t="shared" si="3"/>
        <v>6.8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>
        <v>100</v>
      </c>
      <c r="B103" s="53">
        <v>312</v>
      </c>
      <c r="C103" s="63">
        <v>16</v>
      </c>
      <c r="D103" s="53">
        <v>29</v>
      </c>
      <c r="E103" s="54">
        <v>0.8</v>
      </c>
      <c r="F103" s="54"/>
      <c r="G103" s="54"/>
      <c r="H103" s="54">
        <v>0.2</v>
      </c>
      <c r="I103" s="56">
        <f t="shared" si="3"/>
        <v>6.4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>
        <v>105</v>
      </c>
      <c r="B104" s="53">
        <v>314</v>
      </c>
      <c r="C104" s="63">
        <v>17</v>
      </c>
      <c r="D104" s="53">
        <v>28</v>
      </c>
      <c r="E104" s="54">
        <v>0.8</v>
      </c>
      <c r="F104" s="54"/>
      <c r="G104" s="54"/>
      <c r="H104" s="54">
        <v>0.2</v>
      </c>
      <c r="I104" s="56">
        <f t="shared" si="3"/>
        <v>6.2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>
        <v>110</v>
      </c>
      <c r="B105" s="53">
        <v>316</v>
      </c>
      <c r="C105" s="53">
        <v>18</v>
      </c>
      <c r="D105" s="53">
        <v>28</v>
      </c>
      <c r="E105" s="54">
        <v>0.8</v>
      </c>
      <c r="F105" s="54"/>
      <c r="G105" s="54"/>
      <c r="H105" s="54">
        <v>0.2</v>
      </c>
      <c r="I105" s="56">
        <f t="shared" si="3"/>
        <v>6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>
        <v>115</v>
      </c>
      <c r="B106" s="53">
        <v>317</v>
      </c>
      <c r="C106" s="53">
        <v>19</v>
      </c>
      <c r="D106" s="53">
        <v>27</v>
      </c>
      <c r="E106" s="54">
        <v>0.8</v>
      </c>
      <c r="F106" s="54"/>
      <c r="G106" s="54"/>
      <c r="H106" s="54">
        <v>0.2</v>
      </c>
      <c r="I106" s="56">
        <f t="shared" si="3"/>
        <v>5.8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>
        <v>120</v>
      </c>
      <c r="B107" s="53">
        <v>318</v>
      </c>
      <c r="C107" s="53">
        <v>20</v>
      </c>
      <c r="D107" s="53">
        <v>318</v>
      </c>
      <c r="E107" s="54">
        <v>0.8</v>
      </c>
      <c r="F107" s="54"/>
      <c r="G107" s="54"/>
      <c r="H107" s="54">
        <v>0.2</v>
      </c>
      <c r="I107" s="56">
        <f t="shared" si="3"/>
        <v>5.6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Pin laricio</v>
      </c>
      <c r="D110" s="258" t="s">
        <v>307</v>
      </c>
      <c r="J110" s="25" t="s">
        <v>327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15</v>
      </c>
      <c r="B114" s="63">
        <v>48.56</v>
      </c>
      <c r="C114" s="53"/>
      <c r="D114" s="63"/>
      <c r="E114" s="54">
        <v>0.3</v>
      </c>
      <c r="F114" s="54">
        <v>0.39</v>
      </c>
      <c r="G114" s="54">
        <v>0.31</v>
      </c>
      <c r="H114" s="54"/>
      <c r="I114" s="56">
        <f>IFERROR(B114/A114,"")</f>
        <v>3.2373333333333334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19</v>
      </c>
      <c r="B115" s="63">
        <v>127.82</v>
      </c>
      <c r="C115" s="53">
        <v>1</v>
      </c>
      <c r="D115" s="63">
        <v>46.3</v>
      </c>
      <c r="E115" s="54">
        <v>0.3</v>
      </c>
      <c r="F115" s="54">
        <v>0.39</v>
      </c>
      <c r="G115" s="54">
        <v>0.31</v>
      </c>
      <c r="H115" s="54"/>
      <c r="I115" s="56">
        <f t="shared" ref="I115:I133" si="4">IF(A115&lt;&gt;0,(B115-(B114-D114))/(A115-A114),"")</f>
        <v>19.814999999999998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24</v>
      </c>
      <c r="B116" s="63">
        <v>179.92</v>
      </c>
      <c r="C116" s="53">
        <v>2</v>
      </c>
      <c r="D116" s="63">
        <v>44.84</v>
      </c>
      <c r="E116" s="54">
        <v>0.4</v>
      </c>
      <c r="F116" s="54">
        <v>0.34</v>
      </c>
      <c r="G116" s="54">
        <v>0.26</v>
      </c>
      <c r="H116" s="54"/>
      <c r="I116" s="56">
        <f t="shared" si="4"/>
        <v>19.68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30</v>
      </c>
      <c r="B117" s="63">
        <v>260.10000000000002</v>
      </c>
      <c r="C117" s="53">
        <v>3</v>
      </c>
      <c r="D117" s="63">
        <v>66.989999999999995</v>
      </c>
      <c r="E117" s="54">
        <v>0.5</v>
      </c>
      <c r="F117" s="54">
        <v>0.28000000000000003</v>
      </c>
      <c r="G117" s="54">
        <v>0.22</v>
      </c>
      <c r="H117" s="54"/>
      <c r="I117" s="56">
        <f t="shared" si="4"/>
        <v>20.836666666666673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>
        <v>32</v>
      </c>
      <c r="B118" s="63">
        <v>230.35</v>
      </c>
      <c r="C118" s="53"/>
      <c r="D118" s="63"/>
      <c r="E118" s="54">
        <v>0.6</v>
      </c>
      <c r="F118" s="54">
        <v>0.22</v>
      </c>
      <c r="G118" s="54">
        <v>0.18</v>
      </c>
      <c r="H118" s="54"/>
      <c r="I118" s="56">
        <f t="shared" si="4"/>
        <v>18.61999999999999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>
        <v>37</v>
      </c>
      <c r="B119" s="63">
        <v>337.12</v>
      </c>
      <c r="C119" s="53">
        <v>4</v>
      </c>
      <c r="D119" s="63">
        <v>54.63</v>
      </c>
      <c r="E119" s="54">
        <v>0.6</v>
      </c>
      <c r="F119" s="54">
        <v>0.22</v>
      </c>
      <c r="G119" s="54">
        <v>0.18</v>
      </c>
      <c r="H119" s="54"/>
      <c r="I119" s="56">
        <f t="shared" si="4"/>
        <v>21.354000000000003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>
        <v>41</v>
      </c>
      <c r="B120" s="63">
        <v>363.2</v>
      </c>
      <c r="C120" s="63"/>
      <c r="D120" s="63"/>
      <c r="E120" s="54">
        <v>0.7</v>
      </c>
      <c r="F120" s="54">
        <v>0.17</v>
      </c>
      <c r="G120" s="54">
        <v>0.13</v>
      </c>
      <c r="H120" s="93"/>
      <c r="I120" s="56">
        <f t="shared" si="4"/>
        <v>20.177499999999995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>
        <v>46</v>
      </c>
      <c r="B121" s="63">
        <v>466.26</v>
      </c>
      <c r="C121" s="63">
        <v>5</v>
      </c>
      <c r="D121" s="63">
        <v>93.13</v>
      </c>
      <c r="E121" s="54">
        <v>0.7</v>
      </c>
      <c r="F121" s="54">
        <v>0.17</v>
      </c>
      <c r="G121" s="54">
        <v>0.13</v>
      </c>
      <c r="H121" s="93"/>
      <c r="I121" s="56">
        <f t="shared" si="4"/>
        <v>20.612000000000002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>
        <v>50</v>
      </c>
      <c r="B122" s="63">
        <v>443.73</v>
      </c>
      <c r="C122" s="63"/>
      <c r="D122" s="63"/>
      <c r="E122" s="54">
        <v>0.8</v>
      </c>
      <c r="F122" s="54">
        <v>0.11</v>
      </c>
      <c r="G122" s="54">
        <v>0.09</v>
      </c>
      <c r="H122" s="93"/>
      <c r="I122" s="56">
        <f t="shared" si="4"/>
        <v>17.650000000000006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>
        <v>56</v>
      </c>
      <c r="B123" s="63">
        <v>551.70000000000005</v>
      </c>
      <c r="C123" s="63">
        <v>6</v>
      </c>
      <c r="D123" s="63">
        <v>77.37</v>
      </c>
      <c r="E123" s="54">
        <v>0.8</v>
      </c>
      <c r="F123" s="54">
        <v>0.11</v>
      </c>
      <c r="G123" s="54">
        <v>0.09</v>
      </c>
      <c r="H123" s="93"/>
      <c r="I123" s="56">
        <f t="shared" si="4"/>
        <v>17.995000000000005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>
        <v>59</v>
      </c>
      <c r="B124" s="63">
        <v>521.75</v>
      </c>
      <c r="C124" s="63"/>
      <c r="D124" s="63"/>
      <c r="E124" s="93">
        <v>0.8</v>
      </c>
      <c r="F124" s="93">
        <v>0.11</v>
      </c>
      <c r="G124" s="93">
        <v>0.09</v>
      </c>
      <c r="H124" s="93"/>
      <c r="I124" s="56">
        <f t="shared" si="4"/>
        <v>15.806666666666652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>
        <v>66</v>
      </c>
      <c r="B125" s="63">
        <v>630.36</v>
      </c>
      <c r="C125" s="63">
        <v>7</v>
      </c>
      <c r="D125" s="63">
        <v>87.84</v>
      </c>
      <c r="E125" s="93">
        <v>0.8</v>
      </c>
      <c r="F125" s="93">
        <v>0.11</v>
      </c>
      <c r="G125" s="93">
        <v>0.09</v>
      </c>
      <c r="H125" s="93"/>
      <c r="I125" s="56">
        <f t="shared" si="4"/>
        <v>15.515714285714287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>
        <v>68</v>
      </c>
      <c r="B126" s="63">
        <v>568.46</v>
      </c>
      <c r="C126" s="63"/>
      <c r="D126" s="63"/>
      <c r="E126" s="93">
        <v>0.8</v>
      </c>
      <c r="F126" s="93">
        <v>0.11</v>
      </c>
      <c r="G126" s="93">
        <v>0.09</v>
      </c>
      <c r="H126" s="68"/>
      <c r="I126" s="56">
        <f t="shared" si="4"/>
        <v>12.970000000000027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>
        <v>76</v>
      </c>
      <c r="B127" s="63">
        <v>671.57</v>
      </c>
      <c r="C127" s="63">
        <v>8</v>
      </c>
      <c r="D127" s="63">
        <v>671.57</v>
      </c>
      <c r="E127" s="93">
        <v>0.8</v>
      </c>
      <c r="F127" s="93">
        <v>0.11</v>
      </c>
      <c r="G127" s="93">
        <v>0.09</v>
      </c>
      <c r="H127" s="68"/>
      <c r="I127" s="56">
        <f t="shared" si="4"/>
        <v>12.888750000000002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Cèdre de l'Atlas</v>
      </c>
      <c r="D136" s="258" t="s">
        <v>307</v>
      </c>
      <c r="J136" s="25" t="s">
        <v>325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>
        <v>30</v>
      </c>
      <c r="B140" s="63">
        <v>121.43</v>
      </c>
      <c r="C140" s="53"/>
      <c r="D140" s="63"/>
      <c r="E140" s="54"/>
      <c r="F140" s="54"/>
      <c r="G140" s="54"/>
      <c r="H140" s="54"/>
      <c r="I140" s="60">
        <f>IFERROR(B140/A140,"")</f>
        <v>4.0476666666666672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>
        <v>35</v>
      </c>
      <c r="B141" s="63">
        <v>175.06</v>
      </c>
      <c r="C141" s="53"/>
      <c r="D141" s="63"/>
      <c r="E141" s="54"/>
      <c r="F141" s="54"/>
      <c r="G141" s="54"/>
      <c r="H141" s="54"/>
      <c r="I141" s="60">
        <f t="shared" ref="I141:I159" si="5">IF(A141&lt;&gt;0,(B141-(B140-D140))/(A141-A140),"")</f>
        <v>10.725999999999999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>
        <v>40</v>
      </c>
      <c r="B142" s="63">
        <v>236.24</v>
      </c>
      <c r="C142" s="53"/>
      <c r="D142" s="63"/>
      <c r="E142" s="54"/>
      <c r="F142" s="54"/>
      <c r="G142" s="54"/>
      <c r="H142" s="54"/>
      <c r="I142" s="60">
        <f t="shared" si="5"/>
        <v>12.236000000000001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>
        <v>45</v>
      </c>
      <c r="B143" s="63">
        <v>303.51</v>
      </c>
      <c r="C143" s="53"/>
      <c r="D143" s="63"/>
      <c r="E143" s="54"/>
      <c r="F143" s="54"/>
      <c r="G143" s="54"/>
      <c r="H143" s="54"/>
      <c r="I143" s="60">
        <f t="shared" si="5"/>
        <v>13.453999999999997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>
        <v>51</v>
      </c>
      <c r="B144" s="63">
        <v>390.67</v>
      </c>
      <c r="C144" s="53">
        <v>1</v>
      </c>
      <c r="D144" s="63">
        <v>171.3</v>
      </c>
      <c r="E144" s="54">
        <v>0.4</v>
      </c>
      <c r="F144" s="54">
        <v>0.34</v>
      </c>
      <c r="G144" s="54">
        <v>0.26</v>
      </c>
      <c r="H144" s="54"/>
      <c r="I144" s="60">
        <f t="shared" si="5"/>
        <v>14.526666666666671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>
        <v>55</v>
      </c>
      <c r="B145" s="63">
        <v>272.27</v>
      </c>
      <c r="C145" s="53"/>
      <c r="D145" s="63"/>
      <c r="E145" s="54"/>
      <c r="F145" s="54"/>
      <c r="G145" s="54"/>
      <c r="H145" s="54"/>
      <c r="I145" s="60">
        <f t="shared" si="5"/>
        <v>13.224999999999994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>
        <v>61</v>
      </c>
      <c r="B146" s="63">
        <v>348.21</v>
      </c>
      <c r="C146" s="53">
        <v>2</v>
      </c>
      <c r="D146" s="63">
        <v>100.2</v>
      </c>
      <c r="E146" s="54">
        <v>0.5</v>
      </c>
      <c r="F146" s="54">
        <v>0.28000000000000003</v>
      </c>
      <c r="G146" s="54">
        <v>0.22</v>
      </c>
      <c r="H146" s="54"/>
      <c r="I146" s="60">
        <f t="shared" si="5"/>
        <v>12.656666666666666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>
        <v>65</v>
      </c>
      <c r="B147" s="63">
        <v>294.49</v>
      </c>
      <c r="C147" s="53"/>
      <c r="D147" s="63"/>
      <c r="E147" s="54"/>
      <c r="F147" s="54"/>
      <c r="G147" s="54"/>
      <c r="H147" s="54"/>
      <c r="I147" s="60">
        <f>IF(A147&lt;&gt;0,(B147-(B146-D146))/(A147-A146),"")</f>
        <v>11.620000000000005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>
        <v>73</v>
      </c>
      <c r="B148" s="63">
        <v>390.43</v>
      </c>
      <c r="C148" s="53">
        <v>3</v>
      </c>
      <c r="D148" s="63">
        <v>102.1</v>
      </c>
      <c r="E148" s="54">
        <v>0.6</v>
      </c>
      <c r="F148" s="54">
        <v>0.22</v>
      </c>
      <c r="G148" s="54">
        <v>0.18</v>
      </c>
      <c r="H148" s="54"/>
      <c r="I148" s="60">
        <f t="shared" si="5"/>
        <v>11.9925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>
        <v>80</v>
      </c>
      <c r="B149" s="63">
        <v>364.41</v>
      </c>
      <c r="C149" s="53"/>
      <c r="D149" s="63"/>
      <c r="E149" s="54"/>
      <c r="F149" s="54"/>
      <c r="G149" s="54"/>
      <c r="H149" s="54"/>
      <c r="I149" s="60">
        <f t="shared" si="5"/>
        <v>10.868571428571427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>
        <v>85</v>
      </c>
      <c r="B150" s="63">
        <v>420.16</v>
      </c>
      <c r="C150" s="53">
        <v>4</v>
      </c>
      <c r="D150" s="63">
        <v>94.69</v>
      </c>
      <c r="E150" s="54">
        <v>0.7</v>
      </c>
      <c r="F150" s="54">
        <v>0.17</v>
      </c>
      <c r="G150" s="54">
        <v>0.13</v>
      </c>
      <c r="H150" s="54"/>
      <c r="I150" s="60">
        <f t="shared" si="5"/>
        <v>11.15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>
        <v>90</v>
      </c>
      <c r="B151" s="63">
        <v>375.39</v>
      </c>
      <c r="C151" s="53"/>
      <c r="D151" s="63"/>
      <c r="E151" s="54"/>
      <c r="F151" s="54"/>
      <c r="G151" s="54"/>
      <c r="H151" s="54"/>
      <c r="I151" s="60">
        <f t="shared" si="5"/>
        <v>9.9839999999999911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>
        <v>97</v>
      </c>
      <c r="B152" s="63">
        <v>446.19</v>
      </c>
      <c r="C152" s="53">
        <v>5</v>
      </c>
      <c r="D152" s="63">
        <v>89.6</v>
      </c>
      <c r="E152" s="57">
        <v>0.8</v>
      </c>
      <c r="F152" s="57">
        <v>0.11</v>
      </c>
      <c r="G152" s="57">
        <v>0.09</v>
      </c>
      <c r="H152" s="57"/>
      <c r="I152" s="60">
        <f t="shared" si="5"/>
        <v>10.114285714285716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>
        <v>100</v>
      </c>
      <c r="B153" s="63">
        <v>383.55</v>
      </c>
      <c r="C153" s="53"/>
      <c r="D153" s="63"/>
      <c r="E153" s="57"/>
      <c r="F153" s="57"/>
      <c r="G153" s="57"/>
      <c r="H153" s="57"/>
      <c r="I153" s="60">
        <f t="shared" si="5"/>
        <v>8.9866666666666593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>
        <v>105</v>
      </c>
      <c r="B154" s="59">
        <v>428.84</v>
      </c>
      <c r="C154" s="53"/>
      <c r="D154" s="53"/>
      <c r="E154" s="57"/>
      <c r="F154" s="57"/>
      <c r="G154" s="57"/>
      <c r="H154" s="57"/>
      <c r="I154" s="60">
        <f t="shared" si="5"/>
        <v>9.0579999999999927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>
        <v>109</v>
      </c>
      <c r="B155" s="59">
        <v>465.16</v>
      </c>
      <c r="C155" s="53">
        <v>6</v>
      </c>
      <c r="D155" s="53">
        <v>91.09</v>
      </c>
      <c r="E155" s="57">
        <v>0.8</v>
      </c>
      <c r="F155" s="57">
        <v>0.11</v>
      </c>
      <c r="G155" s="57">
        <v>0.09</v>
      </c>
      <c r="H155" s="57"/>
      <c r="I155" s="60">
        <f t="shared" si="5"/>
        <v>9.0800000000000125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>
        <v>115</v>
      </c>
      <c r="B156" s="59">
        <v>422.77</v>
      </c>
      <c r="C156" s="53"/>
      <c r="D156" s="53"/>
      <c r="E156" s="57"/>
      <c r="F156" s="57"/>
      <c r="G156" s="57"/>
      <c r="H156" s="57"/>
      <c r="I156" s="60">
        <f t="shared" si="5"/>
        <v>8.1166666666666547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>
        <v>121</v>
      </c>
      <c r="B157" s="59">
        <v>471.22</v>
      </c>
      <c r="C157" s="53">
        <v>7</v>
      </c>
      <c r="D157" s="53">
        <v>233.54</v>
      </c>
      <c r="E157" s="57">
        <v>0.8</v>
      </c>
      <c r="F157" s="57">
        <v>0.11</v>
      </c>
      <c r="G157" s="57">
        <v>0.09</v>
      </c>
      <c r="H157" s="57"/>
      <c r="I157" s="60">
        <f t="shared" si="5"/>
        <v>8.0750000000000082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>
        <v>125</v>
      </c>
      <c r="B158" s="59">
        <v>262.82</v>
      </c>
      <c r="C158" s="53"/>
      <c r="D158" s="53"/>
      <c r="E158" s="57"/>
      <c r="F158" s="57"/>
      <c r="G158" s="57"/>
      <c r="H158" s="57"/>
      <c r="I158" s="60">
        <f t="shared" si="5"/>
        <v>6.2849999999999895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>
        <v>131</v>
      </c>
      <c r="B159" s="59">
        <v>294.08999999999997</v>
      </c>
      <c r="C159" s="53">
        <v>8</v>
      </c>
      <c r="D159" s="61">
        <v>294.08999999999997</v>
      </c>
      <c r="E159" s="57">
        <v>0.8</v>
      </c>
      <c r="F159" s="57">
        <v>0.11</v>
      </c>
      <c r="G159" s="57">
        <v>0.09</v>
      </c>
      <c r="H159" s="57"/>
      <c r="I159" s="60">
        <f t="shared" si="5"/>
        <v>5.2116666666666633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9" sqref="C29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rouge d'Amérique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Charme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Pin laricio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Cèdre de l'Atlas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581.88778927327667</v>
      </c>
      <c r="T3" s="62">
        <f>IF('Données projet'!E9&gt;30,$R$33-$H$33,LOOKUP('Données projet'!$E$9,$A$3:$A$203,R3:R203)-LOOKUP('Données projet'!$E$9,$A$3:$A$203,$H$3:$H$203))</f>
        <v>269.67340993773422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354.24684313982857</v>
      </c>
      <c r="AO3" s="62">
        <f>IF('Données projet'!E10&gt;30,$AM$33-$H$33,LOOKUP('Données projet'!$E$10,$A$3:$A$203,AM3:AM203)-LOOKUP('Données projet'!$E$10,$A$3:$A$203,$H$3:$H$203))</f>
        <v>322.65043486962185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460.77543902152325</v>
      </c>
      <c r="BJ3" s="62">
        <f>IF('Données projet'!E11&gt;30,$BH$33-$H$33,LOOKUP('Données projet'!$E$11,$A$3:$A$203,BH3:BH203)-LOOKUP('Données projet'!$E$11,$A$3:$A$203,$H$3:$H$203))</f>
        <v>341.4342976721104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438.68915237247444</v>
      </c>
      <c r="CE3" s="62">
        <f>IF('Données projet'!E12&gt;30,$CC$33-$H$33,LOOKUP('Données projet'!$E$12,$A$3:$A$203,CC3:CC203)-LOOKUP('Données projet'!$E$12,$A$3:$A$203,$H$3:$H$203))</f>
        <v>376.94419168335452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302.06513069580848</v>
      </c>
      <c r="CZ3" s="62">
        <f>IF('Données projet'!E13&gt;30,$CX$33-$H$33,LOOKUP('Données projet'!$E$13,$A$3:$A$203,CX3:CX203)-LOOKUP('Données projet'!$E$13,$A$3:$A$203,$H$3:$H$203))</f>
        <v>164.1450425611464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3.887142857142857</v>
      </c>
      <c r="N4" s="14">
        <f>IF('Données projet'!$A$36&gt;35,N3+M4-V3,IF(A4&lt;'Données projet'!$A$36,$K$205^A4,IF(A4='Données projet'!$A$36,'Données projet'!$B$36,N3+M4-V3)))</f>
        <v>3.887142857142857</v>
      </c>
      <c r="O4" s="14">
        <f>N4*VLOOKUP('Données projet'!$B$9,Paramètres!$A$1:$I$89,3,0)*VLOOKUP('Données projet'!$B$9,Paramètres!$A$1:$I$89,5,0)</f>
        <v>3.5170868571428571</v>
      </c>
      <c r="P4" s="14">
        <f>EXP(-1.0587+0.8836*LN(O4)+0.284)</f>
        <v>1.400101260019349</v>
      </c>
      <c r="Q4" s="22">
        <f t="shared" ref="Q4:Q34" si="2">(O4+P4)*0.475*44/12</f>
        <v>8.5641026373908407</v>
      </c>
      <c r="R4" s="62">
        <f t="shared" si="0"/>
        <v>266.45299152627967</v>
      </c>
      <c r="S4" s="62">
        <f ca="1">AVERAGE(OFFSET($R$3,0,0,'Données projet'!$E$9+1,1))-AVERAGE(OFFSET($H$3,0,0,'Données projet'!$E$9+1,1))</f>
        <v>581.88778927327667</v>
      </c>
      <c r="T4" s="62">
        <f>$T$3</f>
        <v>269.67340993773422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2.9</v>
      </c>
      <c r="AI4" s="14">
        <f>IF('Données projet'!$A$62&gt;35,AI3+AH4-AQ3,IF(A4&lt;'Données projet'!$A$62,$AF$205^A4,IF(A4='Données projet'!$A$62,'Données projet'!$B$62,AI3+AH4-AQ3)))</f>
        <v>1.4003603312913959</v>
      </c>
      <c r="AJ4" s="14">
        <f>AI4*VLOOKUP('Données projet'!$B$10,Paramètres!$A$1:$I$89,3,0)*VLOOKUP('Données projet'!$B$10,Paramètres!$A$1:$I$89,5,0)</f>
        <v>1.2233547854161635</v>
      </c>
      <c r="AK4" s="14">
        <f>EXP(-1.0587+0.8836*LN(AJ4)+0.284)</f>
        <v>0.55069785861405296</v>
      </c>
      <c r="AL4" s="22">
        <f t="shared" ref="AL4:AL67" si="4">(AJ4+AK4)*0.475*44/12</f>
        <v>3.0898083550192936</v>
      </c>
      <c r="AM4" s="62">
        <f t="shared" ref="AM4:AM67" si="5">AL4+(AD4+AE4)*44/12</f>
        <v>260.97869724390813</v>
      </c>
      <c r="AN4" s="62">
        <f ca="1">AVERAGE(OFFSET($AM$3,0,0,'Données projet'!$E$10+1,1))-AVERAGE(OFFSET($H$3,0,0,'Données projet'!$E$10+1,1))</f>
        <v>354.24684313982857</v>
      </c>
      <c r="AO4" s="62">
        <f>$AO$3</f>
        <v>322.65043486962185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3.28</v>
      </c>
      <c r="BD4" s="13">
        <f>IF('Données projet'!$A$88&gt;35,BD3+BC4-BL3,IF(A4&lt;'Données projet'!$A$88,$BA$205^A4,IF(A4='Données projet'!$A$88,'Données projet'!$B$88,BD3+BC4-BL3)))</f>
        <v>1.1927585931702891</v>
      </c>
      <c r="BE4" s="14">
        <f>BD4*VLOOKUP('Données projet'!$B$11,Paramètres!$A$1:$I$89,3,0)*VLOOKUP('Données projet'!$B$11,Paramètres!$A$1:$I$89,5,0)</f>
        <v>1.1350290772608471</v>
      </c>
      <c r="BF4" s="14">
        <f>EXP(-1.0587+0.8836*LN(BE4)+0.284)</f>
        <v>0.51541403327044577</v>
      </c>
      <c r="BG4" s="22">
        <f t="shared" ref="BG4:BG67" si="7">(BE4+BF4)*0.475*44/12</f>
        <v>2.8745217508420016</v>
      </c>
      <c r="BH4" s="62">
        <f t="shared" ref="BH4:BH67" si="8">BG4+(AY4+AZ4)*44/12</f>
        <v>260.76341063973086</v>
      </c>
      <c r="BI4" s="62">
        <f ca="1">AVERAGE(OFFSET($BH$3,0,0,'Données projet'!$E$11+1,1))-AVERAGE(OFFSET($H$3,0,0,'Données projet'!$E$11+1,1))</f>
        <v>460.77543902152325</v>
      </c>
      <c r="BJ4" s="62">
        <f>$BJ$3</f>
        <v>341.4342976721104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3.2373333333333334</v>
      </c>
      <c r="BY4" s="13">
        <f>IF('Données projet'!$A$114&gt;35,BY3+BX4-CG3,IF(A4&lt;'Données projet'!$A$114,$BV$205^A4,IF(A4='Données projet'!$A$114,'Données projet'!$B$114,BY3+BX4-CG3)))</f>
        <v>1.2954438051451196</v>
      </c>
      <c r="BZ4" s="14">
        <f>BY4*VLOOKUP('Données projet'!$B$12,Paramètres!$A$1:$I$89,3,0)*VLOOKUP('Données projet'!$B$12,Paramètres!$A$1:$I$89,5,0)</f>
        <v>0.77467539547678155</v>
      </c>
      <c r="CA4" s="14">
        <f>EXP(-1.0587+0.8836*LN(BZ4)+0.284)</f>
        <v>0.36777168287054751</v>
      </c>
      <c r="CB4" s="22">
        <f t="shared" ref="CB4:CB67" si="10">(BZ4+CA4)*0.475*44/12</f>
        <v>1.9897619947882648</v>
      </c>
      <c r="CC4" s="62">
        <f t="shared" ref="CC4:CC67" si="11">CB4+(BT4+BU4)*44/12</f>
        <v>259.8786508836771</v>
      </c>
      <c r="CD4" s="62">
        <f ca="1">AVERAGE(OFFSET($CC$3,0,0,'Données projet'!$E$12+1,1))-AVERAGE(OFFSET($H$3,0,0,'Données projet'!$E$12+1,1))</f>
        <v>438.68915237247444</v>
      </c>
      <c r="CE4" s="62">
        <f>$CE$3</f>
        <v>376.94419168335452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4.0476666666666672</v>
      </c>
      <c r="CT4" s="13">
        <f>IF('Données projet'!$A$140&gt;35,CT3+CS4-DB3,IF(A4&lt;'Données projet'!$A$140,$CQ$205^A4,IF(A4='Données projet'!$A$140,'Données projet'!$B$140,CT3+CS4-DB3)))</f>
        <v>1.1734849744378069</v>
      </c>
      <c r="CU4" s="18">
        <f>CT4*VLOOKUP('Données projet'!$B$13,Paramètres!$A$1:$I$89,3,0)*VLOOKUP('Données projet'!$B$13,Paramètres!$A$1:$I$89,5,0)</f>
        <v>0.5491909680368936</v>
      </c>
      <c r="CV4" s="14">
        <f>EXP(-1.0587+0.8836*LN(CU4)+0.284)</f>
        <v>0.27137613256212634</v>
      </c>
      <c r="CW4" s="22">
        <f t="shared" ref="CW4:CW67" si="13">(CU4+CV4)*0.475*44/12</f>
        <v>1.4291543668766262</v>
      </c>
      <c r="CX4" s="62">
        <f t="shared" ref="CX4:CX67" si="14">CW4+(CO4+CP4)*44/12</f>
        <v>259.31804325576547</v>
      </c>
      <c r="CY4" s="62">
        <f ca="1">AVERAGE(OFFSET($CX$3,0,0,'Données projet'!$E$13+1,1))-AVERAGE(OFFSET($H$3,0,0,'Données projet'!$E$13+1,1))</f>
        <v>302.06513069580848</v>
      </c>
      <c r="CZ4" s="62">
        <f>$CZ$3</f>
        <v>164.1450425611464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3.887142857142857</v>
      </c>
      <c r="N5" s="14">
        <f>IF('Données projet'!$A$36&gt;35,N4+M5-V4,IF(A5&lt;'Données projet'!$A$36,$K$205^A5,IF(A5='Données projet'!$A$36,'Données projet'!$B$36,N4+M5-V4)))</f>
        <v>7.774285714285714</v>
      </c>
      <c r="O5" s="14">
        <f>N5*VLOOKUP('Données projet'!$B$9,Paramètres!$A$1:$I$89,3,0)*VLOOKUP('Données projet'!$B$9,Paramètres!$A$1:$I$89,5,0)</f>
        <v>7.0341737142857141</v>
      </c>
      <c r="P5" s="14">
        <f t="shared" ref="P5:P68" si="33">EXP(-1.0587+0.8836*LN(O5)+0.284)</f>
        <v>2.5831495528484112</v>
      </c>
      <c r="Q5" s="22">
        <f t="shared" si="2"/>
        <v>16.750171356925268</v>
      </c>
      <c r="R5" s="62">
        <f t="shared" si="0"/>
        <v>275.86128246803639</v>
      </c>
      <c r="S5" s="62">
        <f ca="1">AVERAGE(OFFSET($R$3,0,0,'Données projet'!$E$9+1,1))-AVERAGE(OFFSET($H$3,0,0,'Données projet'!$E$9+1,1))</f>
        <v>581.88778927327667</v>
      </c>
      <c r="T5" s="62">
        <f t="shared" ref="T5:T68" si="34">$T$3</f>
        <v>269.67340993773422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2.9</v>
      </c>
      <c r="AI5" s="14">
        <f>IF('Données projet'!$A$62&gt;35,AI4+AH5-AQ4,IF(A5&lt;'Données projet'!$A$62,$AF$205^A5,IF(A5='Données projet'!$A$62,'Données projet'!$B$62,AI4+AH5-AQ4)))</f>
        <v>1.9610090574545482</v>
      </c>
      <c r="AJ5" s="14">
        <f>AI5*VLOOKUP('Données projet'!$B$10,Paramètres!$A$1:$I$89,3,0)*VLOOKUP('Données projet'!$B$10,Paramètres!$A$1:$I$89,5,0)</f>
        <v>1.7131375125922934</v>
      </c>
      <c r="AK5" s="14">
        <f t="shared" ref="AK5:AK68" si="35">EXP(-1.0587+0.8836*LN(AJ5)+0.284)</f>
        <v>0.74153366912094132</v>
      </c>
      <c r="AL5" s="22">
        <f t="shared" si="4"/>
        <v>4.2752189748172169</v>
      </c>
      <c r="AM5" s="62">
        <f t="shared" si="5"/>
        <v>263.38633008592836</v>
      </c>
      <c r="AN5" s="62">
        <f ca="1">AVERAGE(OFFSET($AM$3,0,0,'Données projet'!$E$10+1,1))-AVERAGE(OFFSET($H$3,0,0,'Données projet'!$E$10+1,1))</f>
        <v>354.24684313982857</v>
      </c>
      <c r="AO5" s="62">
        <f t="shared" ref="AO5:AO68" si="36">$AO$3</f>
        <v>322.65043486962185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3.28</v>
      </c>
      <c r="BD5" s="13">
        <f>IF('Données projet'!$A$88&gt;35,BD4+BC5-BL4,IF(A5&lt;'Données projet'!$A$88,$BA$205^A5,IF(A5='Données projet'!$A$88,'Données projet'!$B$88,BD4+BC5-BL4)))</f>
        <v>1.4226730615815673</v>
      </c>
      <c r="BE5" s="14">
        <f>BD5*VLOOKUP('Données projet'!$B$11,Paramètres!$A$1:$I$89,3,0)*VLOOKUP('Données projet'!$B$11,Paramètres!$A$1:$I$89,5,0)</f>
        <v>1.3538156854010193</v>
      </c>
      <c r="BF5" s="14">
        <f t="shared" ref="BF5:BF68" si="37">EXP(-1.0587+0.8836*LN(BE5)+0.284)</f>
        <v>0.60227949251245094</v>
      </c>
      <c r="BG5" s="22">
        <f t="shared" si="7"/>
        <v>3.4068657681992938</v>
      </c>
      <c r="BH5" s="62">
        <f t="shared" si="8"/>
        <v>262.51797687931042</v>
      </c>
      <c r="BI5" s="62">
        <f ca="1">AVERAGE(OFFSET($BH$3,0,0,'Données projet'!$E$11+1,1))-AVERAGE(OFFSET($H$3,0,0,'Données projet'!$E$11+1,1))</f>
        <v>460.77543902152325</v>
      </c>
      <c r="BJ5" s="62">
        <f t="shared" ref="BJ5:BJ68" si="38">$BJ$3</f>
        <v>341.4342976721104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3.2373333333333334</v>
      </c>
      <c r="BY5" s="13">
        <f>IF('Données projet'!$A$114&gt;35,BY4+BX5-CG4,IF(A5&lt;'Données projet'!$A$114,$BV$205^A5,IF(A5='Données projet'!$A$114,'Données projet'!$B$114,BY4+BX5-CG4)))</f>
        <v>1.6781746522888665</v>
      </c>
      <c r="BZ5" s="14">
        <f>BY5*VLOOKUP('Données projet'!$B$12,Paramètres!$A$1:$I$89,3,0)*VLOOKUP('Données projet'!$B$12,Paramètres!$A$1:$I$89,5,0)</f>
        <v>1.0035484420687422</v>
      </c>
      <c r="CA5" s="14">
        <f t="shared" ref="CA5:CA68" si="39">EXP(-1.0587+0.8836*LN(BZ5)+0.284)</f>
        <v>0.46228664047475304</v>
      </c>
      <c r="CB5" s="22">
        <f t="shared" si="10"/>
        <v>2.552996102096587</v>
      </c>
      <c r="CC5" s="62">
        <f t="shared" si="11"/>
        <v>261.66410721320773</v>
      </c>
      <c r="CD5" s="62">
        <f ca="1">AVERAGE(OFFSET($CC$3,0,0,'Données projet'!$E$12+1,1))-AVERAGE(OFFSET($H$3,0,0,'Données projet'!$E$12+1,1))</f>
        <v>438.68915237247444</v>
      </c>
      <c r="CE5" s="62">
        <f t="shared" ref="CE5:CE68" si="40">$CE$3</f>
        <v>376.94419168335452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4.0476666666666672</v>
      </c>
      <c r="CT5" s="13">
        <f>IF('Données projet'!$A$140&gt;35,CT4+CS5-DB4,IF(A5&lt;'Données projet'!$A$140,$CQ$205^A5,IF(A5='Données projet'!$A$140,'Données projet'!$B$140,CT4+CS5-DB4)))</f>
        <v>1.3770669852313002</v>
      </c>
      <c r="CU5" s="18">
        <f>CT5*VLOOKUP('Données projet'!$B$13,Paramètres!$A$1:$I$89,3,0)*VLOOKUP('Données projet'!$B$13,Paramètres!$A$1:$I$89,5,0)</f>
        <v>0.64446734908824854</v>
      </c>
      <c r="CV5" s="14">
        <f t="shared" ref="CV5:CV68" si="41">EXP(-1.0587+0.8836*LN(CU5)+0.284)</f>
        <v>0.31258058329392635</v>
      </c>
      <c r="CW5" s="22">
        <f t="shared" si="13"/>
        <v>1.6668584822322881</v>
      </c>
      <c r="CX5" s="62">
        <f t="shared" si="14"/>
        <v>260.77796959334341</v>
      </c>
      <c r="CY5" s="62">
        <f ca="1">AVERAGE(OFFSET($CX$3,0,0,'Données projet'!$E$13+1,1))-AVERAGE(OFFSET($H$3,0,0,'Données projet'!$E$13+1,1))</f>
        <v>302.06513069580848</v>
      </c>
      <c r="CZ5" s="62">
        <f t="shared" ref="CZ5:CZ68" si="42">$CZ$3</f>
        <v>164.1450425611464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3.887142857142857</v>
      </c>
      <c r="N6" s="14">
        <f>IF('Données projet'!$A$36&gt;35,N5+M6-V5,IF(A6&lt;'Données projet'!$A$36,$K$205^A6,IF(A6='Données projet'!$A$36,'Données projet'!$B$36,N5+M6-V5)))</f>
        <v>11.661428571428571</v>
      </c>
      <c r="O6" s="14">
        <f>N6*VLOOKUP('Données projet'!$B$9,Paramètres!$A$1:$I$89,3,0)*VLOOKUP('Données projet'!$B$9,Paramètres!$A$1:$I$89,5,0)</f>
        <v>10.551260571428571</v>
      </c>
      <c r="P6" s="14">
        <f t="shared" si="33"/>
        <v>3.6961006326523931</v>
      </c>
      <c r="Q6" s="22">
        <f t="shared" si="2"/>
        <v>24.814154097107675</v>
      </c>
      <c r="R6" s="62">
        <f t="shared" si="0"/>
        <v>285.147487430441</v>
      </c>
      <c r="S6" s="62">
        <f ca="1">AVERAGE(OFFSET($R$3,0,0,'Données projet'!$E$9+1,1))-AVERAGE(OFFSET($H$3,0,0,'Données projet'!$E$9+1,1))</f>
        <v>581.88778927327667</v>
      </c>
      <c r="T6" s="62">
        <f t="shared" si="34"/>
        <v>269.67340993773422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2.9</v>
      </c>
      <c r="AI6" s="14">
        <f>IF('Données projet'!$A$62&gt;35,AI5+AH6-AQ5,IF(A6&lt;'Données projet'!$A$62,$AF$205^A6,IF(A6='Données projet'!$A$62,'Données projet'!$B$62,AI5+AH6-AQ5)))</f>
        <v>2.7461192933624794</v>
      </c>
      <c r="AJ6" s="14">
        <f>AI6*VLOOKUP('Données projet'!$B$10,Paramètres!$A$1:$I$89,3,0)*VLOOKUP('Données projet'!$B$10,Paramètres!$A$1:$I$89,5,0)</f>
        <v>2.3990098146814622</v>
      </c>
      <c r="AK6" s="14">
        <f t="shared" si="35"/>
        <v>0.99850067298942213</v>
      </c>
      <c r="AL6" s="22">
        <f t="shared" si="4"/>
        <v>5.9173307660267902</v>
      </c>
      <c r="AM6" s="62">
        <f t="shared" si="5"/>
        <v>266.25066409936011</v>
      </c>
      <c r="AN6" s="62">
        <f ca="1">AVERAGE(OFFSET($AM$3,0,0,'Données projet'!$E$10+1,1))-AVERAGE(OFFSET($H$3,0,0,'Données projet'!$E$10+1,1))</f>
        <v>354.24684313982857</v>
      </c>
      <c r="AO6" s="62">
        <f t="shared" si="36"/>
        <v>322.65043486962185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3.28</v>
      </c>
      <c r="BD6" s="13">
        <f>IF('Données projet'!$A$88&gt;35,BD5+BC6-BL5,IF(A6&lt;'Données projet'!$A$88,$BA$205^A6,IF(A6='Données projet'!$A$88,'Données projet'!$B$88,BD5+BC6-BL5)))</f>
        <v>1.6969055194732983</v>
      </c>
      <c r="BE6" s="14">
        <f>BD6*VLOOKUP('Données projet'!$B$11,Paramètres!$A$1:$I$89,3,0)*VLOOKUP('Données projet'!$B$11,Paramètres!$A$1:$I$89,5,0)</f>
        <v>1.6147752923307905</v>
      </c>
      <c r="BF6" s="14">
        <f t="shared" si="37"/>
        <v>0.70378484807517816</v>
      </c>
      <c r="BG6" s="22">
        <f t="shared" si="7"/>
        <v>4.0381589112070619</v>
      </c>
      <c r="BH6" s="62">
        <f t="shared" si="8"/>
        <v>264.37149224454038</v>
      </c>
      <c r="BI6" s="62">
        <f ca="1">AVERAGE(OFFSET($BH$3,0,0,'Données projet'!$E$11+1,1))-AVERAGE(OFFSET($H$3,0,0,'Données projet'!$E$11+1,1))</f>
        <v>460.77543902152325</v>
      </c>
      <c r="BJ6" s="62">
        <f t="shared" si="38"/>
        <v>341.4342976721104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3.2373333333333334</v>
      </c>
      <c r="BY6" s="13">
        <f>IF('Données projet'!$A$114&gt;35,BY5+BX6-CG5,IF(A6&lt;'Données projet'!$A$114,$BV$205^A6,IF(A6='Données projet'!$A$114,'Données projet'!$B$114,BY5+BX6-CG5)))</f>
        <v>2.1739809572591771</v>
      </c>
      <c r="BZ6" s="14">
        <f>BY6*VLOOKUP('Données projet'!$B$12,Paramètres!$A$1:$I$89,3,0)*VLOOKUP('Données projet'!$B$12,Paramètres!$A$1:$I$89,5,0)</f>
        <v>1.300040612440988</v>
      </c>
      <c r="CA6" s="14">
        <f t="shared" si="39"/>
        <v>0.58109133442081051</v>
      </c>
      <c r="CB6" s="22">
        <f t="shared" si="10"/>
        <v>3.2763048074509658</v>
      </c>
      <c r="CC6" s="62">
        <f t="shared" si="11"/>
        <v>263.60963814078428</v>
      </c>
      <c r="CD6" s="62">
        <f ca="1">AVERAGE(OFFSET($CC$3,0,0,'Données projet'!$E$12+1,1))-AVERAGE(OFFSET($H$3,0,0,'Données projet'!$E$12+1,1))</f>
        <v>438.68915237247444</v>
      </c>
      <c r="CE6" s="62">
        <f t="shared" si="40"/>
        <v>376.94419168335452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4.0476666666666672</v>
      </c>
      <c r="CT6" s="13">
        <f>IF('Données projet'!$A$140&gt;35,CT5+CS6-DB5,IF(A6&lt;'Données projet'!$A$140,$CQ$205^A6,IF(A6='Données projet'!$A$140,'Données projet'!$B$140,CT5+CS6-DB5)))</f>
        <v>1.6159674159633002</v>
      </c>
      <c r="CU6" s="18">
        <f>CT6*VLOOKUP('Données projet'!$B$13,Paramètres!$A$1:$I$89,3,0)*VLOOKUP('Données projet'!$B$13,Paramètres!$A$1:$I$89,5,0)</f>
        <v>0.75627275067082456</v>
      </c>
      <c r="CV6" s="14">
        <f t="shared" si="41"/>
        <v>0.36004132025134233</v>
      </c>
      <c r="CW6" s="22">
        <f t="shared" si="13"/>
        <v>1.9442470068561069</v>
      </c>
      <c r="CX6" s="62">
        <f t="shared" si="14"/>
        <v>262.27758034018944</v>
      </c>
      <c r="CY6" s="62">
        <f ca="1">AVERAGE(OFFSET($CX$3,0,0,'Données projet'!$E$13+1,1))-AVERAGE(OFFSET($H$3,0,0,'Données projet'!$E$13+1,1))</f>
        <v>302.06513069580848</v>
      </c>
      <c r="CZ6" s="62">
        <f t="shared" si="42"/>
        <v>164.1450425611464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3.887142857142857</v>
      </c>
      <c r="N7" s="14">
        <f>IF('Données projet'!$A$36&gt;35,N6+M7-V6,IF(A7&lt;'Données projet'!$A$36,$K$205^A7,IF(A7='Données projet'!$A$36,'Données projet'!$B$36,N6+M7-V6)))</f>
        <v>15.548571428571428</v>
      </c>
      <c r="O7" s="14">
        <f>N7*VLOOKUP('Données projet'!$B$9,Paramètres!$A$1:$I$89,3,0)*VLOOKUP('Données projet'!$B$9,Paramètres!$A$1:$I$89,5,0)</f>
        <v>14.068347428571428</v>
      </c>
      <c r="P7" s="14">
        <f t="shared" si="33"/>
        <v>4.7658421593654818</v>
      </c>
      <c r="Q7" s="22">
        <f t="shared" si="2"/>
        <v>32.802880198990124</v>
      </c>
      <c r="R7" s="62">
        <f t="shared" si="0"/>
        <v>294.35843575454567</v>
      </c>
      <c r="S7" s="62">
        <f ca="1">AVERAGE(OFFSET($R$3,0,0,'Données projet'!$E$9+1,1))-AVERAGE(OFFSET($H$3,0,0,'Données projet'!$E$9+1,1))</f>
        <v>581.88778927327667</v>
      </c>
      <c r="T7" s="62">
        <f t="shared" si="34"/>
        <v>269.67340993773422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2.9</v>
      </c>
      <c r="AI7" s="14">
        <f>IF('Données projet'!$A$62&gt;35,AI6+AH7-AQ6,IF(A7&lt;'Données projet'!$A$62,$AF$205^A7,IF(A7='Données projet'!$A$62,'Données projet'!$B$62,AI6+AH7-AQ6)))</f>
        <v>3.8455565234187756</v>
      </c>
      <c r="AJ7" s="14">
        <f>AI7*VLOOKUP('Données projet'!$B$10,Paramètres!$A$1:$I$89,3,0)*VLOOKUP('Données projet'!$B$10,Paramètres!$A$1:$I$89,5,0)</f>
        <v>3.3594781788586427</v>
      </c>
      <c r="AK7" s="14">
        <f t="shared" si="35"/>
        <v>1.3445156106562728</v>
      </c>
      <c r="AL7" s="22">
        <f t="shared" si="4"/>
        <v>8.1927891834051447</v>
      </c>
      <c r="AM7" s="62">
        <f t="shared" si="5"/>
        <v>269.74834473896067</v>
      </c>
      <c r="AN7" s="62">
        <f ca="1">AVERAGE(OFFSET($AM$3,0,0,'Données projet'!$E$10+1,1))-AVERAGE(OFFSET($H$3,0,0,'Données projet'!$E$10+1,1))</f>
        <v>354.24684313982857</v>
      </c>
      <c r="AO7" s="62">
        <f t="shared" si="36"/>
        <v>322.65043486962185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3.28</v>
      </c>
      <c r="BD7" s="13">
        <f>IF('Données projet'!$A$88&gt;35,BD6+BC7-BL6,IF(A7&lt;'Données projet'!$A$88,$BA$205^A7,IF(A7='Données projet'!$A$88,'Données projet'!$B$88,BD6+BC7-BL6)))</f>
        <v>2.0239986401498697</v>
      </c>
      <c r="BE7" s="14">
        <f>BD7*VLOOKUP('Données projet'!$B$11,Paramètres!$A$1:$I$89,3,0)*VLOOKUP('Données projet'!$B$11,Paramètres!$A$1:$I$89,5,0)</f>
        <v>1.9260371059666161</v>
      </c>
      <c r="BF7" s="14">
        <f t="shared" si="37"/>
        <v>0.8223974392917951</v>
      </c>
      <c r="BG7" s="22">
        <f t="shared" si="7"/>
        <v>4.7868568329917327</v>
      </c>
      <c r="BH7" s="62">
        <f t="shared" si="8"/>
        <v>266.3424123885473</v>
      </c>
      <c r="BI7" s="62">
        <f ca="1">AVERAGE(OFFSET($BH$3,0,0,'Données projet'!$E$11+1,1))-AVERAGE(OFFSET($H$3,0,0,'Données projet'!$E$11+1,1))</f>
        <v>460.77543902152325</v>
      </c>
      <c r="BJ7" s="62">
        <f t="shared" si="38"/>
        <v>341.4342976721104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3.2373333333333334</v>
      </c>
      <c r="BY7" s="13">
        <f>IF('Données projet'!$A$114&gt;35,BY6+BX7-CG6,IF(A7&lt;'Données projet'!$A$114,$BV$205^A7,IF(A7='Données projet'!$A$114,'Données projet'!$B$114,BY6+BX7-CG6)))</f>
        <v>2.8162701635848579</v>
      </c>
      <c r="BZ7" s="14">
        <f>BY7*VLOOKUP('Données projet'!$B$12,Paramètres!$A$1:$I$89,3,0)*VLOOKUP('Données projet'!$B$12,Paramètres!$A$1:$I$89,5,0)</f>
        <v>1.6841295578237452</v>
      </c>
      <c r="CA7" s="14">
        <f t="shared" si="39"/>
        <v>0.73042807075753979</v>
      </c>
      <c r="CB7" s="22">
        <f t="shared" si="10"/>
        <v>4.2053545364457383</v>
      </c>
      <c r="CC7" s="62">
        <f t="shared" si="11"/>
        <v>265.76091009200127</v>
      </c>
      <c r="CD7" s="62">
        <f ca="1">AVERAGE(OFFSET($CC$3,0,0,'Données projet'!$E$12+1,1))-AVERAGE(OFFSET($H$3,0,0,'Données projet'!$E$12+1,1))</f>
        <v>438.68915237247444</v>
      </c>
      <c r="CE7" s="62">
        <f t="shared" si="40"/>
        <v>376.94419168335452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4.0476666666666672</v>
      </c>
      <c r="CT7" s="13">
        <f>IF('Données projet'!$A$140&gt;35,CT6+CS7-DB6,IF(A7&lt;'Données projet'!$A$140,$CQ$205^A7,IF(A7='Données projet'!$A$140,'Données projet'!$B$140,CT6+CS7-DB6)))</f>
        <v>1.8963134818140219</v>
      </c>
      <c r="CU7" s="18">
        <f>CT7*VLOOKUP('Données projet'!$B$13,Paramètres!$A$1:$I$89,3,0)*VLOOKUP('Données projet'!$B$13,Paramètres!$A$1:$I$89,5,0)</f>
        <v>0.88747470948896223</v>
      </c>
      <c r="CV7" s="14">
        <f t="shared" si="41"/>
        <v>0.41470826793625865</v>
      </c>
      <c r="CW7" s="22">
        <f t="shared" si="13"/>
        <v>2.2679686856822596</v>
      </c>
      <c r="CX7" s="62">
        <f t="shared" si="14"/>
        <v>263.82352424123781</v>
      </c>
      <c r="CY7" s="62">
        <f ca="1">AVERAGE(OFFSET($CX$3,0,0,'Données projet'!$E$13+1,1))-AVERAGE(OFFSET($H$3,0,0,'Données projet'!$E$13+1,1))</f>
        <v>302.06513069580848</v>
      </c>
      <c r="CZ7" s="62">
        <f t="shared" si="42"/>
        <v>164.1450425611464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3.887142857142857</v>
      </c>
      <c r="N8" s="14">
        <f>IF('Données projet'!$A$36&gt;35,N7+M8-V7,IF(A8&lt;'Données projet'!$A$36,$K$205^A8,IF(A8='Données projet'!$A$36,'Données projet'!$B$36,N7+M8-V7)))</f>
        <v>19.435714285714283</v>
      </c>
      <c r="O8" s="14">
        <f>N8*VLOOKUP('Données projet'!$B$9,Paramètres!$A$1:$I$89,3,0)*VLOOKUP('Données projet'!$B$9,Paramètres!$A$1:$I$89,5,0)</f>
        <v>17.585434285714282</v>
      </c>
      <c r="P8" s="14">
        <f t="shared" si="33"/>
        <v>5.804560501905633</v>
      </c>
      <c r="Q8" s="22">
        <f t="shared" si="2"/>
        <v>40.737574255104683</v>
      </c>
      <c r="R8" s="62">
        <f t="shared" si="0"/>
        <v>303.51535203288245</v>
      </c>
      <c r="S8" s="62">
        <f ca="1">AVERAGE(OFFSET($R$3,0,0,'Données projet'!$E$9+1,1))-AVERAGE(OFFSET($H$3,0,0,'Données projet'!$E$9+1,1))</f>
        <v>581.88778927327667</v>
      </c>
      <c r="T8" s="62">
        <f t="shared" si="34"/>
        <v>269.67340993773422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2.9</v>
      </c>
      <c r="AI8" s="14">
        <f>IF('Données projet'!$A$62&gt;35,AI7+AH8-AQ7,IF(A8&lt;'Données projet'!$A$62,$AF$205^A8,IF(A8='Données projet'!$A$62,'Données projet'!$B$62,AI7+AH8-AQ7)))</f>
        <v>5.3851648071345055</v>
      </c>
      <c r="AJ8" s="14">
        <f>AI8*VLOOKUP('Données projet'!$B$10,Paramètres!$A$1:$I$89,3,0)*VLOOKUP('Données projet'!$B$10,Paramètres!$A$1:$I$89,5,0)</f>
        <v>4.7044799755127045</v>
      </c>
      <c r="AK8" s="14">
        <f t="shared" si="35"/>
        <v>1.8104366638895204</v>
      </c>
      <c r="AL8" s="22">
        <f t="shared" si="4"/>
        <v>11.346813146958874</v>
      </c>
      <c r="AM8" s="62">
        <f t="shared" si="5"/>
        <v>274.12459092473665</v>
      </c>
      <c r="AN8" s="62">
        <f ca="1">AVERAGE(OFFSET($AM$3,0,0,'Données projet'!$E$10+1,1))-AVERAGE(OFFSET($H$3,0,0,'Données projet'!$E$10+1,1))</f>
        <v>354.24684313982857</v>
      </c>
      <c r="AO8" s="62">
        <f t="shared" si="36"/>
        <v>322.65043486962185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3.28</v>
      </c>
      <c r="BD8" s="13">
        <f>IF('Données projet'!$A$88&gt;35,BD7+BC8-BL7,IF(A8&lt;'Données projet'!$A$88,$BA$205^A8,IF(A8='Données projet'!$A$88,'Données projet'!$B$88,BD7+BC8-BL7)))</f>
        <v>2.4141417706037367</v>
      </c>
      <c r="BE8" s="14">
        <f>BD8*VLOOKUP('Données projet'!$B$11,Paramètres!$A$1:$I$89,3,0)*VLOOKUP('Données projet'!$B$11,Paramètres!$A$1:$I$89,5,0)</f>
        <v>2.2972973089065158</v>
      </c>
      <c r="BF8" s="14">
        <f t="shared" si="37"/>
        <v>0.96100043927267897</v>
      </c>
      <c r="BG8" s="22">
        <f t="shared" si="7"/>
        <v>5.6748685780787644</v>
      </c>
      <c r="BH8" s="62">
        <f t="shared" si="8"/>
        <v>268.45264635585653</v>
      </c>
      <c r="BI8" s="62">
        <f ca="1">AVERAGE(OFFSET($BH$3,0,0,'Données projet'!$E$11+1,1))-AVERAGE(OFFSET($H$3,0,0,'Données projet'!$E$11+1,1))</f>
        <v>460.77543902152325</v>
      </c>
      <c r="BJ8" s="62">
        <f t="shared" si="38"/>
        <v>341.4342976721104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3.2373333333333334</v>
      </c>
      <c r="BY8" s="13">
        <f>IF('Données projet'!$A$114&gt;35,BY7+BX8-CG7,IF(A8&lt;'Données projet'!$A$114,$BV$205^A8,IF(A8='Données projet'!$A$114,'Données projet'!$B$114,BY7+BX8-CG7)))</f>
        <v>3.648319737031037</v>
      </c>
      <c r="BZ8" s="14">
        <f>BY8*VLOOKUP('Données projet'!$B$12,Paramètres!$A$1:$I$89,3,0)*VLOOKUP('Données projet'!$B$12,Paramètres!$A$1:$I$89,5,0)</f>
        <v>2.1816952027445602</v>
      </c>
      <c r="CA8" s="14">
        <f t="shared" si="39"/>
        <v>0.91814338804821549</v>
      </c>
      <c r="CB8" s="22">
        <f t="shared" si="10"/>
        <v>5.3988855456307512</v>
      </c>
      <c r="CC8" s="62">
        <f t="shared" si="11"/>
        <v>268.17666332340855</v>
      </c>
      <c r="CD8" s="62">
        <f ca="1">AVERAGE(OFFSET($CC$3,0,0,'Données projet'!$E$12+1,1))-AVERAGE(OFFSET($H$3,0,0,'Données projet'!$E$12+1,1))</f>
        <v>438.68915237247444</v>
      </c>
      <c r="CE8" s="62">
        <f t="shared" si="40"/>
        <v>376.94419168335452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4.0476666666666672</v>
      </c>
      <c r="CT8" s="13">
        <f>IF('Données projet'!$A$140&gt;35,CT7+CS8-DB7,IF(A8&lt;'Données projet'!$A$140,$CQ$205^A8,IF(A8='Données projet'!$A$140,'Données projet'!$B$140,CT7+CS8-DB7)))</f>
        <v>2.2252953777325959</v>
      </c>
      <c r="CU8" s="18">
        <f>CT8*VLOOKUP('Données projet'!$B$13,Paramètres!$A$1:$I$89,3,0)*VLOOKUP('Données projet'!$B$13,Paramètres!$A$1:$I$89,5,0)</f>
        <v>1.0414382367788548</v>
      </c>
      <c r="CV8" s="14">
        <f t="shared" si="41"/>
        <v>0.47767558283208045</v>
      </c>
      <c r="CW8" s="22">
        <f t="shared" si="13"/>
        <v>2.6457899024890454</v>
      </c>
      <c r="CX8" s="62">
        <f t="shared" si="14"/>
        <v>265.42356768026684</v>
      </c>
      <c r="CY8" s="62">
        <f ca="1">AVERAGE(OFFSET($CX$3,0,0,'Données projet'!$E$13+1,1))-AVERAGE(OFFSET($H$3,0,0,'Données projet'!$E$13+1,1))</f>
        <v>302.06513069580848</v>
      </c>
      <c r="CZ8" s="62">
        <f t="shared" si="42"/>
        <v>164.1450425611464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3.887142857142857</v>
      </c>
      <c r="N9" s="14">
        <f>IF('Données projet'!$A$36&gt;35,N8+M9-V8,IF(A9&lt;'Données projet'!$A$36,$K$205^A9,IF(A9='Données projet'!$A$36,'Données projet'!$B$36,N8+M9-V8)))</f>
        <v>23.322857142857139</v>
      </c>
      <c r="O9" s="14">
        <f>N9*VLOOKUP('Données projet'!$B$9,Paramètres!$A$1:$I$89,3,0)*VLOOKUP('Données projet'!$B$9,Paramètres!$A$1:$I$89,5,0)</f>
        <v>21.102521142857139</v>
      </c>
      <c r="P9" s="14">
        <f t="shared" si="33"/>
        <v>6.8192072738987575</v>
      </c>
      <c r="Q9" s="22">
        <f t="shared" si="2"/>
        <v>48.630343659183183</v>
      </c>
      <c r="R9" s="62">
        <f t="shared" si="0"/>
        <v>312.63034365918315</v>
      </c>
      <c r="S9" s="62">
        <f ca="1">AVERAGE(OFFSET($R$3,0,0,'Données projet'!$E$9+1,1))-AVERAGE(OFFSET($H$3,0,0,'Données projet'!$E$9+1,1))</f>
        <v>581.88778927327667</v>
      </c>
      <c r="T9" s="62">
        <f t="shared" si="34"/>
        <v>269.67340993773422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2.9</v>
      </c>
      <c r="AI9" s="14">
        <f>IF('Données projet'!$A$62&gt;35,AI8+AH9-AQ8,IF(A9&lt;'Données projet'!$A$62,$AF$205^A9,IF(A9='Données projet'!$A$62,'Données projet'!$B$62,AI8+AH9-AQ8)))</f>
        <v>7.5411711733776423</v>
      </c>
      <c r="AJ9" s="14">
        <f>AI9*VLOOKUP('Données projet'!$B$10,Paramètres!$A$1:$I$89,3,0)*VLOOKUP('Données projet'!$B$10,Paramètres!$A$1:$I$89,5,0)</f>
        <v>6.5879671370627086</v>
      </c>
      <c r="AK9" s="14">
        <f t="shared" si="35"/>
        <v>2.4378154392387783</v>
      </c>
      <c r="AL9" s="22">
        <f t="shared" si="4"/>
        <v>15.71990465372509</v>
      </c>
      <c r="AM9" s="62">
        <f t="shared" si="5"/>
        <v>279.71990465372511</v>
      </c>
      <c r="AN9" s="62">
        <f ca="1">AVERAGE(OFFSET($AM$3,0,0,'Données projet'!$E$10+1,1))-AVERAGE(OFFSET($H$3,0,0,'Données projet'!$E$10+1,1))</f>
        <v>354.24684313982857</v>
      </c>
      <c r="AO9" s="62">
        <f t="shared" si="36"/>
        <v>322.65043486962185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3.28</v>
      </c>
      <c r="BD9" s="13">
        <f>IF('Données projet'!$A$88&gt;35,BD8+BC9-BL8,IF(A9&lt;'Données projet'!$A$88,$BA$205^A9,IF(A9='Données projet'!$A$88,'Données projet'!$B$88,BD8+BC9-BL8)))</f>
        <v>2.8794883420189441</v>
      </c>
      <c r="BE9" s="14">
        <f>BD9*VLOOKUP('Données projet'!$B$11,Paramètres!$A$1:$I$89,3,0)*VLOOKUP('Données projet'!$B$11,Paramètres!$A$1:$I$89,5,0)</f>
        <v>2.7401211062652271</v>
      </c>
      <c r="BF9" s="14">
        <f t="shared" si="37"/>
        <v>1.1229629375762282</v>
      </c>
      <c r="BG9" s="22">
        <f t="shared" si="7"/>
        <v>6.7282047096905346</v>
      </c>
      <c r="BH9" s="62">
        <f t="shared" si="8"/>
        <v>270.72820470969054</v>
      </c>
      <c r="BI9" s="62">
        <f ca="1">AVERAGE(OFFSET($BH$3,0,0,'Données projet'!$E$11+1,1))-AVERAGE(OFFSET($H$3,0,0,'Données projet'!$E$11+1,1))</f>
        <v>460.77543902152325</v>
      </c>
      <c r="BJ9" s="62">
        <f t="shared" si="38"/>
        <v>341.4342976721104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3.2373333333333334</v>
      </c>
      <c r="BY9" s="13">
        <f>IF('Données projet'!$A$114&gt;35,BY8+BX9-CG8,IF(A9&lt;'Données projet'!$A$114,$BV$205^A9,IF(A9='Données projet'!$A$114,'Données projet'!$B$114,BY8+BX9-CG8)))</f>
        <v>4.7261932025255282</v>
      </c>
      <c r="BZ9" s="14">
        <f>BY9*VLOOKUP('Données projet'!$B$12,Paramètres!$A$1:$I$89,3,0)*VLOOKUP('Données projet'!$B$12,Paramètres!$A$1:$I$89,5,0)</f>
        <v>2.8262635351102658</v>
      </c>
      <c r="CA9" s="14">
        <f t="shared" si="39"/>
        <v>1.1541003348110361</v>
      </c>
      <c r="CB9" s="22">
        <f t="shared" si="10"/>
        <v>6.9324670734462677</v>
      </c>
      <c r="CC9" s="62">
        <f t="shared" si="11"/>
        <v>270.93246707344628</v>
      </c>
      <c r="CD9" s="62">
        <f ca="1">AVERAGE(OFFSET($CC$3,0,0,'Données projet'!$E$12+1,1))-AVERAGE(OFFSET($H$3,0,0,'Données projet'!$E$12+1,1))</f>
        <v>438.68915237247444</v>
      </c>
      <c r="CE9" s="62">
        <f t="shared" si="40"/>
        <v>376.94419168335452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4.0476666666666672</v>
      </c>
      <c r="CT9" s="13">
        <f>IF('Données projet'!$A$140&gt;35,CT8+CS9-DB8,IF(A9&lt;'Données projet'!$A$140,$CQ$205^A9,IF(A9='Données projet'!$A$140,'Données projet'!$B$140,CT8+CS9-DB8)))</f>
        <v>2.6113506894551053</v>
      </c>
      <c r="CU9" s="18">
        <f>CT9*VLOOKUP('Données projet'!$B$13,Paramètres!$A$1:$I$89,3,0)*VLOOKUP('Données projet'!$B$13,Paramètres!$A$1:$I$89,5,0)</f>
        <v>1.2221121226649894</v>
      </c>
      <c r="CV9" s="14">
        <f t="shared" si="41"/>
        <v>0.55020355289622191</v>
      </c>
      <c r="CW9" s="22">
        <f t="shared" si="13"/>
        <v>3.0867831349357764</v>
      </c>
      <c r="CX9" s="62">
        <f t="shared" si="14"/>
        <v>267.08678313493579</v>
      </c>
      <c r="CY9" s="62">
        <f ca="1">AVERAGE(OFFSET($CX$3,0,0,'Données projet'!$E$13+1,1))-AVERAGE(OFFSET($H$3,0,0,'Données projet'!$E$13+1,1))</f>
        <v>302.06513069580848</v>
      </c>
      <c r="CZ9" s="62">
        <f t="shared" si="42"/>
        <v>164.1450425611464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3.887142857142857</v>
      </c>
      <c r="N10" s="14">
        <f>IF('Données projet'!$A$36&gt;35,N9+M10-V9,IF(A10&lt;'Données projet'!$A$36,$K$205^A10,IF(A10='Données projet'!$A$36,'Données projet'!$B$36,N9+M10-V9)))</f>
        <v>27.209999999999994</v>
      </c>
      <c r="O10" s="14">
        <f>N10*VLOOKUP('Données projet'!$B$9,Paramètres!$A$1:$I$89,3,0)*VLOOKUP('Données projet'!$B$9,Paramètres!$A$1:$I$89,5,0)</f>
        <v>24.619607999999992</v>
      </c>
      <c r="P10" s="14">
        <f t="shared" si="33"/>
        <v>7.8142639118614152</v>
      </c>
      <c r="Q10" s="22">
        <f t="shared" si="2"/>
        <v>56.488993579825284</v>
      </c>
      <c r="R10" s="62">
        <f t="shared" si="0"/>
        <v>321.71121580204749</v>
      </c>
      <c r="S10" s="62">
        <f ca="1">AVERAGE(OFFSET($R$3,0,0,'Données projet'!$E$9+1,1))-AVERAGE(OFFSET($H$3,0,0,'Données projet'!$E$9+1,1))</f>
        <v>581.88778927327667</v>
      </c>
      <c r="T10" s="62">
        <f t="shared" si="34"/>
        <v>269.67340993773422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2.9</v>
      </c>
      <c r="AI10" s="14">
        <f>IF('Données projet'!$A$62&gt;35,AI9+AH10-AQ9,IF(A10&lt;'Données projet'!$A$62,$AF$205^A10,IF(A10='Données projet'!$A$62,'Données projet'!$B$62,AI9+AH10-AQ9)))</f>
        <v>10.560356962676241</v>
      </c>
      <c r="AJ10" s="14">
        <f>AI10*VLOOKUP('Données projet'!$B$10,Paramètres!$A$1:$I$89,3,0)*VLOOKUP('Données projet'!$B$10,Paramètres!$A$1:$I$89,5,0)</f>
        <v>9.2255278425939657</v>
      </c>
      <c r="AK10" s="14">
        <f t="shared" si="35"/>
        <v>3.282602608711652</v>
      </c>
      <c r="AL10" s="22">
        <f t="shared" si="4"/>
        <v>21.784993869357283</v>
      </c>
      <c r="AM10" s="62">
        <f t="shared" si="5"/>
        <v>287.00721609157949</v>
      </c>
      <c r="AN10" s="62">
        <f ca="1">AVERAGE(OFFSET($AM$3,0,0,'Données projet'!$E$10+1,1))-AVERAGE(OFFSET($H$3,0,0,'Données projet'!$E$10+1,1))</f>
        <v>354.24684313982857</v>
      </c>
      <c r="AO10" s="62">
        <f t="shared" si="36"/>
        <v>322.65043486962185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3.28</v>
      </c>
      <c r="BD10" s="13">
        <f>IF('Données projet'!$A$88&gt;35,BD9+BC10-BL9,IF(A10&lt;'Données projet'!$A$88,$BA$205^A10,IF(A10='Données projet'!$A$88,'Données projet'!$B$88,BD9+BC10-BL9)))</f>
        <v>3.4345344638767639</v>
      </c>
      <c r="BE10" s="14">
        <f>BD10*VLOOKUP('Données projet'!$B$11,Paramètres!$A$1:$I$89,3,0)*VLOOKUP('Données projet'!$B$11,Paramètres!$A$1:$I$89,5,0)</f>
        <v>3.2683029958251284</v>
      </c>
      <c r="BF10" s="14">
        <f t="shared" si="37"/>
        <v>1.3122218342836953</v>
      </c>
      <c r="BG10" s="22">
        <f t="shared" si="7"/>
        <v>7.977747412439534</v>
      </c>
      <c r="BH10" s="62">
        <f t="shared" si="8"/>
        <v>273.19996963466178</v>
      </c>
      <c r="BI10" s="62">
        <f ca="1">AVERAGE(OFFSET($BH$3,0,0,'Données projet'!$E$11+1,1))-AVERAGE(OFFSET($H$3,0,0,'Données projet'!$E$11+1,1))</f>
        <v>460.77543902152325</v>
      </c>
      <c r="BJ10" s="62">
        <f t="shared" si="38"/>
        <v>341.4342976721104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3.2373333333333334</v>
      </c>
      <c r="BY10" s="13">
        <f>IF('Données projet'!$A$114&gt;35,BY9+BX10-CG9,IF(A10&lt;'Données projet'!$A$114,$BV$205^A10,IF(A10='Données projet'!$A$114,'Données projet'!$B$114,BY9+BX10-CG9)))</f>
        <v>6.1225177061306688</v>
      </c>
      <c r="BZ10" s="14">
        <f>BY10*VLOOKUP('Données projet'!$B$12,Paramètres!$A$1:$I$89,3,0)*VLOOKUP('Données projet'!$B$12,Paramètres!$A$1:$I$89,5,0)</f>
        <v>3.66126558826614</v>
      </c>
      <c r="CA10" s="14">
        <f t="shared" si="39"/>
        <v>1.4506966996107142</v>
      </c>
      <c r="CB10" s="22">
        <f t="shared" si="10"/>
        <v>8.9033343180521864</v>
      </c>
      <c r="CC10" s="62">
        <f t="shared" si="11"/>
        <v>274.12555654027443</v>
      </c>
      <c r="CD10" s="62">
        <f ca="1">AVERAGE(OFFSET($CC$3,0,0,'Données projet'!$E$12+1,1))-AVERAGE(OFFSET($H$3,0,0,'Données projet'!$E$12+1,1))</f>
        <v>438.68915237247444</v>
      </c>
      <c r="CE10" s="62">
        <f t="shared" si="40"/>
        <v>376.94419168335452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4.0476666666666672</v>
      </c>
      <c r="CT10" s="13">
        <f>IF('Données projet'!$A$140&gt;35,CT9+CS10-DB9,IF(A10&lt;'Données projet'!$A$140,$CQ$205^A10,IF(A10='Données projet'!$A$140,'Données projet'!$B$140,CT9+CS10-DB9)))</f>
        <v>3.0643807970633739</v>
      </c>
      <c r="CU10" s="18">
        <f>CT10*VLOOKUP('Données projet'!$B$13,Paramètres!$A$1:$I$89,3,0)*VLOOKUP('Données projet'!$B$13,Paramètres!$A$1:$I$89,5,0)</f>
        <v>1.434130213025659</v>
      </c>
      <c r="CV10" s="14">
        <f t="shared" si="41"/>
        <v>0.63374382216652581</v>
      </c>
      <c r="CW10" s="22">
        <f t="shared" si="13"/>
        <v>3.6015472779597215</v>
      </c>
      <c r="CX10" s="62">
        <f t="shared" si="14"/>
        <v>268.82376950018192</v>
      </c>
      <c r="CY10" s="62">
        <f ca="1">AVERAGE(OFFSET($CX$3,0,0,'Données projet'!$E$13+1,1))-AVERAGE(OFFSET($H$3,0,0,'Données projet'!$E$13+1,1))</f>
        <v>302.06513069580848</v>
      </c>
      <c r="CZ10" s="62">
        <f t="shared" si="42"/>
        <v>164.1450425611464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3.887142857142857</v>
      </c>
      <c r="N11" s="14">
        <f>IF('Données projet'!$A$36&gt;35,N10+M11-V10,IF(A11&lt;'Données projet'!$A$36,$K$205^A11,IF(A11='Données projet'!$A$36,'Données projet'!$B$36,N10+M11-V10)))</f>
        <v>31.097142857142849</v>
      </c>
      <c r="O11" s="14">
        <f>N11*VLOOKUP('Données projet'!$B$9,Paramètres!$A$1:$I$89,3,0)*VLOOKUP('Données projet'!$B$9,Paramètres!$A$1:$I$89,5,0)</f>
        <v>28.136694857142849</v>
      </c>
      <c r="P11" s="14">
        <f t="shared" si="33"/>
        <v>8.792851913254415</v>
      </c>
      <c r="Q11" s="22">
        <f t="shared" si="2"/>
        <v>64.318960625108559</v>
      </c>
      <c r="R11" s="62">
        <f t="shared" si="0"/>
        <v>330.76340506955302</v>
      </c>
      <c r="S11" s="62">
        <f ca="1">AVERAGE(OFFSET($R$3,0,0,'Données projet'!$E$9+1,1))-AVERAGE(OFFSET($H$3,0,0,'Données projet'!$E$9+1,1))</f>
        <v>581.88778927327667</v>
      </c>
      <c r="T11" s="62">
        <f t="shared" si="34"/>
        <v>269.67340993773422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2.9</v>
      </c>
      <c r="AI11" s="14">
        <f>IF('Données projet'!$A$62&gt;35,AI10+AH11-AQ10,IF(A11&lt;'Données projet'!$A$62,$AF$205^A11,IF(A11='Données projet'!$A$62,'Données projet'!$B$62,AI10+AH11-AQ10)))</f>
        <v>14.7883049748087</v>
      </c>
      <c r="AJ11" s="14">
        <f>AI11*VLOOKUP('Données projet'!$B$10,Paramètres!$A$1:$I$89,3,0)*VLOOKUP('Données projet'!$B$10,Paramètres!$A$1:$I$89,5,0)</f>
        <v>12.919063225992881</v>
      </c>
      <c r="AK11" s="14">
        <f t="shared" si="35"/>
        <v>4.4201376828121335</v>
      </c>
      <c r="AL11" s="22">
        <f t="shared" si="4"/>
        <v>30.199108249502064</v>
      </c>
      <c r="AM11" s="62">
        <f t="shared" si="5"/>
        <v>296.6435526939465</v>
      </c>
      <c r="AN11" s="62">
        <f ca="1">AVERAGE(OFFSET($AM$3,0,0,'Données projet'!$E$10+1,1))-AVERAGE(OFFSET($H$3,0,0,'Données projet'!$E$10+1,1))</f>
        <v>354.24684313982857</v>
      </c>
      <c r="AO11" s="62">
        <f t="shared" si="36"/>
        <v>322.65043486962185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3.28</v>
      </c>
      <c r="BD11" s="13">
        <f>IF('Données projet'!$A$88&gt;35,BD10+BC11-BL10,IF(A11&lt;'Données projet'!$A$88,$BA$205^A11,IF(A11='Données projet'!$A$88,'Données projet'!$B$88,BD10+BC11-BL10)))</f>
        <v>4.096570495328522</v>
      </c>
      <c r="BE11" s="14">
        <f>BD11*VLOOKUP('Données projet'!$B$11,Paramètres!$A$1:$I$89,3,0)*VLOOKUP('Données projet'!$B$11,Paramètres!$A$1:$I$89,5,0)</f>
        <v>3.8982964833546214</v>
      </c>
      <c r="BF11" s="14">
        <f t="shared" si="37"/>
        <v>1.5333775361165731</v>
      </c>
      <c r="BG11" s="22">
        <f t="shared" si="7"/>
        <v>9.46016558391233</v>
      </c>
      <c r="BH11" s="62">
        <f t="shared" si="8"/>
        <v>275.90461002835679</v>
      </c>
      <c r="BI11" s="62">
        <f ca="1">AVERAGE(OFFSET($BH$3,0,0,'Données projet'!$E$11+1,1))-AVERAGE(OFFSET($H$3,0,0,'Données projet'!$E$11+1,1))</f>
        <v>460.77543902152325</v>
      </c>
      <c r="BJ11" s="62">
        <f t="shared" si="38"/>
        <v>341.4342976721104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3.2373333333333334</v>
      </c>
      <c r="BY11" s="13">
        <f>IF('Données projet'!$A$114&gt;35,BY10+BX11-CG10,IF(A11&lt;'Données projet'!$A$114,$BV$205^A11,IF(A11='Données projet'!$A$114,'Données projet'!$B$114,BY10+BX11-CG10)))</f>
        <v>7.9313776342982827</v>
      </c>
      <c r="BZ11" s="14">
        <f>BY11*VLOOKUP('Données projet'!$B$12,Paramètres!$A$1:$I$89,3,0)*VLOOKUP('Données projet'!$B$12,Paramètres!$A$1:$I$89,5,0)</f>
        <v>4.7429638253103734</v>
      </c>
      <c r="CA11" s="14">
        <f t="shared" si="39"/>
        <v>1.8235164229512146</v>
      </c>
      <c r="CB11" s="22">
        <f t="shared" si="10"/>
        <v>11.436619765722265</v>
      </c>
      <c r="CC11" s="62">
        <f t="shared" si="11"/>
        <v>277.8810642101667</v>
      </c>
      <c r="CD11" s="62">
        <f ca="1">AVERAGE(OFFSET($CC$3,0,0,'Données projet'!$E$12+1,1))-AVERAGE(OFFSET($H$3,0,0,'Données projet'!$E$12+1,1))</f>
        <v>438.68915237247444</v>
      </c>
      <c r="CE11" s="62">
        <f t="shared" si="40"/>
        <v>376.94419168335452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4.0476666666666672</v>
      </c>
      <c r="CT11" s="13">
        <f>IF('Données projet'!$A$140&gt;35,CT10+CS11-DB10,IF(A11&lt;'Données projet'!$A$140,$CQ$205^A11,IF(A11='Données projet'!$A$140,'Données projet'!$B$140,CT10+CS11-DB10)))</f>
        <v>3.5960048213096187</v>
      </c>
      <c r="CU11" s="18">
        <f>CT11*VLOOKUP('Données projet'!$B$13,Paramètres!$A$1:$I$89,3,0)*VLOOKUP('Données projet'!$B$13,Paramètres!$A$1:$I$89,5,0)</f>
        <v>1.6829302563729016</v>
      </c>
      <c r="CV11" s="14">
        <f t="shared" si="41"/>
        <v>0.72996844535097327</v>
      </c>
      <c r="CW11" s="22">
        <f t="shared" si="13"/>
        <v>4.2024652388357486</v>
      </c>
      <c r="CX11" s="62">
        <f t="shared" si="14"/>
        <v>270.64690968328023</v>
      </c>
      <c r="CY11" s="62">
        <f ca="1">AVERAGE(OFFSET($CX$3,0,0,'Données projet'!$E$13+1,1))-AVERAGE(OFFSET($H$3,0,0,'Données projet'!$E$13+1,1))</f>
        <v>302.06513069580848</v>
      </c>
      <c r="CZ11" s="62">
        <f t="shared" si="42"/>
        <v>164.1450425611464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3.887142857142857</v>
      </c>
      <c r="N12" s="14">
        <f>IF('Données projet'!$A$36&gt;35,N11+M12-V11,IF(A12&lt;'Données projet'!$A$36,$K$205^A12,IF(A12='Données projet'!$A$36,'Données projet'!$B$36,N11+M12-V11)))</f>
        <v>34.984285714285704</v>
      </c>
      <c r="O12" s="14">
        <f>N12*VLOOKUP('Données projet'!$B$9,Paramètres!$A$1:$I$89,3,0)*VLOOKUP('Données projet'!$B$9,Paramètres!$A$1:$I$89,5,0)</f>
        <v>31.653781714285703</v>
      </c>
      <c r="P12" s="14">
        <f t="shared" si="33"/>
        <v>9.757265618420071</v>
      </c>
      <c r="Q12" s="22">
        <f t="shared" si="2"/>
        <v>72.124240771129223</v>
      </c>
      <c r="R12" s="62">
        <f t="shared" si="0"/>
        <v>339.79090743779591</v>
      </c>
      <c r="S12" s="62">
        <f ca="1">AVERAGE(OFFSET($R$3,0,0,'Données projet'!$E$9+1,1))-AVERAGE(OFFSET($H$3,0,0,'Données projet'!$E$9+1,1))</f>
        <v>581.88778927327667</v>
      </c>
      <c r="T12" s="62">
        <f t="shared" si="34"/>
        <v>269.67340993773422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2.9</v>
      </c>
      <c r="AI12" s="14">
        <f>IF('Données projet'!$A$62&gt;35,AI11+AH12-AQ11,IF(A12&lt;'Données projet'!$A$62,$AF$205^A12,IF(A12='Données projet'!$A$62,'Données projet'!$B$62,AI11+AH12-AQ11)))</f>
        <v>20.708955653761308</v>
      </c>
      <c r="AJ12" s="14">
        <f>AI12*VLOOKUP('Données projet'!$B$10,Paramètres!$A$1:$I$89,3,0)*VLOOKUP('Données projet'!$B$10,Paramètres!$A$1:$I$89,5,0)</f>
        <v>18.091343659125879</v>
      </c>
      <c r="AK12" s="14">
        <f t="shared" si="35"/>
        <v>5.9518679121149844</v>
      </c>
      <c r="AL12" s="22">
        <f t="shared" si="4"/>
        <v>41.875260153244504</v>
      </c>
      <c r="AM12" s="62">
        <f t="shared" si="5"/>
        <v>309.54192681991117</v>
      </c>
      <c r="AN12" s="62">
        <f ca="1">AVERAGE(OFFSET($AM$3,0,0,'Données projet'!$E$10+1,1))-AVERAGE(OFFSET($H$3,0,0,'Données projet'!$E$10+1,1))</f>
        <v>354.24684313982857</v>
      </c>
      <c r="AO12" s="62">
        <f t="shared" si="36"/>
        <v>322.65043486962185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3.28</v>
      </c>
      <c r="BD12" s="13">
        <f>IF('Données projet'!$A$88&gt;35,BD11+BC12-BL11,IF(A12&lt;'Données projet'!$A$88,$BA$205^A12,IF(A12='Données projet'!$A$88,'Données projet'!$B$88,BD11+BC12-BL11)))</f>
        <v>4.886219660830962</v>
      </c>
      <c r="BE12" s="14">
        <f>BD12*VLOOKUP('Données projet'!$B$11,Paramètres!$A$1:$I$89,3,0)*VLOOKUP('Données projet'!$B$11,Paramètres!$A$1:$I$89,5,0)</f>
        <v>4.6497266292467438</v>
      </c>
      <c r="BF12" s="14">
        <f t="shared" si="37"/>
        <v>1.7918057807279295</v>
      </c>
      <c r="BG12" s="22">
        <f t="shared" si="7"/>
        <v>11.219002280705888</v>
      </c>
      <c r="BH12" s="62">
        <f t="shared" si="8"/>
        <v>278.88566894737255</v>
      </c>
      <c r="BI12" s="62">
        <f ca="1">AVERAGE(OFFSET($BH$3,0,0,'Données projet'!$E$11+1,1))-AVERAGE(OFFSET($H$3,0,0,'Données projet'!$E$11+1,1))</f>
        <v>460.77543902152325</v>
      </c>
      <c r="BJ12" s="62">
        <f t="shared" si="38"/>
        <v>341.4342976721104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3.2373333333333334</v>
      </c>
      <c r="BY12" s="13">
        <f>IF('Données projet'!$A$114&gt;35,BY11+BX12-CG11,IF(A12&lt;'Données projet'!$A$114,$BV$205^A12,IF(A12='Données projet'!$A$114,'Données projet'!$B$114,BY11+BX12-CG11)))</f>
        <v>10.274654022618265</v>
      </c>
      <c r="BZ12" s="14">
        <f>BY12*VLOOKUP('Données projet'!$B$12,Paramètres!$A$1:$I$89,3,0)*VLOOKUP('Données projet'!$B$12,Paramètres!$A$1:$I$89,5,0)</f>
        <v>6.1442431055257218</v>
      </c>
      <c r="CA12" s="14">
        <f t="shared" si="39"/>
        <v>2.2921484178361289</v>
      </c>
      <c r="CB12" s="22">
        <f t="shared" si="10"/>
        <v>14.693381903188557</v>
      </c>
      <c r="CC12" s="62">
        <f t="shared" si="11"/>
        <v>282.36004856985522</v>
      </c>
      <c r="CD12" s="62">
        <f ca="1">AVERAGE(OFFSET($CC$3,0,0,'Données projet'!$E$12+1,1))-AVERAGE(OFFSET($H$3,0,0,'Données projet'!$E$12+1,1))</f>
        <v>438.68915237247444</v>
      </c>
      <c r="CE12" s="62">
        <f t="shared" si="40"/>
        <v>376.94419168335452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4.0476666666666672</v>
      </c>
      <c r="CT12" s="13">
        <f>IF('Données projet'!$A$140&gt;35,CT11+CS12-DB11,IF(A12&lt;'Données projet'!$A$140,$CQ$205^A12,IF(A12='Données projet'!$A$140,'Données projet'!$B$140,CT11+CS12-DB11)))</f>
        <v>4.2198576258127485</v>
      </c>
      <c r="CU12" s="18">
        <f>CT12*VLOOKUP('Données projet'!$B$13,Paramètres!$A$1:$I$89,3,0)*VLOOKUP('Données projet'!$B$13,Paramètres!$A$1:$I$89,5,0)</f>
        <v>1.9748933688803663</v>
      </c>
      <c r="CV12" s="14">
        <f t="shared" si="41"/>
        <v>0.84080335392697747</v>
      </c>
      <c r="CW12" s="22">
        <f t="shared" si="13"/>
        <v>4.9040051255561234</v>
      </c>
      <c r="CX12" s="62">
        <f t="shared" si="14"/>
        <v>272.57067179222281</v>
      </c>
      <c r="CY12" s="62">
        <f ca="1">AVERAGE(OFFSET($CX$3,0,0,'Données projet'!$E$13+1,1))-AVERAGE(OFFSET($H$3,0,0,'Données projet'!$E$13+1,1))</f>
        <v>302.06513069580848</v>
      </c>
      <c r="CZ12" s="62">
        <f t="shared" si="42"/>
        <v>164.1450425611464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3.887142857142857</v>
      </c>
      <c r="N13" s="14">
        <f>IF('Données projet'!$A$36&gt;35,N12+M13-V12,IF(A13&lt;'Données projet'!$A$36,$K$205^A13,IF(A13='Données projet'!$A$36,'Données projet'!$B$36,N12+M13-V12)))</f>
        <v>38.871428571428559</v>
      </c>
      <c r="O13" s="14">
        <f>N13*VLOOKUP('Données projet'!$B$9,Paramètres!$A$1:$I$89,3,0)*VLOOKUP('Données projet'!$B$9,Paramètres!$A$1:$I$89,5,0)</f>
        <v>35.170868571428556</v>
      </c>
      <c r="P13" s="14">
        <f t="shared" si="33"/>
        <v>10.709259603674569</v>
      </c>
      <c r="Q13" s="22">
        <f t="shared" si="2"/>
        <v>79.90788990497127</v>
      </c>
      <c r="R13" s="62">
        <f t="shared" si="0"/>
        <v>348.79677879386014</v>
      </c>
      <c r="S13" s="62">
        <f ca="1">AVERAGE(OFFSET($R$3,0,0,'Données projet'!$E$9+1,1))-AVERAGE(OFFSET($H$3,0,0,'Données projet'!$E$9+1,1))</f>
        <v>581.88778927327667</v>
      </c>
      <c r="T13" s="62">
        <f t="shared" si="34"/>
        <v>269.67340993773422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29</v>
      </c>
      <c r="AG13" s="13">
        <f>VLOOKUP(A13,'Données projet'!$A$61:$I$81,9,0)</f>
        <v>2.9</v>
      </c>
      <c r="AH13" s="13">
        <f t="array" ref="AH13">INDEX(AG:AG,MIN(IF(ISNUMBER(AG13:AG209),ROW(AG13:AG209),"")))</f>
        <v>2.9</v>
      </c>
      <c r="AI13" s="14">
        <f>IF('Données projet'!$A$62&gt;35,AI12+AH13-AQ12,IF(A13&lt;'Données projet'!$A$62,$AF$205^A13,IF(A13='Données projet'!$A$62,'Données projet'!$B$62,AI12+AH13-AQ12)))</f>
        <v>29</v>
      </c>
      <c r="AJ13" s="14">
        <f>AI13*VLOOKUP('Données projet'!$B$10,Paramètres!$A$1:$I$89,3,0)*VLOOKUP('Données projet'!$B$10,Paramètres!$A$1:$I$89,5,0)</f>
        <v>25.334400000000002</v>
      </c>
      <c r="AK13" s="14">
        <f t="shared" si="35"/>
        <v>8.0143955200794572</v>
      </c>
      <c r="AL13" s="22">
        <f t="shared" si="4"/>
        <v>58.082485530805059</v>
      </c>
      <c r="AM13" s="62">
        <f t="shared" si="5"/>
        <v>326.97137441969392</v>
      </c>
      <c r="AN13" s="62">
        <f ca="1">AVERAGE(OFFSET($AM$3,0,0,'Données projet'!$E$10+1,1))-AVERAGE(OFFSET($H$3,0,0,'Données projet'!$E$10+1,1))</f>
        <v>354.24684313982857</v>
      </c>
      <c r="AO13" s="62">
        <f t="shared" si="36"/>
        <v>322.65043486962185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3.28</v>
      </c>
      <c r="BD13" s="13">
        <f>IF('Données projet'!$A$88&gt;35,BD12+BC13-BL12,IF(A13&lt;'Données projet'!$A$88,$BA$205^A13,IF(A13='Données projet'!$A$88,'Données projet'!$B$88,BD12+BC13-BL12)))</f>
        <v>5.8280804885737458</v>
      </c>
      <c r="BE13" s="14">
        <f>BD13*VLOOKUP('Données projet'!$B$11,Paramètres!$A$1:$I$89,3,0)*VLOOKUP('Données projet'!$B$11,Paramètres!$A$1:$I$89,5,0)</f>
        <v>5.5460013929267769</v>
      </c>
      <c r="BF13" s="14">
        <f t="shared" si="37"/>
        <v>2.0937883073343433</v>
      </c>
      <c r="BG13" s="22">
        <f t="shared" si="7"/>
        <v>13.305967061288117</v>
      </c>
      <c r="BH13" s="62">
        <f t="shared" si="8"/>
        <v>282.19485595017699</v>
      </c>
      <c r="BI13" s="62">
        <f ca="1">AVERAGE(OFFSET($BH$3,0,0,'Données projet'!$E$11+1,1))-AVERAGE(OFFSET($H$3,0,0,'Données projet'!$E$11+1,1))</f>
        <v>460.77543902152325</v>
      </c>
      <c r="BJ13" s="62">
        <f t="shared" si="38"/>
        <v>341.4342976721104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3.2373333333333334</v>
      </c>
      <c r="BY13" s="13">
        <f>IF('Données projet'!$A$114&gt;35,BY12+BX13-CG12,IF(A13&lt;'Données projet'!$A$114,$BV$205^A13,IF(A13='Données projet'!$A$114,'Données projet'!$B$114,BY12+BX13-CG12)))</f>
        <v>13.310236903610214</v>
      </c>
      <c r="BZ13" s="14">
        <f>BY13*VLOOKUP('Données projet'!$B$12,Paramètres!$A$1:$I$89,3,0)*VLOOKUP('Données projet'!$B$12,Paramètres!$A$1:$I$89,5,0)</f>
        <v>7.9595216683589083</v>
      </c>
      <c r="CA13" s="14">
        <f t="shared" si="39"/>
        <v>2.8812158219477846</v>
      </c>
      <c r="CB13" s="22">
        <f t="shared" si="10"/>
        <v>18.880951128950827</v>
      </c>
      <c r="CC13" s="62">
        <f t="shared" si="11"/>
        <v>287.76984001783967</v>
      </c>
      <c r="CD13" s="62">
        <f ca="1">AVERAGE(OFFSET($CC$3,0,0,'Données projet'!$E$12+1,1))-AVERAGE(OFFSET($H$3,0,0,'Données projet'!$E$12+1,1))</f>
        <v>438.68915237247444</v>
      </c>
      <c r="CE13" s="62">
        <f t="shared" si="40"/>
        <v>376.94419168335452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4.0476666666666672</v>
      </c>
      <c r="CT13" s="13">
        <f>IF('Données projet'!$A$140&gt;35,CT12+CS13-DB12,IF(A13&lt;'Données projet'!$A$140,$CQ$205^A13,IF(A13='Données projet'!$A$140,'Données projet'!$B$140,CT12+CS13-DB12)))</f>
        <v>4.9519395181580572</v>
      </c>
      <c r="CU13" s="18">
        <f>CT13*VLOOKUP('Données projet'!$B$13,Paramètres!$A$1:$I$89,3,0)*VLOOKUP('Données projet'!$B$13,Paramètres!$A$1:$I$89,5,0)</f>
        <v>2.3175076944979707</v>
      </c>
      <c r="CV13" s="14">
        <f t="shared" si="41"/>
        <v>0.96846690357272658</v>
      </c>
      <c r="CW13" s="22">
        <f t="shared" si="13"/>
        <v>5.7230724249731315</v>
      </c>
      <c r="CX13" s="62">
        <f t="shared" si="14"/>
        <v>274.61196131386197</v>
      </c>
      <c r="CY13" s="62">
        <f ca="1">AVERAGE(OFFSET($CX$3,0,0,'Données projet'!$E$13+1,1))-AVERAGE(OFFSET($H$3,0,0,'Données projet'!$E$13+1,1))</f>
        <v>302.06513069580848</v>
      </c>
      <c r="CZ13" s="62">
        <f t="shared" si="42"/>
        <v>164.1450425611464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3.887142857142857</v>
      </c>
      <c r="N14" s="14">
        <f>IF('Données projet'!$A$36&gt;35,N13+M14-V13,IF(A14&lt;'Données projet'!$A$36,$K$205^A14,IF(A14='Données projet'!$A$36,'Données projet'!$B$36,N13+M14-V13)))</f>
        <v>42.758571428571415</v>
      </c>
      <c r="O14" s="14">
        <f>N14*VLOOKUP('Données projet'!$B$9,Paramètres!$A$1:$I$89,3,0)*VLOOKUP('Données projet'!$B$9,Paramètres!$A$1:$I$89,5,0)</f>
        <v>38.687955428571414</v>
      </c>
      <c r="P14" s="14">
        <f t="shared" si="33"/>
        <v>11.650217223542473</v>
      </c>
      <c r="Q14" s="22">
        <f t="shared" si="2"/>
        <v>87.672317369098337</v>
      </c>
      <c r="R14" s="62">
        <f t="shared" si="0"/>
        <v>357.78342848020947</v>
      </c>
      <c r="S14" s="62">
        <f ca="1">AVERAGE(OFFSET($R$3,0,0,'Données projet'!$E$9+1,1))-AVERAGE(OFFSET($H$3,0,0,'Données projet'!$E$9+1,1))</f>
        <v>581.88778927327667</v>
      </c>
      <c r="T14" s="62">
        <f t="shared" si="34"/>
        <v>269.67340993773422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8.8000000000000007</v>
      </c>
      <c r="AI14" s="14">
        <f>IF('Données projet'!$A$62&gt;35,AI13+AH14-AQ13,IF(A14&lt;'Données projet'!$A$62,$AF$205^A14,IF(A14='Données projet'!$A$62,'Données projet'!$B$62,AI13+AH14-AQ13)))</f>
        <v>37.799999999999997</v>
      </c>
      <c r="AJ14" s="14">
        <f>AI14*VLOOKUP('Données projet'!$B$10,Paramètres!$A$1:$I$89,3,0)*VLOOKUP('Données projet'!$B$10,Paramètres!$A$1:$I$89,5,0)</f>
        <v>33.022080000000003</v>
      </c>
      <c r="AK14" s="14">
        <f t="shared" si="35"/>
        <v>10.129025278332465</v>
      </c>
      <c r="AL14" s="22">
        <f t="shared" si="4"/>
        <v>75.154841693095705</v>
      </c>
      <c r="AM14" s="62">
        <f t="shared" si="5"/>
        <v>345.26595280420685</v>
      </c>
      <c r="AN14" s="62">
        <f ca="1">AVERAGE(OFFSET($AM$3,0,0,'Données projet'!$E$10+1,1))-AVERAGE(OFFSET($H$3,0,0,'Données projet'!$E$10+1,1))</f>
        <v>354.24684313982857</v>
      </c>
      <c r="AO14" s="62">
        <f t="shared" si="36"/>
        <v>322.65043486962185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3.28</v>
      </c>
      <c r="BD14" s="13">
        <f>IF('Données projet'!$A$88&gt;35,BD13+BC14-BL13,IF(A14&lt;'Données projet'!$A$88,$BA$205^A14,IF(A14='Données projet'!$A$88,'Données projet'!$B$88,BD13+BC14-BL13)))</f>
        <v>6.951493084434432</v>
      </c>
      <c r="BE14" s="14">
        <f>BD14*VLOOKUP('Données projet'!$B$11,Paramètres!$A$1:$I$89,3,0)*VLOOKUP('Données projet'!$B$11,Paramètres!$A$1:$I$89,5,0)</f>
        <v>6.6150408191478061</v>
      </c>
      <c r="BF14" s="14">
        <f t="shared" si="37"/>
        <v>2.4466655499621242</v>
      </c>
      <c r="BG14" s="22">
        <f t="shared" si="7"/>
        <v>15.782471926199797</v>
      </c>
      <c r="BH14" s="62">
        <f t="shared" si="8"/>
        <v>285.89358303731092</v>
      </c>
      <c r="BI14" s="62">
        <f ca="1">AVERAGE(OFFSET($BH$3,0,0,'Données projet'!$E$11+1,1))-AVERAGE(OFFSET($H$3,0,0,'Données projet'!$E$11+1,1))</f>
        <v>460.77543902152325</v>
      </c>
      <c r="BJ14" s="62">
        <f t="shared" si="38"/>
        <v>341.4342976721104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3.2373333333333334</v>
      </c>
      <c r="BY14" s="13">
        <f>IF('Données projet'!$A$114&gt;35,BY13+BX14-CG13,IF(A14&lt;'Données projet'!$A$114,$BV$205^A14,IF(A14='Données projet'!$A$114,'Données projet'!$B$114,BY13+BX14-CG13)))</f>
        <v>17.242663941795808</v>
      </c>
      <c r="BZ14" s="14">
        <f>BY14*VLOOKUP('Données projet'!$B$12,Paramètres!$A$1:$I$89,3,0)*VLOOKUP('Données projet'!$B$12,Paramètres!$A$1:$I$89,5,0)</f>
        <v>10.311113037193895</v>
      </c>
      <c r="CA14" s="14">
        <f t="shared" si="39"/>
        <v>3.6216697610179529</v>
      </c>
      <c r="CB14" s="22">
        <f t="shared" si="10"/>
        <v>24.266263373552302</v>
      </c>
      <c r="CC14" s="62">
        <f t="shared" si="11"/>
        <v>294.37737448466345</v>
      </c>
      <c r="CD14" s="62">
        <f ca="1">AVERAGE(OFFSET($CC$3,0,0,'Données projet'!$E$12+1,1))-AVERAGE(OFFSET($H$3,0,0,'Données projet'!$E$12+1,1))</f>
        <v>438.68915237247444</v>
      </c>
      <c r="CE14" s="62">
        <f t="shared" si="40"/>
        <v>376.94419168335452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4.0476666666666672</v>
      </c>
      <c r="CT14" s="13">
        <f>IF('Données projet'!$A$140&gt;35,CT13+CS14-DB13,IF(A14&lt;'Données projet'!$A$140,$CQ$205^A14,IF(A14='Données projet'!$A$140,'Données projet'!$B$140,CT13+CS14-DB13)))</f>
        <v>5.8110266188832735</v>
      </c>
      <c r="CU14" s="18">
        <f>CT14*VLOOKUP('Données projet'!$B$13,Paramètres!$A$1:$I$89,3,0)*VLOOKUP('Données projet'!$B$13,Paramètres!$A$1:$I$89,5,0)</f>
        <v>2.719560457637372</v>
      </c>
      <c r="CV14" s="14">
        <f t="shared" si="41"/>
        <v>1.1155142744556685</v>
      </c>
      <c r="CW14" s="22">
        <f t="shared" si="13"/>
        <v>6.6794218250620458</v>
      </c>
      <c r="CX14" s="62">
        <f t="shared" si="14"/>
        <v>276.79053293617318</v>
      </c>
      <c r="CY14" s="62">
        <f ca="1">AVERAGE(OFFSET($CX$3,0,0,'Données projet'!$E$13+1,1))-AVERAGE(OFFSET($H$3,0,0,'Données projet'!$E$13+1,1))</f>
        <v>302.06513069580848</v>
      </c>
      <c r="CZ14" s="62">
        <f t="shared" si="42"/>
        <v>164.1450425611464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3.887142857142857</v>
      </c>
      <c r="N15" s="14">
        <f>IF('Données projet'!$A$36&gt;35,N14+M15-V14,IF(A15&lt;'Données projet'!$A$36,$K$205^A15,IF(A15='Données projet'!$A$36,'Données projet'!$B$36,N14+M15-V14)))</f>
        <v>46.64571428571427</v>
      </c>
      <c r="O15" s="14">
        <f>N15*VLOOKUP('Données projet'!$B$9,Paramètres!$A$1:$I$89,3,0)*VLOOKUP('Données projet'!$B$9,Paramètres!$A$1:$I$89,5,0)</f>
        <v>42.205042285714271</v>
      </c>
      <c r="P15" s="14">
        <f t="shared" si="33"/>
        <v>12.581255887241159</v>
      </c>
      <c r="Q15" s="22">
        <f t="shared" si="2"/>
        <v>95.419469317897367</v>
      </c>
      <c r="R15" s="62">
        <f t="shared" si="0"/>
        <v>366.7528026512307</v>
      </c>
      <c r="S15" s="62">
        <f ca="1">AVERAGE(OFFSET($R$3,0,0,'Données projet'!$E$9+1,1))-AVERAGE(OFFSET($H$3,0,0,'Données projet'!$E$9+1,1))</f>
        <v>581.88778927327667</v>
      </c>
      <c r="T15" s="62">
        <f t="shared" si="34"/>
        <v>269.67340993773422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8.8000000000000007</v>
      </c>
      <c r="AI15" s="14">
        <f>IF('Données projet'!$A$62&gt;35,AI14+AH15-AQ14,IF(A15&lt;'Données projet'!$A$62,$AF$205^A15,IF(A15='Données projet'!$A$62,'Données projet'!$B$62,AI14+AH15-AQ14)))</f>
        <v>46.599999999999994</v>
      </c>
      <c r="AJ15" s="14">
        <f>AI15*VLOOKUP('Données projet'!$B$10,Paramètres!$A$1:$I$89,3,0)*VLOOKUP('Données projet'!$B$10,Paramètres!$A$1:$I$89,5,0)</f>
        <v>40.709760000000003</v>
      </c>
      <c r="AK15" s="14">
        <f t="shared" si="35"/>
        <v>12.186575870088381</v>
      </c>
      <c r="AL15" s="22">
        <f t="shared" si="4"/>
        <v>92.127784973737278</v>
      </c>
      <c r="AM15" s="62">
        <f t="shared" si="5"/>
        <v>363.46111830707059</v>
      </c>
      <c r="AN15" s="62">
        <f ca="1">AVERAGE(OFFSET($AM$3,0,0,'Données projet'!$E$10+1,1))-AVERAGE(OFFSET($H$3,0,0,'Données projet'!$E$10+1,1))</f>
        <v>354.24684313982857</v>
      </c>
      <c r="AO15" s="62">
        <f t="shared" si="36"/>
        <v>322.65043486962185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3.28</v>
      </c>
      <c r="BD15" s="13">
        <f>IF('Données projet'!$A$88&gt;35,BD14+BC15-BL14,IF(A15&lt;'Données projet'!$A$88,$BA$205^A15,IF(A15='Données projet'!$A$88,'Données projet'!$B$88,BD14+BC15-BL14)))</f>
        <v>8.2914531118230066</v>
      </c>
      <c r="BE15" s="14">
        <f>BD15*VLOOKUP('Données projet'!$B$11,Paramètres!$A$1:$I$89,3,0)*VLOOKUP('Données projet'!$B$11,Paramètres!$A$1:$I$89,5,0)</f>
        <v>7.890146781210774</v>
      </c>
      <c r="BF15" s="14">
        <f t="shared" si="37"/>
        <v>2.8590150648957526</v>
      </c>
      <c r="BG15" s="22">
        <f t="shared" si="7"/>
        <v>18.721456881968866</v>
      </c>
      <c r="BH15" s="62">
        <f t="shared" si="8"/>
        <v>290.05479021530221</v>
      </c>
      <c r="BI15" s="62">
        <f ca="1">AVERAGE(OFFSET($BH$3,0,0,'Données projet'!$E$11+1,1))-AVERAGE(OFFSET($H$3,0,0,'Données projet'!$E$11+1,1))</f>
        <v>460.77543902152325</v>
      </c>
      <c r="BJ15" s="62">
        <f t="shared" si="38"/>
        <v>341.4342976721104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3.2373333333333334</v>
      </c>
      <c r="BY15" s="13">
        <f>IF('Données projet'!$A$114&gt;35,BY14+BX15-CG14,IF(A15&lt;'Données projet'!$A$114,$BV$205^A15,IF(A15='Données projet'!$A$114,'Données projet'!$B$114,BY14+BX15-CG14)))</f>
        <v>22.336902187598508</v>
      </c>
      <c r="BZ15" s="14">
        <f>BY15*VLOOKUP('Données projet'!$B$12,Paramètres!$A$1:$I$89,3,0)*VLOOKUP('Données projet'!$B$12,Paramètres!$A$1:$I$89,5,0)</f>
        <v>13.357467508183909</v>
      </c>
      <c r="CA15" s="14">
        <f t="shared" si="39"/>
        <v>4.5524156010654915</v>
      </c>
      <c r="CB15" s="22">
        <f t="shared" si="10"/>
        <v>31.193046415276033</v>
      </c>
      <c r="CC15" s="62">
        <f t="shared" si="11"/>
        <v>302.52637974860937</v>
      </c>
      <c r="CD15" s="62">
        <f ca="1">AVERAGE(OFFSET($CC$3,0,0,'Données projet'!$E$12+1,1))-AVERAGE(OFFSET($H$3,0,0,'Données projet'!$E$12+1,1))</f>
        <v>438.68915237247444</v>
      </c>
      <c r="CE15" s="62">
        <f t="shared" si="40"/>
        <v>376.94419168335452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4.0476666666666672</v>
      </c>
      <c r="CT15" s="13">
        <f>IF('Données projet'!$A$140&gt;35,CT14+CS15-DB14,IF(A15&lt;'Données projet'!$A$140,$CQ$205^A15,IF(A15='Données projet'!$A$140,'Données projet'!$B$140,CT14+CS15-DB14)))</f>
        <v>6.8191524233176528</v>
      </c>
      <c r="CU15" s="18">
        <f>CT15*VLOOKUP('Données projet'!$B$13,Paramètres!$A$1:$I$89,3,0)*VLOOKUP('Données projet'!$B$13,Paramètres!$A$1:$I$89,5,0)</f>
        <v>3.1913633341126615</v>
      </c>
      <c r="CV15" s="14">
        <f t="shared" si="41"/>
        <v>1.2848886130479014</v>
      </c>
      <c r="CW15" s="22">
        <f t="shared" si="13"/>
        <v>7.796138807971313</v>
      </c>
      <c r="CX15" s="62">
        <f t="shared" si="14"/>
        <v>279.12947214130463</v>
      </c>
      <c r="CY15" s="62">
        <f ca="1">AVERAGE(OFFSET($CX$3,0,0,'Données projet'!$E$13+1,1))-AVERAGE(OFFSET($H$3,0,0,'Données projet'!$E$13+1,1))</f>
        <v>302.06513069580848</v>
      </c>
      <c r="CZ15" s="62">
        <f t="shared" si="42"/>
        <v>164.1450425611464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3.887142857142857</v>
      </c>
      <c r="N16" s="14">
        <f>IF('Données projet'!$A$36&gt;35,N15+M16-V15,IF(A16&lt;'Données projet'!$A$36,$K$205^A16,IF(A16='Données projet'!$A$36,'Données projet'!$B$36,N15+M16-V15)))</f>
        <v>50.532857142857125</v>
      </c>
      <c r="O16" s="14">
        <f>N16*VLOOKUP('Données projet'!$B$9,Paramètres!$A$1:$I$89,3,0)*VLOOKUP('Données projet'!$B$9,Paramètres!$A$1:$I$89,5,0)</f>
        <v>45.722129142857128</v>
      </c>
      <c r="P16" s="14">
        <f t="shared" si="33"/>
        <v>13.50329614922042</v>
      </c>
      <c r="Q16" s="22">
        <f t="shared" si="2"/>
        <v>103.1509490503684</v>
      </c>
      <c r="R16" s="62">
        <f t="shared" si="0"/>
        <v>375.70650460592395</v>
      </c>
      <c r="S16" s="62">
        <f ca="1">AVERAGE(OFFSET($R$3,0,0,'Données projet'!$E$9+1,1))-AVERAGE(OFFSET($H$3,0,0,'Données projet'!$E$9+1,1))</f>
        <v>581.88778927327667</v>
      </c>
      <c r="T16" s="62">
        <f t="shared" si="34"/>
        <v>269.67340993773422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8.8000000000000007</v>
      </c>
      <c r="AI16" s="14">
        <f>IF('Données projet'!$A$62&gt;35,AI15+AH16-AQ15,IF(A16&lt;'Données projet'!$A$62,$AF$205^A16,IF(A16='Données projet'!$A$62,'Données projet'!$B$62,AI15+AH16-AQ15)))</f>
        <v>55.399999999999991</v>
      </c>
      <c r="AJ16" s="14">
        <f>AI16*VLOOKUP('Données projet'!$B$10,Paramètres!$A$1:$I$89,3,0)*VLOOKUP('Données projet'!$B$10,Paramètres!$A$1:$I$89,5,0)</f>
        <v>48.397439999999996</v>
      </c>
      <c r="AK16" s="14">
        <f t="shared" si="35"/>
        <v>14.199110166340073</v>
      </c>
      <c r="AL16" s="22">
        <f t="shared" si="4"/>
        <v>109.02232487304228</v>
      </c>
      <c r="AM16" s="62">
        <f t="shared" si="5"/>
        <v>381.57788042859784</v>
      </c>
      <c r="AN16" s="62">
        <f ca="1">AVERAGE(OFFSET($AM$3,0,0,'Données projet'!$E$10+1,1))-AVERAGE(OFFSET($H$3,0,0,'Données projet'!$E$10+1,1))</f>
        <v>354.24684313982857</v>
      </c>
      <c r="AO16" s="62">
        <f t="shared" si="36"/>
        <v>322.65043486962185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3.28</v>
      </c>
      <c r="BD16" s="13">
        <f>IF('Données projet'!$A$88&gt;35,BD15+BC16-BL15,IF(A16&lt;'Données projet'!$A$88,$BA$205^A16,IF(A16='Données projet'!$A$88,'Données projet'!$B$88,BD15+BC16-BL15)))</f>
        <v>9.889701948995425</v>
      </c>
      <c r="BE16" s="14">
        <f>BD16*VLOOKUP('Données projet'!$B$11,Paramètres!$A$1:$I$89,3,0)*VLOOKUP('Données projet'!$B$11,Paramètres!$A$1:$I$89,5,0)</f>
        <v>9.4110403746640472</v>
      </c>
      <c r="BF16" s="14">
        <f t="shared" si="37"/>
        <v>3.3408600294500417</v>
      </c>
      <c r="BG16" s="22">
        <f t="shared" si="7"/>
        <v>22.209559870498705</v>
      </c>
      <c r="BH16" s="62">
        <f t="shared" si="8"/>
        <v>294.76511542605425</v>
      </c>
      <c r="BI16" s="62">
        <f ca="1">AVERAGE(OFFSET($BH$3,0,0,'Données projet'!$E$11+1,1))-AVERAGE(OFFSET($H$3,0,0,'Données projet'!$E$11+1,1))</f>
        <v>460.77543902152325</v>
      </c>
      <c r="BJ16" s="62">
        <f t="shared" si="38"/>
        <v>341.4342976721104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3.2373333333333334</v>
      </c>
      <c r="BY16" s="13">
        <f>IF('Données projet'!$A$114&gt;35,BY15+BX16-CG15,IF(A16&lt;'Données projet'!$A$114,$BV$205^A16,IF(A16='Données projet'!$A$114,'Données projet'!$B$114,BY15+BX16-CG15)))</f>
        <v>28.936201565056958</v>
      </c>
      <c r="BZ16" s="14">
        <f>BY16*VLOOKUP('Données projet'!$B$12,Paramètres!$A$1:$I$89,3,0)*VLOOKUP('Données projet'!$B$12,Paramètres!$A$1:$I$89,5,0)</f>
        <v>17.303848535904063</v>
      </c>
      <c r="CA16" s="14">
        <f t="shared" si="39"/>
        <v>5.7223571370017456</v>
      </c>
      <c r="CB16" s="22">
        <f t="shared" si="10"/>
        <v>40.10397488031095</v>
      </c>
      <c r="CC16" s="62">
        <f t="shared" si="11"/>
        <v>312.65953043586649</v>
      </c>
      <c r="CD16" s="62">
        <f ca="1">AVERAGE(OFFSET($CC$3,0,0,'Données projet'!$E$12+1,1))-AVERAGE(OFFSET($H$3,0,0,'Données projet'!$E$12+1,1))</f>
        <v>438.68915237247444</v>
      </c>
      <c r="CE16" s="62">
        <f t="shared" si="40"/>
        <v>376.94419168335452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4.0476666666666672</v>
      </c>
      <c r="CT16" s="13">
        <f>IF('Données projet'!$A$140&gt;35,CT15+CS16-DB15,IF(A16&lt;'Données projet'!$A$140,$CQ$205^A16,IF(A16='Données projet'!$A$140,'Données projet'!$B$140,CT15+CS16-DB15)))</f>
        <v>8.0021729071644234</v>
      </c>
      <c r="CU16" s="18">
        <f>CT16*VLOOKUP('Données projet'!$B$13,Paramètres!$A$1:$I$89,3,0)*VLOOKUP('Données projet'!$B$13,Paramètres!$A$1:$I$89,5,0)</f>
        <v>3.74501692055295</v>
      </c>
      <c r="CV16" s="14">
        <f t="shared" si="41"/>
        <v>1.4799799390695914</v>
      </c>
      <c r="CW16" s="22">
        <f t="shared" si="13"/>
        <v>9.1002028638425916</v>
      </c>
      <c r="CX16" s="62">
        <f t="shared" si="14"/>
        <v>281.65575841939813</v>
      </c>
      <c r="CY16" s="62">
        <f ca="1">AVERAGE(OFFSET($CX$3,0,0,'Données projet'!$E$13+1,1))-AVERAGE(OFFSET($H$3,0,0,'Données projet'!$E$13+1,1))</f>
        <v>302.06513069580848</v>
      </c>
      <c r="CZ16" s="62">
        <f t="shared" si="42"/>
        <v>164.1450425611464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3.887142857142857</v>
      </c>
      <c r="N17" s="14">
        <f>IF('Données projet'!$A$36&gt;35,N16+M17-V16,IF(A17&lt;'Données projet'!$A$36,$K$205^A17,IF(A17='Données projet'!$A$36,'Données projet'!$B$36,N16+M17-V16)))</f>
        <v>54.41999999999998</v>
      </c>
      <c r="O17" s="14">
        <f>N17*VLOOKUP('Données projet'!$B$9,Paramètres!$A$1:$I$89,3,0)*VLOOKUP('Données projet'!$B$9,Paramètres!$A$1:$I$89,5,0)</f>
        <v>49.239215999999978</v>
      </c>
      <c r="P17" s="14">
        <f t="shared" si="33"/>
        <v>14.417108895027585</v>
      </c>
      <c r="Q17" s="22">
        <f t="shared" si="2"/>
        <v>110.86809919217301</v>
      </c>
      <c r="R17" s="62">
        <f t="shared" si="0"/>
        <v>384.64587696995079</v>
      </c>
      <c r="S17" s="62">
        <f ca="1">AVERAGE(OFFSET($R$3,0,0,'Données projet'!$E$9+1,1))-AVERAGE(OFFSET($H$3,0,0,'Données projet'!$E$9+1,1))</f>
        <v>581.88778927327667</v>
      </c>
      <c r="T17" s="62">
        <f t="shared" si="34"/>
        <v>269.67340993773422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8.8000000000000007</v>
      </c>
      <c r="AI17" s="14">
        <f>IF('Données projet'!$A$62&gt;35,AI16+AH17-AQ16,IF(A17&lt;'Données projet'!$A$62,$AF$205^A17,IF(A17='Données projet'!$A$62,'Données projet'!$B$62,AI16+AH17-AQ16)))</f>
        <v>64.199999999999989</v>
      </c>
      <c r="AJ17" s="14">
        <f>AI17*VLOOKUP('Données projet'!$B$10,Paramètres!$A$1:$I$89,3,0)*VLOOKUP('Données projet'!$B$10,Paramètres!$A$1:$I$89,5,0)</f>
        <v>56.085119999999996</v>
      </c>
      <c r="AK17" s="14">
        <f t="shared" si="35"/>
        <v>16.174611252215492</v>
      </c>
      <c r="AL17" s="22">
        <f t="shared" si="4"/>
        <v>125.85236526427531</v>
      </c>
      <c r="AM17" s="62">
        <f t="shared" si="5"/>
        <v>399.63014304205308</v>
      </c>
      <c r="AN17" s="62">
        <f ca="1">AVERAGE(OFFSET($AM$3,0,0,'Données projet'!$E$10+1,1))-AVERAGE(OFFSET($H$3,0,0,'Données projet'!$E$10+1,1))</f>
        <v>354.24684313982857</v>
      </c>
      <c r="AO17" s="62">
        <f t="shared" si="36"/>
        <v>322.65043486962185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3.28</v>
      </c>
      <c r="BD17" s="13">
        <f>IF('Données projet'!$A$88&gt;35,BD16+BC17-BL16,IF(A17&lt;'Données projet'!$A$88,$BA$205^A17,IF(A17='Données projet'!$A$88,'Données projet'!$B$88,BD16+BC17-BL16)))</f>
        <v>11.796026983557251</v>
      </c>
      <c r="BE17" s="14">
        <f>BD17*VLOOKUP('Données projet'!$B$11,Paramètres!$A$1:$I$89,3,0)*VLOOKUP('Données projet'!$B$11,Paramètres!$A$1:$I$89,5,0)</f>
        <v>11.225099277553081</v>
      </c>
      <c r="BF17" s="14">
        <f t="shared" si="37"/>
        <v>3.9039128801456324</v>
      </c>
      <c r="BG17" s="22">
        <f t="shared" si="7"/>
        <v>26.349696174658593</v>
      </c>
      <c r="BH17" s="62">
        <f t="shared" si="8"/>
        <v>300.12747395243639</v>
      </c>
      <c r="BI17" s="62">
        <f ca="1">AVERAGE(OFFSET($BH$3,0,0,'Données projet'!$E$11+1,1))-AVERAGE(OFFSET($H$3,0,0,'Données projet'!$E$11+1,1))</f>
        <v>460.77543902152325</v>
      </c>
      <c r="BJ17" s="62">
        <f t="shared" si="38"/>
        <v>341.4342976721104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3.2373333333333334</v>
      </c>
      <c r="BY17" s="13">
        <f>IF('Données projet'!$A$114&gt;35,BY16+BX17-CG16,IF(A17&lt;'Données projet'!$A$114,$BV$205^A17,IF(A17='Données projet'!$A$114,'Données projet'!$B$114,BY16+BX17-CG16)))</f>
        <v>37.485223061883545</v>
      </c>
      <c r="BZ17" s="14">
        <f>BY17*VLOOKUP('Données projet'!$B$12,Paramètres!$A$1:$I$89,3,0)*VLOOKUP('Données projet'!$B$12,Paramètres!$A$1:$I$89,5,0)</f>
        <v>22.416163391006364</v>
      </c>
      <c r="CA17" s="14">
        <f t="shared" si="39"/>
        <v>7.1929661245626981</v>
      </c>
      <c r="CB17" s="22">
        <f t="shared" si="10"/>
        <v>51.569233906282783</v>
      </c>
      <c r="CC17" s="62">
        <f t="shared" si="11"/>
        <v>325.34701168406053</v>
      </c>
      <c r="CD17" s="62">
        <f ca="1">AVERAGE(OFFSET($CC$3,0,0,'Données projet'!$E$12+1,1))-AVERAGE(OFFSET($H$3,0,0,'Données projet'!$E$12+1,1))</f>
        <v>438.68915237247444</v>
      </c>
      <c r="CE17" s="62">
        <f t="shared" si="40"/>
        <v>376.94419168335452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4.0476666666666672</v>
      </c>
      <c r="CT17" s="13">
        <f>IF('Données projet'!$A$140&gt;35,CT16+CS17-DB16,IF(A17&lt;'Données projet'!$A$140,$CQ$205^A17,IF(A17='Données projet'!$A$140,'Données projet'!$B$140,CT16+CS17-DB16)))</f>
        <v>9.3904296694107554</v>
      </c>
      <c r="CU17" s="18">
        <f>CT17*VLOOKUP('Données projet'!$B$13,Paramètres!$A$1:$I$89,3,0)*VLOOKUP('Données projet'!$B$13,Paramètres!$A$1:$I$89,5,0)</f>
        <v>4.3947210852842336</v>
      </c>
      <c r="CV17" s="14">
        <f t="shared" si="41"/>
        <v>1.704692996580222</v>
      </c>
      <c r="CW17" s="22">
        <f t="shared" si="13"/>
        <v>10.623146192580593</v>
      </c>
      <c r="CX17" s="62">
        <f t="shared" si="14"/>
        <v>284.40092397035835</v>
      </c>
      <c r="CY17" s="62">
        <f ca="1">AVERAGE(OFFSET($CX$3,0,0,'Données projet'!$E$13+1,1))-AVERAGE(OFFSET($H$3,0,0,'Données projet'!$E$13+1,1))</f>
        <v>302.06513069580848</v>
      </c>
      <c r="CZ17" s="62">
        <f t="shared" si="42"/>
        <v>164.1450425611464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3.887142857142857</v>
      </c>
      <c r="N18" s="14">
        <f>IF('Données projet'!$A$36&gt;35,N17+M18-V17,IF(A18&lt;'Données projet'!$A$36,$K$205^A18,IF(A18='Données projet'!$A$36,'Données projet'!$B$36,N17+M18-V17)))</f>
        <v>58.307142857142836</v>
      </c>
      <c r="O18" s="14">
        <f>N18*VLOOKUP('Données projet'!$B$9,Paramètres!$A$1:$I$89,3,0)*VLOOKUP('Données projet'!$B$9,Paramètres!$A$1:$I$89,5,0)</f>
        <v>52.756302857142842</v>
      </c>
      <c r="P18" s="14">
        <f t="shared" si="33"/>
        <v>15.323348643415981</v>
      </c>
      <c r="Q18" s="22">
        <f t="shared" si="2"/>
        <v>118.57205969680662</v>
      </c>
      <c r="R18" s="62">
        <f t="shared" si="0"/>
        <v>393.5720596968066</v>
      </c>
      <c r="S18" s="62">
        <f ca="1">AVERAGE(OFFSET($R$3,0,0,'Données projet'!$E$9+1,1))-AVERAGE(OFFSET($H$3,0,0,'Données projet'!$E$9+1,1))</f>
        <v>581.88778927327667</v>
      </c>
      <c r="T18" s="62">
        <f t="shared" si="34"/>
        <v>269.67340993773422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73</v>
      </c>
      <c r="AG18" s="13">
        <f>VLOOKUP(A18,'Données projet'!$A$61:$I$81,9,0)</f>
        <v>8.8000000000000007</v>
      </c>
      <c r="AH18" s="13">
        <f t="array" ref="AH18">INDEX(AG:AG,MIN(IF(ISNUMBER(AG18:AG214),ROW(AG18:AG214),"")))</f>
        <v>8.8000000000000007</v>
      </c>
      <c r="AI18" s="14">
        <f>IF('Données projet'!$A$62&gt;35,AI17+AH18-AQ17,IF(A18&lt;'Données projet'!$A$62,$AF$205^A18,IF(A18='Données projet'!$A$62,'Données projet'!$B$62,AI17+AH18-AQ17)))</f>
        <v>72.999999999999986</v>
      </c>
      <c r="AJ18" s="14">
        <f>AI18*VLOOKUP('Données projet'!$B$10,Paramètres!$A$1:$I$89,3,0)*VLOOKUP('Données projet'!$B$10,Paramètres!$A$1:$I$89,5,0)</f>
        <v>63.772799999999997</v>
      </c>
      <c r="AK18" s="14">
        <f t="shared" si="35"/>
        <v>18.118739450759566</v>
      </c>
      <c r="AL18" s="22">
        <f t="shared" si="4"/>
        <v>142.62776454340624</v>
      </c>
      <c r="AM18" s="62">
        <f t="shared" si="5"/>
        <v>417.62776454340622</v>
      </c>
      <c r="AN18" s="62">
        <f ca="1">AVERAGE(OFFSET($AM$3,0,0,'Données projet'!$E$10+1,1))-AVERAGE(OFFSET($H$3,0,0,'Données projet'!$E$10+1,1))</f>
        <v>354.24684313982857</v>
      </c>
      <c r="AO18" s="62">
        <f t="shared" si="36"/>
        <v>322.65043486962185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3.28</v>
      </c>
      <c r="BD18" s="13">
        <f>IF('Données projet'!$A$88&gt;35,BD17+BC18-BL17,IF(A18&lt;'Données projet'!$A$88,$BA$205^A18,IF(A18='Données projet'!$A$88,'Données projet'!$B$88,BD17+BC18-BL17)))</f>
        <v>14.069812549906514</v>
      </c>
      <c r="BE18" s="14">
        <f>BD18*VLOOKUP('Données projet'!$B$11,Paramètres!$A$1:$I$89,3,0)*VLOOKUP('Données projet'!$B$11,Paramètres!$A$1:$I$89,5,0)</f>
        <v>13.388833622491038</v>
      </c>
      <c r="BF18" s="14">
        <f t="shared" si="37"/>
        <v>4.5618600125177347</v>
      </c>
      <c r="BG18" s="22">
        <f t="shared" si="7"/>
        <v>31.264124747640277</v>
      </c>
      <c r="BH18" s="62">
        <f t="shared" si="8"/>
        <v>306.26412474764027</v>
      </c>
      <c r="BI18" s="62">
        <f ca="1">AVERAGE(OFFSET($BH$3,0,0,'Données projet'!$E$11+1,1))-AVERAGE(OFFSET($H$3,0,0,'Données projet'!$E$11+1,1))</f>
        <v>460.77543902152325</v>
      </c>
      <c r="BJ18" s="62">
        <f t="shared" si="38"/>
        <v>341.4342976721104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48.56</v>
      </c>
      <c r="BW18" s="13">
        <f>VLOOKUP(A18,'Données projet'!$A$113:$I$133,9,0)</f>
        <v>3.2373333333333334</v>
      </c>
      <c r="BX18" s="13">
        <f t="array" ref="BX18">INDEX(BW:BW,MIN(IF(ISNUMBER(BW18:BW214),ROW(BW18:BW214),"")))</f>
        <v>3.2373333333333334</v>
      </c>
      <c r="BY18" s="13">
        <f>IF('Données projet'!$A$114&gt;35,BY17+BX18-CG17,IF(A18&lt;'Données projet'!$A$114,$BV$205^A18,IF(A18='Données projet'!$A$114,'Données projet'!$B$114,BY17+BX18-CG17)))</f>
        <v>48.56</v>
      </c>
      <c r="BZ18" s="14">
        <f>BY18*VLOOKUP('Données projet'!$B$12,Paramètres!$A$1:$I$89,3,0)*VLOOKUP('Données projet'!$B$12,Paramètres!$A$1:$I$89,5,0)</f>
        <v>29.038880000000002</v>
      </c>
      <c r="CA18" s="14">
        <f t="shared" si="39"/>
        <v>9.0415121654247592</v>
      </c>
      <c r="CB18" s="22">
        <f t="shared" si="10"/>
        <v>66.323349688114789</v>
      </c>
      <c r="CC18" s="62">
        <f t="shared" si="11"/>
        <v>341.32334968811477</v>
      </c>
      <c r="CD18" s="62">
        <f ca="1">AVERAGE(OFFSET($CC$3,0,0,'Données projet'!$E$12+1,1))-AVERAGE(OFFSET($H$3,0,0,'Données projet'!$E$12+1,1))</f>
        <v>438.68915237247444</v>
      </c>
      <c r="CE18" s="62">
        <f t="shared" si="40"/>
        <v>376.94419168335452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0.13500000000000001</v>
      </c>
      <c r="CI18" s="17">
        <f>IF(ISNA(VLOOKUP(A18,'Données projet'!$A$113:$I$133,6,0)),0%,VLOOKUP(A18,'Données projet'!$A$113:$I$133,6,0)*VLOOKUP('Données projet'!$B$12,Paramètres!$A$1:$I$89,7,0))</f>
        <v>0.17550000000000002</v>
      </c>
      <c r="CJ18" s="17">
        <f>IF(ISNA(VLOOKUP(A18,'Données projet'!$A$113:$I$133,7,0)),0%,VLOOKUP(A18,'Données projet'!$A$113:$I$133,7,0))</f>
        <v>0.31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4.0476666666666672</v>
      </c>
      <c r="CT18" s="13">
        <f>IF('Données projet'!$A$140&gt;35,CT17+CS18-DB17,IF(A18&lt;'Données projet'!$A$140,$CQ$205^A18,IF(A18='Données projet'!$A$140,'Données projet'!$B$140,CT17+CS18-DB17)))</f>
        <v>11.019528120568506</v>
      </c>
      <c r="CU18" s="18">
        <f>CT18*VLOOKUP('Données projet'!$B$13,Paramètres!$A$1:$I$89,3,0)*VLOOKUP('Données projet'!$B$13,Paramètres!$A$1:$I$89,5,0)</f>
        <v>5.1571391604260608</v>
      </c>
      <c r="CV18" s="14">
        <f t="shared" si="41"/>
        <v>1.9635254072541937</v>
      </c>
      <c r="CW18" s="22">
        <f t="shared" si="13"/>
        <v>12.401824122043109</v>
      </c>
      <c r="CX18" s="62">
        <f t="shared" si="14"/>
        <v>287.40182412204308</v>
      </c>
      <c r="CY18" s="62">
        <f ca="1">AVERAGE(OFFSET($CX$3,0,0,'Données projet'!$E$13+1,1))-AVERAGE(OFFSET($H$3,0,0,'Données projet'!$E$13+1,1))</f>
        <v>302.06513069580848</v>
      </c>
      <c r="CZ18" s="62">
        <f t="shared" si="42"/>
        <v>164.1450425611464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3.887142857142857</v>
      </c>
      <c r="N19" s="14">
        <f>IF('Données projet'!$A$36&gt;35,N18+M19-V18,IF(A19&lt;'Données projet'!$A$36,$K$205^A19,IF(A19='Données projet'!$A$36,'Données projet'!$B$36,N18+M19-V18)))</f>
        <v>62.194285714285691</v>
      </c>
      <c r="O19" s="14">
        <f>N19*VLOOKUP('Données projet'!$B$9,Paramètres!$A$1:$I$89,3,0)*VLOOKUP('Données projet'!$B$9,Paramètres!$A$1:$I$89,5,0)</f>
        <v>56.273389714285692</v>
      </c>
      <c r="P19" s="14">
        <f t="shared" si="33"/>
        <v>16.222577706752112</v>
      </c>
      <c r="Q19" s="22">
        <f t="shared" si="2"/>
        <v>126.26380992497417</v>
      </c>
      <c r="R19" s="62">
        <f t="shared" si="0"/>
        <v>402.4860321471964</v>
      </c>
      <c r="S19" s="62">
        <f ca="1">AVERAGE(OFFSET($R$3,0,0,'Données projet'!$E$9+1,1))-AVERAGE(OFFSET($H$3,0,0,'Données projet'!$E$9+1,1))</f>
        <v>581.88778927327667</v>
      </c>
      <c r="T19" s="62">
        <f t="shared" si="34"/>
        <v>269.67340993773422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11.2</v>
      </c>
      <c r="AI19" s="14">
        <f>IF('Données projet'!$A$62&gt;35,AI18+AH19-AQ18,IF(A19&lt;'Données projet'!$A$62,$AF$205^A19,IF(A19='Données projet'!$A$62,'Données projet'!$B$62,AI18+AH19-AQ18)))</f>
        <v>84.199999999999989</v>
      </c>
      <c r="AJ19" s="14">
        <f>AI19*VLOOKUP('Données projet'!$B$10,Paramètres!$A$1:$I$89,3,0)*VLOOKUP('Données projet'!$B$10,Paramètres!$A$1:$I$89,5,0)</f>
        <v>73.557119999999998</v>
      </c>
      <c r="AK19" s="14">
        <f t="shared" si="35"/>
        <v>20.554251427792224</v>
      </c>
      <c r="AL19" s="22">
        <f t="shared" si="4"/>
        <v>163.91063857007143</v>
      </c>
      <c r="AM19" s="62">
        <f t="shared" si="5"/>
        <v>440.13286079229363</v>
      </c>
      <c r="AN19" s="62">
        <f ca="1">AVERAGE(OFFSET($AM$3,0,0,'Données projet'!$E$10+1,1))-AVERAGE(OFFSET($H$3,0,0,'Données projet'!$E$10+1,1))</f>
        <v>354.24684313982857</v>
      </c>
      <c r="AO19" s="62">
        <f t="shared" si="36"/>
        <v>322.65043486962185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3.28</v>
      </c>
      <c r="BD19" s="13">
        <f>IF('Données projet'!$A$88&gt;35,BD18+BC19-BL18,IF(A19&lt;'Données projet'!$A$88,$BA$205^A19,IF(A19='Données projet'!$A$88,'Données projet'!$B$88,BD18+BC19-BL18)))</f>
        <v>16.781889823196174</v>
      </c>
      <c r="BE19" s="14">
        <f>BD19*VLOOKUP('Données projet'!$B$11,Paramètres!$A$1:$I$89,3,0)*VLOOKUP('Données projet'!$B$11,Paramètres!$A$1:$I$89,5,0)</f>
        <v>15.969646355753479</v>
      </c>
      <c r="BF19" s="14">
        <f t="shared" si="37"/>
        <v>5.3306944628928283</v>
      </c>
      <c r="BG19" s="22">
        <f t="shared" si="7"/>
        <v>37.098093592475649</v>
      </c>
      <c r="BH19" s="62">
        <f t="shared" si="8"/>
        <v>313.32031581469789</v>
      </c>
      <c r="BI19" s="62">
        <f ca="1">AVERAGE(OFFSET($BH$3,0,0,'Données projet'!$E$11+1,1))-AVERAGE(OFFSET($H$3,0,0,'Données projet'!$E$11+1,1))</f>
        <v>460.77543902152325</v>
      </c>
      <c r="BJ19" s="62">
        <f t="shared" si="38"/>
        <v>341.4342976721104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19.814999999999998</v>
      </c>
      <c r="BY19" s="13">
        <f>IF('Données projet'!$A$114&gt;35,BY18+BX19-CG18,IF(A19&lt;'Données projet'!$A$114,$BV$205^A19,IF(A19='Données projet'!$A$114,'Données projet'!$B$114,BY18+BX19-CG18)))</f>
        <v>68.375</v>
      </c>
      <c r="BZ19" s="14">
        <f>BY19*VLOOKUP('Données projet'!$B$12,Paramètres!$A$1:$I$89,3,0)*VLOOKUP('Données projet'!$B$12,Paramètres!$A$1:$I$89,5,0)</f>
        <v>40.888249999999999</v>
      </c>
      <c r="CA19" s="14">
        <f t="shared" si="39"/>
        <v>12.233775880721598</v>
      </c>
      <c r="CB19" s="22">
        <f t="shared" si="10"/>
        <v>92.52086174225677</v>
      </c>
      <c r="CC19" s="62">
        <f t="shared" si="11"/>
        <v>368.74308396447901</v>
      </c>
      <c r="CD19" s="62">
        <f ca="1">AVERAGE(OFFSET($CC$3,0,0,'Données projet'!$E$12+1,1))-AVERAGE(OFFSET($H$3,0,0,'Données projet'!$E$12+1,1))</f>
        <v>438.68915237247444</v>
      </c>
      <c r="CE19" s="62">
        <f t="shared" si="40"/>
        <v>376.94419168335452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4.0476666666666672</v>
      </c>
      <c r="CT19" s="13">
        <f>IF('Données projet'!$A$140&gt;35,CT18+CS19-DB18,IF(A19&lt;'Données projet'!$A$140,$CQ$205^A19,IF(A19='Données projet'!$A$140,'Données projet'!$B$140,CT18+CS19-DB18)))</f>
        <v>12.931250674882023</v>
      </c>
      <c r="CU19" s="18">
        <f>CT19*VLOOKUP('Données projet'!$B$13,Paramètres!$A$1:$I$89,3,0)*VLOOKUP('Données projet'!$B$13,Paramètres!$A$1:$I$89,5,0)</f>
        <v>6.0518253158447859</v>
      </c>
      <c r="CV19" s="14">
        <f t="shared" si="41"/>
        <v>2.2616576900750531</v>
      </c>
      <c r="CW19" s="22">
        <f t="shared" si="13"/>
        <v>14.479316235310385</v>
      </c>
      <c r="CX19" s="62">
        <f t="shared" si="14"/>
        <v>290.70153845753259</v>
      </c>
      <c r="CY19" s="62">
        <f ca="1">AVERAGE(OFFSET($CX$3,0,0,'Données projet'!$E$13+1,1))-AVERAGE(OFFSET($H$3,0,0,'Données projet'!$E$13+1,1))</f>
        <v>302.06513069580848</v>
      </c>
      <c r="CZ19" s="62">
        <f t="shared" si="42"/>
        <v>164.1450425611464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3.887142857142857</v>
      </c>
      <c r="N20" s="14">
        <f>IF('Données projet'!$A$36&gt;35,N19+M20-V19,IF(A20&lt;'Données projet'!$A$36,$K$205^A20,IF(A20='Données projet'!$A$36,'Données projet'!$B$36,N19+M20-V19)))</f>
        <v>66.081428571428546</v>
      </c>
      <c r="O20" s="14">
        <f>N20*VLOOKUP('Données projet'!$B$9,Paramètres!$A$1:$I$89,3,0)*VLOOKUP('Données projet'!$B$9,Paramètres!$A$1:$I$89,5,0)</f>
        <v>59.790476571428549</v>
      </c>
      <c r="P20" s="14">
        <f t="shared" si="33"/>
        <v>17.115284135607041</v>
      </c>
      <c r="Q20" s="22">
        <f t="shared" si="2"/>
        <v>133.94419989808699</v>
      </c>
      <c r="R20" s="62">
        <f t="shared" si="0"/>
        <v>411.38864434253145</v>
      </c>
      <c r="S20" s="62">
        <f ca="1">AVERAGE(OFFSET($R$3,0,0,'Données projet'!$E$9+1,1))-AVERAGE(OFFSET($H$3,0,0,'Données projet'!$E$9+1,1))</f>
        <v>581.88778927327667</v>
      </c>
      <c r="T20" s="62">
        <f t="shared" si="34"/>
        <v>269.67340993773422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11.2</v>
      </c>
      <c r="AI20" s="14">
        <f>IF('Données projet'!$A$62&gt;35,AI19+AH20-AQ19,IF(A20&lt;'Données projet'!$A$62,$AF$205^A20,IF(A20='Données projet'!$A$62,'Données projet'!$B$62,AI19+AH20-AQ19)))</f>
        <v>95.399999999999991</v>
      </c>
      <c r="AJ20" s="14">
        <f>AI20*VLOOKUP('Données projet'!$B$10,Paramètres!$A$1:$I$89,3,0)*VLOOKUP('Données projet'!$B$10,Paramètres!$A$1:$I$89,5,0)</f>
        <v>83.341440000000006</v>
      </c>
      <c r="AK20" s="14">
        <f t="shared" si="35"/>
        <v>22.952227742446681</v>
      </c>
      <c r="AL20" s="22">
        <f t="shared" si="4"/>
        <v>185.12813798476131</v>
      </c>
      <c r="AM20" s="62">
        <f t="shared" si="5"/>
        <v>462.5725824292058</v>
      </c>
      <c r="AN20" s="62">
        <f ca="1">AVERAGE(OFFSET($AM$3,0,0,'Données projet'!$E$10+1,1))-AVERAGE(OFFSET($H$3,0,0,'Données projet'!$E$10+1,1))</f>
        <v>354.24684313982857</v>
      </c>
      <c r="AO20" s="62">
        <f t="shared" si="36"/>
        <v>322.65043486962185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3.28</v>
      </c>
      <c r="BD20" s="13">
        <f>IF('Données projet'!$A$88&gt;35,BD19+BC20-BL19,IF(A20&lt;'Données projet'!$A$88,$BA$205^A20,IF(A20='Données projet'!$A$88,'Données projet'!$B$88,BD19+BC20-BL19)))</f>
        <v>20.016743296254258</v>
      </c>
      <c r="BE20" s="14">
        <f>BD20*VLOOKUP('Données projet'!$B$11,Paramètres!$A$1:$I$89,3,0)*VLOOKUP('Données projet'!$B$11,Paramètres!$A$1:$I$89,5,0)</f>
        <v>19.047932920715553</v>
      </c>
      <c r="BF20" s="14">
        <f t="shared" si="37"/>
        <v>6.2291046587887324</v>
      </c>
      <c r="BG20" s="22">
        <f t="shared" si="7"/>
        <v>44.024173784303287</v>
      </c>
      <c r="BH20" s="62">
        <f t="shared" si="8"/>
        <v>321.46861822874774</v>
      </c>
      <c r="BI20" s="62">
        <f ca="1">AVERAGE(OFFSET($BH$3,0,0,'Données projet'!$E$11+1,1))-AVERAGE(OFFSET($H$3,0,0,'Données projet'!$E$11+1,1))</f>
        <v>460.77543902152325</v>
      </c>
      <c r="BJ20" s="62">
        <f t="shared" si="38"/>
        <v>341.4342976721104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19.814999999999998</v>
      </c>
      <c r="BY20" s="13">
        <f>IF('Données projet'!$A$114&gt;35,BY19+BX20-CG19,IF(A20&lt;'Données projet'!$A$114,$BV$205^A20,IF(A20='Données projet'!$A$114,'Données projet'!$B$114,BY19+BX20-CG19)))</f>
        <v>88.19</v>
      </c>
      <c r="BZ20" s="14">
        <f>BY20*VLOOKUP('Données projet'!$B$12,Paramètres!$A$1:$I$89,3,0)*VLOOKUP('Données projet'!$B$12,Paramètres!$A$1:$I$89,5,0)</f>
        <v>52.73762</v>
      </c>
      <c r="CA20" s="14">
        <f t="shared" si="39"/>
        <v>15.318553658088213</v>
      </c>
      <c r="CB20" s="22">
        <f t="shared" si="10"/>
        <v>118.53116912117031</v>
      </c>
      <c r="CC20" s="62">
        <f t="shared" si="11"/>
        <v>395.97561356561476</v>
      </c>
      <c r="CD20" s="62">
        <f ca="1">AVERAGE(OFFSET($CC$3,0,0,'Données projet'!$E$12+1,1))-AVERAGE(OFFSET($H$3,0,0,'Données projet'!$E$12+1,1))</f>
        <v>438.68915237247444</v>
      </c>
      <c r="CE20" s="62">
        <f t="shared" si="40"/>
        <v>376.94419168335452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4.0476666666666672</v>
      </c>
      <c r="CT20" s="13">
        <f>IF('Données projet'!$A$140&gt;35,CT19+CS20-DB19,IF(A20&lt;'Données projet'!$A$140,$CQ$205^A20,IF(A20='Données projet'!$A$140,'Données projet'!$B$140,CT19+CS20-DB19)))</f>
        <v>15.174628367662804</v>
      </c>
      <c r="CU20" s="18">
        <f>CT20*VLOOKUP('Données projet'!$B$13,Paramètres!$A$1:$I$89,3,0)*VLOOKUP('Données projet'!$B$13,Paramètres!$A$1:$I$89,5,0)</f>
        <v>7.1017260760661918</v>
      </c>
      <c r="CV20" s="14">
        <f t="shared" si="41"/>
        <v>2.6050569491884543</v>
      </c>
      <c r="CW20" s="22">
        <f t="shared" si="13"/>
        <v>16.905980435651845</v>
      </c>
      <c r="CX20" s="62">
        <f t="shared" si="14"/>
        <v>294.35042488009628</v>
      </c>
      <c r="CY20" s="62">
        <f ca="1">AVERAGE(OFFSET($CX$3,0,0,'Données projet'!$E$13+1,1))-AVERAGE(OFFSET($H$3,0,0,'Données projet'!$E$13+1,1))</f>
        <v>302.06513069580848</v>
      </c>
      <c r="CZ20" s="62">
        <f t="shared" si="42"/>
        <v>164.1450425611464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3.887142857142857</v>
      </c>
      <c r="N21" s="14">
        <f>IF('Données projet'!$A$36&gt;35,N20+M21-V20,IF(A21&lt;'Données projet'!$A$36,$K$205^A21,IF(A21='Données projet'!$A$36,'Données projet'!$B$36,N20+M21-V20)))</f>
        <v>69.968571428571408</v>
      </c>
      <c r="O21" s="14">
        <f>N21*VLOOKUP('Données projet'!$B$9,Paramètres!$A$1:$I$89,3,0)*VLOOKUP('Données projet'!$B$9,Paramètres!$A$1:$I$89,5,0)</f>
        <v>63.307563428571406</v>
      </c>
      <c r="P21" s="14">
        <f t="shared" si="33"/>
        <v>18.001895319269028</v>
      </c>
      <c r="Q21" s="22">
        <f t="shared" si="2"/>
        <v>141.61397398582207</v>
      </c>
      <c r="R21" s="62">
        <f t="shared" si="0"/>
        <v>420.28064065248873</v>
      </c>
      <c r="S21" s="62">
        <f ca="1">AVERAGE(OFFSET($R$3,0,0,'Données projet'!$E$9+1,1))-AVERAGE(OFFSET($H$3,0,0,'Données projet'!$E$9+1,1))</f>
        <v>581.88778927327667</v>
      </c>
      <c r="T21" s="62">
        <f t="shared" si="34"/>
        <v>269.67340993773422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11.2</v>
      </c>
      <c r="AI21" s="14">
        <f>IF('Données projet'!$A$62&gt;35,AI20+AH21-AQ20,IF(A21&lt;'Données projet'!$A$62,$AF$205^A21,IF(A21='Données projet'!$A$62,'Données projet'!$B$62,AI20+AH21-AQ20)))</f>
        <v>106.6</v>
      </c>
      <c r="AJ21" s="14">
        <f>AI21*VLOOKUP('Données projet'!$B$10,Paramètres!$A$1:$I$89,3,0)*VLOOKUP('Données projet'!$B$10,Paramètres!$A$1:$I$89,5,0)</f>
        <v>93.125760000000014</v>
      </c>
      <c r="AK21" s="14">
        <f t="shared" si="35"/>
        <v>25.317578585717406</v>
      </c>
      <c r="AL21" s="22">
        <f t="shared" si="4"/>
        <v>206.2888147034578</v>
      </c>
      <c r="AM21" s="62">
        <f t="shared" si="5"/>
        <v>484.95548137012452</v>
      </c>
      <c r="AN21" s="62">
        <f ca="1">AVERAGE(OFFSET($AM$3,0,0,'Données projet'!$E$10+1,1))-AVERAGE(OFFSET($H$3,0,0,'Données projet'!$E$10+1,1))</f>
        <v>354.24684313982857</v>
      </c>
      <c r="AO21" s="62">
        <f t="shared" si="36"/>
        <v>322.65043486962185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3.28</v>
      </c>
      <c r="BD21" s="13">
        <f>IF('Données projet'!$A$88&gt;35,BD20+BC21-BL20,IF(A21&lt;'Données projet'!$A$88,$BA$205^A21,IF(A21='Données projet'!$A$88,'Données projet'!$B$88,BD20+BC21-BL20)))</f>
        <v>23.875142573891047</v>
      </c>
      <c r="BE21" s="14">
        <f>BD21*VLOOKUP('Données projet'!$B$11,Paramètres!$A$1:$I$89,3,0)*VLOOKUP('Données projet'!$B$11,Paramètres!$A$1:$I$89,5,0)</f>
        <v>22.719585673314722</v>
      </c>
      <c r="BF21" s="14">
        <f t="shared" si="37"/>
        <v>7.2789286874803958</v>
      </c>
      <c r="BG21" s="22">
        <f t="shared" si="7"/>
        <v>52.247412511718153</v>
      </c>
      <c r="BH21" s="62">
        <f t="shared" si="8"/>
        <v>330.91407917838484</v>
      </c>
      <c r="BI21" s="62">
        <f ca="1">AVERAGE(OFFSET($BH$3,0,0,'Données projet'!$E$11+1,1))-AVERAGE(OFFSET($H$3,0,0,'Données projet'!$E$11+1,1))</f>
        <v>460.77543902152325</v>
      </c>
      <c r="BJ21" s="62">
        <f t="shared" si="38"/>
        <v>341.4342976721104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19.814999999999998</v>
      </c>
      <c r="BY21" s="13">
        <f>IF('Données projet'!$A$114&gt;35,BY20+BX21-CG20,IF(A21&lt;'Données projet'!$A$114,$BV$205^A21,IF(A21='Données projet'!$A$114,'Données projet'!$B$114,BY20+BX21-CG20)))</f>
        <v>108.005</v>
      </c>
      <c r="BZ21" s="14">
        <f>BY21*VLOOKUP('Données projet'!$B$12,Paramètres!$A$1:$I$89,3,0)*VLOOKUP('Données projet'!$B$12,Paramètres!$A$1:$I$89,5,0)</f>
        <v>64.58699</v>
      </c>
      <c r="CA21" s="14">
        <f t="shared" si="39"/>
        <v>18.32298503252624</v>
      </c>
      <c r="CB21" s="22">
        <f t="shared" si="10"/>
        <v>144.4015398483165</v>
      </c>
      <c r="CC21" s="62">
        <f t="shared" si="11"/>
        <v>423.06820651498322</v>
      </c>
      <c r="CD21" s="62">
        <f ca="1">AVERAGE(OFFSET($CC$3,0,0,'Données projet'!$E$12+1,1))-AVERAGE(OFFSET($H$3,0,0,'Données projet'!$E$12+1,1))</f>
        <v>438.68915237247444</v>
      </c>
      <c r="CE21" s="62">
        <f t="shared" si="40"/>
        <v>376.94419168335452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4.0476666666666672</v>
      </c>
      <c r="CT21" s="13">
        <f>IF('Données projet'!$A$140&gt;35,CT20+CS21-DB20,IF(A21&lt;'Données projet'!$A$140,$CQ$205^A21,IF(A21='Données projet'!$A$140,'Données projet'!$B$140,CT20+CS21-DB20)))</f>
        <v>17.807198382130004</v>
      </c>
      <c r="CU21" s="18">
        <f>CT21*VLOOKUP('Données projet'!$B$13,Paramètres!$A$1:$I$89,3,0)*VLOOKUP('Données projet'!$B$13,Paramètres!$A$1:$I$89,5,0)</f>
        <v>8.3337688428368413</v>
      </c>
      <c r="CV21" s="14">
        <f t="shared" si="41"/>
        <v>3.0005963052215261</v>
      </c>
      <c r="CW21" s="22">
        <f t="shared" si="13"/>
        <v>19.740685966201656</v>
      </c>
      <c r="CX21" s="62">
        <f t="shared" si="14"/>
        <v>298.40735263286837</v>
      </c>
      <c r="CY21" s="62">
        <f ca="1">AVERAGE(OFFSET($CX$3,0,0,'Données projet'!$E$13+1,1))-AVERAGE(OFFSET($H$3,0,0,'Données projet'!$E$13+1,1))</f>
        <v>302.06513069580848</v>
      </c>
      <c r="CZ21" s="62">
        <f t="shared" si="42"/>
        <v>164.1450425611464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3.887142857142857</v>
      </c>
      <c r="N22" s="14">
        <f>IF('Données projet'!$A$36&gt;35,N21+M22-V21,IF(A22&lt;'Données projet'!$A$36,$K$205^A22,IF(A22='Données projet'!$A$36,'Données projet'!$B$36,N21+M22-V21)))</f>
        <v>73.855714285714271</v>
      </c>
      <c r="O22" s="14">
        <f>N22*VLOOKUP('Données projet'!$B$9,Paramètres!$A$1:$I$89,3,0)*VLOOKUP('Données projet'!$B$9,Paramètres!$A$1:$I$89,5,0)</f>
        <v>66.82465028571427</v>
      </c>
      <c r="P22" s="14">
        <f t="shared" si="33"/>
        <v>18.882788477272459</v>
      </c>
      <c r="Q22" s="22">
        <f t="shared" si="2"/>
        <v>149.27378917886855</v>
      </c>
      <c r="R22" s="62">
        <f t="shared" si="0"/>
        <v>429.16267806775738</v>
      </c>
      <c r="S22" s="62">
        <f ca="1">AVERAGE(OFFSET($R$3,0,0,'Données projet'!$E$9+1,1))-AVERAGE(OFFSET($H$3,0,0,'Données projet'!$E$9+1,1))</f>
        <v>581.88778927327667</v>
      </c>
      <c r="T22" s="62">
        <f t="shared" si="34"/>
        <v>269.67340993773422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11.2</v>
      </c>
      <c r="AI22" s="14">
        <f>IF('Données projet'!$A$62&gt;35,AI21+AH22-AQ21,IF(A22&lt;'Données projet'!$A$62,$AF$205^A22,IF(A22='Données projet'!$A$62,'Données projet'!$B$62,AI21+AH22-AQ21)))</f>
        <v>117.8</v>
      </c>
      <c r="AJ22" s="14">
        <f>AI22*VLOOKUP('Données projet'!$B$10,Paramètres!$A$1:$I$89,3,0)*VLOOKUP('Données projet'!$B$10,Paramètres!$A$1:$I$89,5,0)</f>
        <v>102.91008000000001</v>
      </c>
      <c r="AK22" s="14">
        <f t="shared" si="35"/>
        <v>27.654122306790427</v>
      </c>
      <c r="AL22" s="22">
        <f t="shared" si="4"/>
        <v>227.39931901765999</v>
      </c>
      <c r="AM22" s="62">
        <f t="shared" si="5"/>
        <v>507.28820790654885</v>
      </c>
      <c r="AN22" s="62">
        <f ca="1">AVERAGE(OFFSET($AM$3,0,0,'Données projet'!$E$10+1,1))-AVERAGE(OFFSET($H$3,0,0,'Données projet'!$E$10+1,1))</f>
        <v>354.24684313982857</v>
      </c>
      <c r="AO22" s="62">
        <f t="shared" si="36"/>
        <v>322.65043486962185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3.28</v>
      </c>
      <c r="BD22" s="13">
        <f>IF('Données projet'!$A$88&gt;35,BD21+BC22-BL21,IF(A22&lt;'Données projet'!$A$88,$BA$205^A22,IF(A22='Données projet'!$A$88,'Données projet'!$B$88,BD21+BC22-BL21)))</f>
        <v>28.477281468174361</v>
      </c>
      <c r="BE22" s="14">
        <f>BD22*VLOOKUP('Données projet'!$B$11,Paramètres!$A$1:$I$89,3,0)*VLOOKUP('Données projet'!$B$11,Paramètres!$A$1:$I$89,5,0)</f>
        <v>27.098981045114723</v>
      </c>
      <c r="BF22" s="14">
        <f t="shared" si="37"/>
        <v>8.505685124855118</v>
      </c>
      <c r="BG22" s="22">
        <f t="shared" si="7"/>
        <v>62.011460246030794</v>
      </c>
      <c r="BH22" s="62">
        <f t="shared" si="8"/>
        <v>341.90034913491968</v>
      </c>
      <c r="BI22" s="62">
        <f ca="1">AVERAGE(OFFSET($BH$3,0,0,'Données projet'!$E$11+1,1))-AVERAGE(OFFSET($H$3,0,0,'Données projet'!$E$11+1,1))</f>
        <v>460.77543902152325</v>
      </c>
      <c r="BJ22" s="62">
        <f t="shared" si="38"/>
        <v>341.4342976721104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>
        <f>VLOOKUP(A22,'Données projet'!$A$113:$I$133,2,0)</f>
        <v>127.82</v>
      </c>
      <c r="BW22" s="13">
        <f>VLOOKUP(A22,'Données projet'!$A$113:$I$133,9,0)</f>
        <v>19.814999999999998</v>
      </c>
      <c r="BX22" s="13">
        <f t="array" ref="BX22">INDEX(BW:BW,MIN(IF(ISNUMBER(BW22:BW218),ROW(BW22:BW218),"")))</f>
        <v>19.814999999999998</v>
      </c>
      <c r="BY22" s="13">
        <f>IF('Données projet'!$A$114&gt;35,BY21+BX22-CG21,IF(A22&lt;'Données projet'!$A$114,$BV$205^A22,IF(A22='Données projet'!$A$114,'Données projet'!$B$114,BY21+BX22-CG21)))</f>
        <v>127.82</v>
      </c>
      <c r="BZ22" s="14">
        <f>BY22*VLOOKUP('Données projet'!$B$12,Paramètres!$A$1:$I$89,3,0)*VLOOKUP('Données projet'!$B$12,Paramètres!$A$1:$I$89,5,0)</f>
        <v>76.436359999999993</v>
      </c>
      <c r="CA22" s="14">
        <f t="shared" si="39"/>
        <v>21.263558306949722</v>
      </c>
      <c r="CB22" s="22">
        <f t="shared" si="10"/>
        <v>170.16069105127073</v>
      </c>
      <c r="CC22" s="62">
        <f t="shared" si="11"/>
        <v>450.04957994015956</v>
      </c>
      <c r="CD22" s="62">
        <f ca="1">AVERAGE(OFFSET($CC$3,0,0,'Données projet'!$E$12+1,1))-AVERAGE(OFFSET($H$3,0,0,'Données projet'!$E$12+1,1))</f>
        <v>438.68915237247444</v>
      </c>
      <c r="CE22" s="62">
        <f t="shared" si="40"/>
        <v>376.94419168335452</v>
      </c>
      <c r="CF22" s="16">
        <f>IF(ISNA(VLOOKUP(A22,'Données projet'!$A$113:$I$133,3,0)),0,VLOOKUP(A22,'Données projet'!$A$113:$I$133,3,0))</f>
        <v>1</v>
      </c>
      <c r="CG22" s="16">
        <f>IF(ISNA(VLOOKUP(A22,'Données projet'!$A$113:$I$133,4,0)),0,VLOOKUP(A22,'Données projet'!$A$113:$I$133,4,0))</f>
        <v>46.3</v>
      </c>
      <c r="CH22" s="17">
        <f>IF(ISNA(VLOOKUP(A22,'Données projet'!$A$113:$I$133,5,0)),0%,VLOOKUP(A22,'Données projet'!$A$113:$I$133,5,0)*VLOOKUP('Données projet'!$B$12,Paramètres!$A$1:$I$89,7,0))</f>
        <v>0.13500000000000001</v>
      </c>
      <c r="CI22" s="17">
        <f>IF(ISNA(VLOOKUP(A22,'Données projet'!$A$113:$I$133,6,0)),0%,VLOOKUP(A22,'Données projet'!$A$113:$I$133,6,0)*VLOOKUP('Données projet'!$B$12,Paramètres!$A$1:$I$89,7,0))</f>
        <v>0.17550000000000002</v>
      </c>
      <c r="CJ22" s="17">
        <f>IF(ISNA(VLOOKUP(A22,'Données projet'!$A$113:$I$133,7,0)),0%,VLOOKUP(A22,'Données projet'!$A$113:$I$133,7,0))</f>
        <v>0.31</v>
      </c>
      <c r="CK22" s="23">
        <f>EXP(-LN(2)/35)*CK21+(1-EXP(-LN(2)/35))/(LN(2)/35)*CG22*CH22*VLOOKUP('Données projet'!$B$12,Paramètres!$A$1:$I$89,3,0)*0.475*44/12</f>
        <v>4.9584312949774585</v>
      </c>
      <c r="CL22" s="23">
        <f>EXP(-LN(2)/25)*CL21+(1-EXP(-LN(2)/25))/(LN(2)/25)*Calculateur!CG22*Calculateur!CI22*VLOOKUP('Données projet'!$B$12,Paramètres!$A$1:$I$89,3,0)*0.475*44/12</f>
        <v>6.4205804801562962</v>
      </c>
      <c r="CM22" s="23">
        <f>EXP(-LN(2)/2)*CM21+(1-EXP(-LN(2)/2))/(LN(2)/2)*CG22*CJ22*VLOOKUP('Données projet'!$B$12,Paramètres!$A$1:$I$89,3,0)*0.475*44/12</f>
        <v>9.7180562395056231</v>
      </c>
      <c r="CN22" s="24">
        <f t="shared" si="12"/>
        <v>21.097068014639376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4.0476666666666672</v>
      </c>
      <c r="CT22" s="13">
        <f>IF('Données projet'!$A$140&gt;35,CT21+CS22-DB21,IF(A22&lt;'Données projet'!$A$140,$CQ$205^A22,IF(A22='Données projet'!$A$140,'Données projet'!$B$140,CT21+CS22-DB21)))</f>
        <v>20.896479738262784</v>
      </c>
      <c r="CU22" s="18">
        <f>CT22*VLOOKUP('Données projet'!$B$13,Paramètres!$A$1:$I$89,3,0)*VLOOKUP('Données projet'!$B$13,Paramètres!$A$1:$I$89,5,0)</f>
        <v>9.779552517506982</v>
      </c>
      <c r="CV22" s="14">
        <f t="shared" si="41"/>
        <v>3.4561924604811169</v>
      </c>
      <c r="CW22" s="22">
        <f t="shared" si="13"/>
        <v>23.052255836662599</v>
      </c>
      <c r="CX22" s="62">
        <f t="shared" si="14"/>
        <v>302.94114472555145</v>
      </c>
      <c r="CY22" s="62">
        <f ca="1">AVERAGE(OFFSET($CX$3,0,0,'Données projet'!$E$13+1,1))-AVERAGE(OFFSET($H$3,0,0,'Données projet'!$E$13+1,1))</f>
        <v>302.06513069580848</v>
      </c>
      <c r="CZ22" s="62">
        <f t="shared" si="42"/>
        <v>164.1450425611464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3.887142857142857</v>
      </c>
      <c r="N23" s="14">
        <f>IF('Données projet'!$A$36&gt;35,N22+M23-V22,IF(A23&lt;'Données projet'!$A$36,$K$205^A23,IF(A23='Données projet'!$A$36,'Données projet'!$B$36,N22+M23-V22)))</f>
        <v>77.742857142857133</v>
      </c>
      <c r="O23" s="14">
        <f>N23*VLOOKUP('Données projet'!$B$9,Paramètres!$A$1:$I$89,3,0)*VLOOKUP('Données projet'!$B$9,Paramètres!$A$1:$I$89,5,0)</f>
        <v>70.341737142857127</v>
      </c>
      <c r="P23" s="14">
        <f t="shared" si="33"/>
        <v>19.758298879173367</v>
      </c>
      <c r="Q23" s="22">
        <f t="shared" si="2"/>
        <v>156.92422940503644</v>
      </c>
      <c r="R23" s="62">
        <f t="shared" si="0"/>
        <v>438.03534051614758</v>
      </c>
      <c r="S23" s="62">
        <f ca="1">AVERAGE(OFFSET($R$3,0,0,'Données projet'!$E$9+1,1))-AVERAGE(OFFSET($H$3,0,0,'Données projet'!$E$9+1,1))</f>
        <v>581.88778927327667</v>
      </c>
      <c r="T23" s="62">
        <f t="shared" si="34"/>
        <v>269.67340993773422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129</v>
      </c>
      <c r="AG23" s="13">
        <f>VLOOKUP(A23,'Données projet'!$A$61:$I$81,9,0)</f>
        <v>11.2</v>
      </c>
      <c r="AH23" s="13">
        <f t="array" ref="AH23">INDEX(AG:AG,MIN(IF(ISNUMBER(AG23:AG219),ROW(AG23:AG219),"")))</f>
        <v>11.2</v>
      </c>
      <c r="AI23" s="14">
        <f>IF('Données projet'!$A$62&gt;35,AI22+AH23-AQ22,IF(A23&lt;'Données projet'!$A$62,$AF$205^A23,IF(A23='Données projet'!$A$62,'Données projet'!$B$62,AI22+AH23-AQ22)))</f>
        <v>129</v>
      </c>
      <c r="AJ23" s="14">
        <f>AI23*VLOOKUP('Données projet'!$B$10,Paramètres!$A$1:$I$89,3,0)*VLOOKUP('Données projet'!$B$10,Paramètres!$A$1:$I$89,5,0)</f>
        <v>112.69440000000002</v>
      </c>
      <c r="AK23" s="14">
        <f t="shared" si="35"/>
        <v>29.964909381330632</v>
      </c>
      <c r="AL23" s="22">
        <f t="shared" si="4"/>
        <v>248.46496383915087</v>
      </c>
      <c r="AM23" s="62">
        <f t="shared" si="5"/>
        <v>529.57607495026195</v>
      </c>
      <c r="AN23" s="62">
        <f ca="1">AVERAGE(OFFSET($AM$3,0,0,'Données projet'!$E$10+1,1))-AVERAGE(OFFSET($H$3,0,0,'Données projet'!$E$10+1,1))</f>
        <v>354.24684313982857</v>
      </c>
      <c r="AO23" s="62">
        <f t="shared" si="36"/>
        <v>322.65043486962185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54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3.28</v>
      </c>
      <c r="BD23" s="13">
        <f>IF('Données projet'!$A$88&gt;35,BD22+BC23-BL22,IF(A23&lt;'Données projet'!$A$88,$BA$205^A23,IF(A23='Données projet'!$A$88,'Données projet'!$B$88,BD22+BC23-BL22)))</f>
        <v>33.966522181293996</v>
      </c>
      <c r="BE23" s="14">
        <f>BD23*VLOOKUP('Données projet'!$B$11,Paramètres!$A$1:$I$89,3,0)*VLOOKUP('Données projet'!$B$11,Paramètres!$A$1:$I$89,5,0)</f>
        <v>32.322542507719369</v>
      </c>
      <c r="BF23" s="14">
        <f t="shared" si="37"/>
        <v>9.9391933276687325</v>
      </c>
      <c r="BG23" s="22">
        <f t="shared" si="7"/>
        <v>73.605856579967607</v>
      </c>
      <c r="BH23" s="62">
        <f t="shared" si="8"/>
        <v>354.71696769107876</v>
      </c>
      <c r="BI23" s="62">
        <f ca="1">AVERAGE(OFFSET($BH$3,0,0,'Données projet'!$E$11+1,1))-AVERAGE(OFFSET($H$3,0,0,'Données projet'!$E$11+1,1))</f>
        <v>460.77543902152325</v>
      </c>
      <c r="BJ23" s="62">
        <f t="shared" si="38"/>
        <v>341.4342976721104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19.68</v>
      </c>
      <c r="BY23" s="13">
        <f>IF('Données projet'!$A$114&gt;35,BY22+BX23-CG22,IF(A23&lt;'Données projet'!$A$114,$BV$205^A23,IF(A23='Données projet'!$A$114,'Données projet'!$B$114,BY22+BX23-CG22)))</f>
        <v>101.2</v>
      </c>
      <c r="BZ23" s="14">
        <f>BY23*VLOOKUP('Données projet'!$B$12,Paramètres!$A$1:$I$89,3,0)*VLOOKUP('Données projet'!$B$12,Paramètres!$A$1:$I$89,5,0)</f>
        <v>60.517600000000009</v>
      </c>
      <c r="CA23" s="14">
        <f t="shared" si="39"/>
        <v>17.299069038249009</v>
      </c>
      <c r="CB23" s="22">
        <f t="shared" si="10"/>
        <v>135.53069857495038</v>
      </c>
      <c r="CC23" s="62">
        <f t="shared" si="11"/>
        <v>416.64180968606149</v>
      </c>
      <c r="CD23" s="62">
        <f ca="1">AVERAGE(OFFSET($CC$3,0,0,'Données projet'!$E$12+1,1))-AVERAGE(OFFSET($H$3,0,0,'Données projet'!$E$12+1,1))</f>
        <v>438.68915237247444</v>
      </c>
      <c r="CE23" s="62">
        <f t="shared" si="40"/>
        <v>376.94419168335452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4.8611994816274109</v>
      </c>
      <c r="CL23" s="23">
        <f>EXP(-LN(2)/25)*CL22+(1-EXP(-LN(2)/25))/(LN(2)/25)*Calculateur!CG23*Calculateur!CI23*VLOOKUP('Données projet'!$B$12,Paramètres!$A$1:$I$89,3,0)*0.475*44/12</f>
        <v>6.2450093692827693</v>
      </c>
      <c r="CM23" s="23">
        <f>EXP(-LN(2)/2)*CM22+(1-EXP(-LN(2)/2))/(LN(2)/2)*CG23*CJ23*VLOOKUP('Données projet'!$B$12,Paramètres!$A$1:$I$89,3,0)*0.475*44/12</f>
        <v>6.8717034669066663</v>
      </c>
      <c r="CN23" s="24">
        <f t="shared" si="12"/>
        <v>17.977912317816845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4.0476666666666672</v>
      </c>
      <c r="CT23" s="13">
        <f>IF('Données projet'!$A$140&gt;35,CT22+CS23-DB22,IF(A23&lt;'Données projet'!$A$140,$CQ$205^A23,IF(A23='Données projet'!$A$140,'Données projet'!$B$140,CT22+CS23-DB22)))</f>
        <v>24.521704991495451</v>
      </c>
      <c r="CU23" s="18">
        <f>CT23*VLOOKUP('Données projet'!$B$13,Paramètres!$A$1:$I$89,3,0)*VLOOKUP('Données projet'!$B$13,Paramètres!$A$1:$I$89,5,0)</f>
        <v>11.47615793601987</v>
      </c>
      <c r="CV23" s="14">
        <f t="shared" si="41"/>
        <v>3.9809641513921119</v>
      </c>
      <c r="CW23" s="22">
        <f t="shared" si="13"/>
        <v>26.921154302242531</v>
      </c>
      <c r="CX23" s="62">
        <f t="shared" si="14"/>
        <v>308.03226541335368</v>
      </c>
      <c r="CY23" s="62">
        <f ca="1">AVERAGE(OFFSET($CX$3,0,0,'Données projet'!$E$13+1,1))-AVERAGE(OFFSET($H$3,0,0,'Données projet'!$E$13+1,1))</f>
        <v>302.06513069580848</v>
      </c>
      <c r="CZ23" s="62">
        <f t="shared" si="42"/>
        <v>164.1450425611464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3.887142857142857</v>
      </c>
      <c r="N24" s="14">
        <f>IF('Données projet'!$A$36&gt;35,N23+M24-V23,IF(A24&lt;'Données projet'!$A$36,$K$205^A24,IF(A24='Données projet'!$A$36,'Données projet'!$B$36,N23+M24-V23)))</f>
        <v>81.63</v>
      </c>
      <c r="O24" s="14">
        <f>N24*VLOOKUP('Données projet'!$B$9,Paramètres!$A$1:$I$89,3,0)*VLOOKUP('Données projet'!$B$9,Paramètres!$A$1:$I$89,5,0)</f>
        <v>73.858823999999984</v>
      </c>
      <c r="P24" s="14">
        <f t="shared" si="33"/>
        <v>20.628726373651425</v>
      </c>
      <c r="Q24" s="22">
        <f t="shared" si="2"/>
        <v>164.56581690077618</v>
      </c>
      <c r="R24" s="62">
        <f t="shared" si="0"/>
        <v>446.89915023410947</v>
      </c>
      <c r="S24" s="62">
        <f ca="1">AVERAGE(OFFSET($R$3,0,0,'Données projet'!$E$9+1,1))-AVERAGE(OFFSET($H$3,0,0,'Données projet'!$E$9+1,1))</f>
        <v>581.88778927327667</v>
      </c>
      <c r="T24" s="62">
        <f t="shared" si="34"/>
        <v>269.67340993773422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10.199999999999999</v>
      </c>
      <c r="AI24" s="14">
        <f>IF('Données projet'!$A$62&gt;35,AI23+AH24-AQ23,IF(A24&lt;'Données projet'!$A$62,$AF$205^A24,IF(A24='Données projet'!$A$62,'Données projet'!$B$62,AI23+AH24-AQ23)))</f>
        <v>85.199999999999989</v>
      </c>
      <c r="AJ24" s="14">
        <f>AI24*VLOOKUP('Données projet'!$B$10,Paramètres!$A$1:$I$89,3,0)*VLOOKUP('Données projet'!$B$10,Paramètres!$A$1:$I$89,5,0)</f>
        <v>74.430719999999994</v>
      </c>
      <c r="AK24" s="14">
        <f t="shared" si="35"/>
        <v>20.76980057385482</v>
      </c>
      <c r="AL24" s="22">
        <f t="shared" si="4"/>
        <v>165.80757333279712</v>
      </c>
      <c r="AM24" s="62">
        <f t="shared" si="5"/>
        <v>448.14090666613043</v>
      </c>
      <c r="AN24" s="62">
        <f ca="1">AVERAGE(OFFSET($AM$3,0,0,'Données projet'!$E$10+1,1))-AVERAGE(OFFSET($H$3,0,0,'Données projet'!$E$10+1,1))</f>
        <v>354.24684313982857</v>
      </c>
      <c r="AO24" s="62">
        <f t="shared" si="36"/>
        <v>322.65043486962185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3.28</v>
      </c>
      <c r="BD24" s="13">
        <f>IF('Données projet'!$A$88&gt;35,BD23+BC24-BL23,IF(A24&lt;'Données projet'!$A$88,$BA$205^A24,IF(A24='Données projet'!$A$88,'Données projet'!$B$88,BD23+BC24-BL23)))</f>
        <v>40.51386121184764</v>
      </c>
      <c r="BE24" s="14">
        <f>BD24*VLOOKUP('Données projet'!$B$11,Paramètres!$A$1:$I$89,3,0)*VLOOKUP('Données projet'!$B$11,Paramètres!$A$1:$I$89,5,0)</f>
        <v>38.552990329194216</v>
      </c>
      <c r="BF24" s="14">
        <f t="shared" si="37"/>
        <v>11.61429826694382</v>
      </c>
      <c r="BG24" s="22">
        <f t="shared" si="7"/>
        <v>87.374694304940405</v>
      </c>
      <c r="BH24" s="62">
        <f t="shared" si="8"/>
        <v>369.70802763827373</v>
      </c>
      <c r="BI24" s="62">
        <f ca="1">AVERAGE(OFFSET($BH$3,0,0,'Données projet'!$E$11+1,1))-AVERAGE(OFFSET($H$3,0,0,'Données projet'!$E$11+1,1))</f>
        <v>460.77543902152325</v>
      </c>
      <c r="BJ24" s="62">
        <f t="shared" si="38"/>
        <v>341.4342976721104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19.68</v>
      </c>
      <c r="BY24" s="13">
        <f>IF('Données projet'!$A$114&gt;35,BY23+BX24-CG23,IF(A24&lt;'Données projet'!$A$114,$BV$205^A24,IF(A24='Données projet'!$A$114,'Données projet'!$B$114,BY23+BX24-CG23)))</f>
        <v>120.88</v>
      </c>
      <c r="BZ24" s="14">
        <f>BY24*VLOOKUP('Données projet'!$B$12,Paramètres!$A$1:$I$89,3,0)*VLOOKUP('Données projet'!$B$12,Paramètres!$A$1:$I$89,5,0)</f>
        <v>72.286239999999992</v>
      </c>
      <c r="CA24" s="14">
        <f t="shared" si="39"/>
        <v>20.240145222851208</v>
      </c>
      <c r="CB24" s="22">
        <f t="shared" si="10"/>
        <v>161.15012092979916</v>
      </c>
      <c r="CC24" s="62">
        <f t="shared" si="11"/>
        <v>443.48345426313244</v>
      </c>
      <c r="CD24" s="62">
        <f ca="1">AVERAGE(OFFSET($CC$3,0,0,'Données projet'!$E$12+1,1))-AVERAGE(OFFSET($H$3,0,0,'Données projet'!$E$12+1,1))</f>
        <v>438.68915237247444</v>
      </c>
      <c r="CE24" s="62">
        <f t="shared" si="40"/>
        <v>376.94419168335452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4.765874324831608</v>
      </c>
      <c r="CL24" s="23">
        <f>EXP(-LN(2)/25)*CL23+(1-EXP(-LN(2)/25))/(LN(2)/25)*Calculateur!CG24*Calculateur!CI24*VLOOKUP('Données projet'!$B$12,Paramètres!$A$1:$I$89,3,0)*0.475*44/12</f>
        <v>6.0742392596689623</v>
      </c>
      <c r="CM24" s="23">
        <f>EXP(-LN(2)/2)*CM23+(1-EXP(-LN(2)/2))/(LN(2)/2)*CG24*CJ24*VLOOKUP('Données projet'!$B$12,Paramètres!$A$1:$I$89,3,0)*0.475*44/12</f>
        <v>4.8590281197528125</v>
      </c>
      <c r="CN24" s="24">
        <f t="shared" si="12"/>
        <v>15.699141704253384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4.0476666666666672</v>
      </c>
      <c r="CT24" s="13">
        <f>IF('Données projet'!$A$140&gt;35,CT23+CS24-DB23,IF(A24&lt;'Données projet'!$A$140,$CQ$205^A24,IF(A24='Données projet'!$A$140,'Données projet'!$B$140,CT23+CS24-DB23)))</f>
        <v>28.775852355116477</v>
      </c>
      <c r="CU24" s="18">
        <f>CT24*VLOOKUP('Données projet'!$B$13,Paramètres!$A$1:$I$89,3,0)*VLOOKUP('Données projet'!$B$13,Paramètres!$A$1:$I$89,5,0)</f>
        <v>13.467098902194511</v>
      </c>
      <c r="CV24" s="14">
        <f t="shared" si="41"/>
        <v>4.5854146595942122</v>
      </c>
      <c r="CW24" s="22">
        <f t="shared" si="13"/>
        <v>31.44146112011536</v>
      </c>
      <c r="CX24" s="62">
        <f t="shared" si="14"/>
        <v>313.77479445344869</v>
      </c>
      <c r="CY24" s="62">
        <f ca="1">AVERAGE(OFFSET($CX$3,0,0,'Données projet'!$E$13+1,1))-AVERAGE(OFFSET($H$3,0,0,'Données projet'!$E$13+1,1))</f>
        <v>302.06513069580848</v>
      </c>
      <c r="CZ24" s="62">
        <f t="shared" si="42"/>
        <v>164.1450425611464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3.887142857142857</v>
      </c>
      <c r="N25" s="14">
        <f>IF('Données projet'!$A$36&gt;35,N24+M25-V24,IF(A25&lt;'Données projet'!$A$36,$K$205^A25,IF(A25='Données projet'!$A$36,'Données projet'!$B$36,N24+M25-V24)))</f>
        <v>85.517142857142858</v>
      </c>
      <c r="O25" s="14">
        <f>N25*VLOOKUP('Données projet'!$B$9,Paramètres!$A$1:$I$89,3,0)*VLOOKUP('Données projet'!$B$9,Paramètres!$A$1:$I$89,5,0)</f>
        <v>77.375910857142856</v>
      </c>
      <c r="P25" s="14">
        <f t="shared" si="33"/>
        <v>21.49434063873689</v>
      </c>
      <c r="Q25" s="22">
        <f t="shared" si="2"/>
        <v>172.19902135532388</v>
      </c>
      <c r="R25" s="62">
        <f t="shared" si="0"/>
        <v>455.75457691087945</v>
      </c>
      <c r="S25" s="62">
        <f ca="1">AVERAGE(OFFSET($R$3,0,0,'Données projet'!$E$9+1,1))-AVERAGE(OFFSET($H$3,0,0,'Données projet'!$E$9+1,1))</f>
        <v>581.88778927327667</v>
      </c>
      <c r="T25" s="62">
        <f t="shared" si="34"/>
        <v>269.67340993773422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10.199999999999999</v>
      </c>
      <c r="AI25" s="14">
        <f>IF('Données projet'!$A$62&gt;35,AI24+AH25-AQ24,IF(A25&lt;'Données projet'!$A$62,$AF$205^A25,IF(A25='Données projet'!$A$62,'Données projet'!$B$62,AI24+AH25-AQ24)))</f>
        <v>95.399999999999991</v>
      </c>
      <c r="AJ25" s="14">
        <f>AI25*VLOOKUP('Données projet'!$B$10,Paramètres!$A$1:$I$89,3,0)*VLOOKUP('Données projet'!$B$10,Paramètres!$A$1:$I$89,5,0)</f>
        <v>83.341440000000006</v>
      </c>
      <c r="AK25" s="14">
        <f t="shared" si="35"/>
        <v>22.952227742446681</v>
      </c>
      <c r="AL25" s="22">
        <f t="shared" si="4"/>
        <v>185.12813798476131</v>
      </c>
      <c r="AM25" s="62">
        <f t="shared" si="5"/>
        <v>468.68369354031688</v>
      </c>
      <c r="AN25" s="62">
        <f ca="1">AVERAGE(OFFSET($AM$3,0,0,'Données projet'!$E$10+1,1))-AVERAGE(OFFSET($H$3,0,0,'Données projet'!$E$10+1,1))</f>
        <v>354.24684313982857</v>
      </c>
      <c r="AO25" s="62">
        <f t="shared" si="36"/>
        <v>322.65043486962185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3.28</v>
      </c>
      <c r="BD25" s="13">
        <f>IF('Données projet'!$A$88&gt;35,BD24+BC25-BL24,IF(A25&lt;'Données projet'!$A$88,$BA$205^A25,IF(A25='Données projet'!$A$88,'Données projet'!$B$88,BD24+BC25-BL24)))</f>
        <v>48.323256102939744</v>
      </c>
      <c r="BE25" s="14">
        <f>BD25*VLOOKUP('Données projet'!$B$11,Paramètres!$A$1:$I$89,3,0)*VLOOKUP('Données projet'!$B$11,Paramètres!$A$1:$I$89,5,0)</f>
        <v>45.984410507557463</v>
      </c>
      <c r="BF25" s="14">
        <f t="shared" si="37"/>
        <v>13.571717521382951</v>
      </c>
      <c r="BG25" s="22">
        <f t="shared" si="7"/>
        <v>103.72692298373788</v>
      </c>
      <c r="BH25" s="62">
        <f t="shared" si="8"/>
        <v>387.28247853929344</v>
      </c>
      <c r="BI25" s="62">
        <f ca="1">AVERAGE(OFFSET($BH$3,0,0,'Données projet'!$E$11+1,1))-AVERAGE(OFFSET($H$3,0,0,'Données projet'!$E$11+1,1))</f>
        <v>460.77543902152325</v>
      </c>
      <c r="BJ25" s="62">
        <f t="shared" si="38"/>
        <v>341.4342976721104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19.68</v>
      </c>
      <c r="BY25" s="13">
        <f>IF('Données projet'!$A$114&gt;35,BY24+BX25-CG24,IF(A25&lt;'Données projet'!$A$114,$BV$205^A25,IF(A25='Données projet'!$A$114,'Données projet'!$B$114,BY24+BX25-CG24)))</f>
        <v>140.56</v>
      </c>
      <c r="BZ25" s="14">
        <f>BY25*VLOOKUP('Données projet'!$B$12,Paramètres!$A$1:$I$89,3,0)*VLOOKUP('Données projet'!$B$12,Paramètres!$A$1:$I$89,5,0)</f>
        <v>84.054880000000011</v>
      </c>
      <c r="CA25" s="14">
        <f t="shared" si="39"/>
        <v>23.12575242793806</v>
      </c>
      <c r="CB25" s="22">
        <f t="shared" si="10"/>
        <v>186.67293481199212</v>
      </c>
      <c r="CC25" s="62">
        <f t="shared" si="11"/>
        <v>470.22849036754769</v>
      </c>
      <c r="CD25" s="62">
        <f ca="1">AVERAGE(OFFSET($CC$3,0,0,'Données projet'!$E$12+1,1))-AVERAGE(OFFSET($H$3,0,0,'Données projet'!$E$12+1,1))</f>
        <v>438.68915237247444</v>
      </c>
      <c r="CE25" s="62">
        <f t="shared" si="40"/>
        <v>376.94419168335452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4.6724184362179662</v>
      </c>
      <c r="CL25" s="23">
        <f>EXP(-LN(2)/25)*CL24+(1-EXP(-LN(2)/25))/(LN(2)/25)*Calculateur!CG25*Calculateur!CI25*VLOOKUP('Données projet'!$B$12,Paramètres!$A$1:$I$89,3,0)*0.475*44/12</f>
        <v>5.9081388676829549</v>
      </c>
      <c r="CM25" s="23">
        <f>EXP(-LN(2)/2)*CM24+(1-EXP(-LN(2)/2))/(LN(2)/2)*CG25*CJ25*VLOOKUP('Données projet'!$B$12,Paramètres!$A$1:$I$89,3,0)*0.475*44/12</f>
        <v>3.4358517334533336</v>
      </c>
      <c r="CN25" s="24">
        <f t="shared" si="12"/>
        <v>14.016409037354254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4.0476666666666672</v>
      </c>
      <c r="CT25" s="13">
        <f>IF('Données projet'!$A$140&gt;35,CT24+CS25-DB24,IF(A25&lt;'Données projet'!$A$140,$CQ$205^A25,IF(A25='Données projet'!$A$140,'Données projet'!$B$140,CT24+CS25-DB24)))</f>
        <v>33.768030365369967</v>
      </c>
      <c r="CU25" s="18">
        <f>CT25*VLOOKUP('Données projet'!$B$13,Paramètres!$A$1:$I$89,3,0)*VLOOKUP('Données projet'!$B$13,Paramètres!$A$1:$I$89,5,0)</f>
        <v>15.803438210993145</v>
      </c>
      <c r="CV25" s="14">
        <f t="shared" si="41"/>
        <v>5.281642034648538</v>
      </c>
      <c r="CW25" s="22">
        <f t="shared" si="13"/>
        <v>36.723181427825928</v>
      </c>
      <c r="CX25" s="62">
        <f t="shared" si="14"/>
        <v>320.27873698338146</v>
      </c>
      <c r="CY25" s="62">
        <f ca="1">AVERAGE(OFFSET($CX$3,0,0,'Données projet'!$E$13+1,1))-AVERAGE(OFFSET($H$3,0,0,'Données projet'!$E$13+1,1))</f>
        <v>302.06513069580848</v>
      </c>
      <c r="CZ25" s="62">
        <f t="shared" si="42"/>
        <v>164.1450425611464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3.887142857142857</v>
      </c>
      <c r="N26" s="14">
        <f>IF('Données projet'!$A$36&gt;35,N25+M26-V25,IF(A26&lt;'Données projet'!$A$36,$K$205^A26,IF(A26='Données projet'!$A$36,'Données projet'!$B$36,N25+M26-V25)))</f>
        <v>89.40428571428572</v>
      </c>
      <c r="O26" s="14">
        <f>N26*VLOOKUP('Données projet'!$B$9,Paramètres!$A$1:$I$89,3,0)*VLOOKUP('Données projet'!$B$9,Paramètres!$A$1:$I$89,5,0)</f>
        <v>80.892997714285713</v>
      </c>
      <c r="P26" s="14">
        <f t="shared" si="33"/>
        <v>22.355385450466887</v>
      </c>
      <c r="Q26" s="22">
        <f t="shared" si="2"/>
        <v>179.82426734527743</v>
      </c>
      <c r="R26" s="62">
        <f t="shared" si="0"/>
        <v>464.60204512305518</v>
      </c>
      <c r="S26" s="62">
        <f ca="1">AVERAGE(OFFSET($R$3,0,0,'Données projet'!$E$9+1,1))-AVERAGE(OFFSET($H$3,0,0,'Données projet'!$E$9+1,1))</f>
        <v>581.88778927327667</v>
      </c>
      <c r="T26" s="62">
        <f t="shared" si="34"/>
        <v>269.67340993773422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10.199999999999999</v>
      </c>
      <c r="AI26" s="14">
        <f>IF('Données projet'!$A$62&gt;35,AI25+AH26-AQ25,IF(A26&lt;'Données projet'!$A$62,$AF$205^A26,IF(A26='Données projet'!$A$62,'Données projet'!$B$62,AI25+AH26-AQ25)))</f>
        <v>105.6</v>
      </c>
      <c r="AJ26" s="14">
        <f>AI26*VLOOKUP('Données projet'!$B$10,Paramètres!$A$1:$I$89,3,0)*VLOOKUP('Données projet'!$B$10,Paramètres!$A$1:$I$89,5,0)</f>
        <v>92.252160000000003</v>
      </c>
      <c r="AK26" s="14">
        <f t="shared" si="35"/>
        <v>25.107607958259987</v>
      </c>
      <c r="AL26" s="22">
        <f t="shared" si="4"/>
        <v>204.40159586063612</v>
      </c>
      <c r="AM26" s="62">
        <f t="shared" si="5"/>
        <v>489.17937363841389</v>
      </c>
      <c r="AN26" s="62">
        <f ca="1">AVERAGE(OFFSET($AM$3,0,0,'Données projet'!$E$10+1,1))-AVERAGE(OFFSET($H$3,0,0,'Données projet'!$E$10+1,1))</f>
        <v>354.24684313982857</v>
      </c>
      <c r="AO26" s="62">
        <f t="shared" si="36"/>
        <v>322.65043486962185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3.28</v>
      </c>
      <c r="BD26" s="13">
        <f>IF('Données projet'!$A$88&gt;35,BD25+BC26-BL25,IF(A26&lt;'Données projet'!$A$88,$BA$205^A26,IF(A26='Données projet'!$A$88,'Données projet'!$B$88,BD25+BC26-BL25)))</f>
        <v>57.637978966749991</v>
      </c>
      <c r="BE26" s="14">
        <f>BD26*VLOOKUP('Données projet'!$B$11,Paramètres!$A$1:$I$89,3,0)*VLOOKUP('Données projet'!$B$11,Paramètres!$A$1:$I$89,5,0)</f>
        <v>54.848300784759289</v>
      </c>
      <c r="BF26" s="14">
        <f t="shared" si="37"/>
        <v>15.859031019071717</v>
      </c>
      <c r="BG26" s="22">
        <f t="shared" si="7"/>
        <v>123.14860289167234</v>
      </c>
      <c r="BH26" s="62">
        <f t="shared" si="8"/>
        <v>407.92638066945011</v>
      </c>
      <c r="BI26" s="62">
        <f ca="1">AVERAGE(OFFSET($BH$3,0,0,'Données projet'!$E$11+1,1))-AVERAGE(OFFSET($H$3,0,0,'Données projet'!$E$11+1,1))</f>
        <v>460.77543902152325</v>
      </c>
      <c r="BJ26" s="62">
        <f t="shared" si="38"/>
        <v>341.4342976721104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19.68</v>
      </c>
      <c r="BY26" s="13">
        <f>IF('Données projet'!$A$114&gt;35,BY25+BX26-CG25,IF(A26&lt;'Données projet'!$A$114,$BV$205^A26,IF(A26='Données projet'!$A$114,'Données projet'!$B$114,BY25+BX26-CG25)))</f>
        <v>160.24</v>
      </c>
      <c r="BZ26" s="14">
        <f>BY26*VLOOKUP('Données projet'!$B$12,Paramètres!$A$1:$I$89,3,0)*VLOOKUP('Données projet'!$B$12,Paramètres!$A$1:$I$89,5,0)</f>
        <v>95.823520000000016</v>
      </c>
      <c r="CA26" s="14">
        <f t="shared" si="39"/>
        <v>25.964551808226819</v>
      </c>
      <c r="CB26" s="22">
        <f t="shared" si="10"/>
        <v>212.11422506599504</v>
      </c>
      <c r="CC26" s="62">
        <f t="shared" si="11"/>
        <v>496.89200284377284</v>
      </c>
      <c r="CD26" s="62">
        <f ca="1">AVERAGE(OFFSET($CC$3,0,0,'Données projet'!$E$12+1,1))-AVERAGE(OFFSET($H$3,0,0,'Données projet'!$E$12+1,1))</f>
        <v>438.68915237247444</v>
      </c>
      <c r="CE26" s="62">
        <f t="shared" si="40"/>
        <v>376.94419168335452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4.5807951605775745</v>
      </c>
      <c r="CL26" s="23">
        <f>EXP(-LN(2)/25)*CL25+(1-EXP(-LN(2)/25))/(LN(2)/25)*Calculateur!CG26*Calculateur!CI26*VLOOKUP('Données projet'!$B$12,Paramètres!$A$1:$I$89,3,0)*0.475*44/12</f>
        <v>5.7465804996506451</v>
      </c>
      <c r="CM26" s="23">
        <f>EXP(-LN(2)/2)*CM25+(1-EXP(-LN(2)/2))/(LN(2)/2)*CG26*CJ26*VLOOKUP('Données projet'!$B$12,Paramètres!$A$1:$I$89,3,0)*0.475*44/12</f>
        <v>2.4295140598764067</v>
      </c>
      <c r="CN26" s="24">
        <f t="shared" si="12"/>
        <v>12.756889720104628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4.0476666666666672</v>
      </c>
      <c r="CT26" s="13">
        <f>IF('Données projet'!$A$140&gt;35,CT25+CS26-DB25,IF(A26&lt;'Données projet'!$A$140,$CQ$205^A26,IF(A26='Données projet'!$A$140,'Données projet'!$B$140,CT25+CS26-DB25)))</f>
        <v>39.626276250121265</v>
      </c>
      <c r="CU26" s="18">
        <f>CT26*VLOOKUP('Données projet'!$B$13,Paramètres!$A$1:$I$89,3,0)*VLOOKUP('Données projet'!$B$13,Paramètres!$A$1:$I$89,5,0)</f>
        <v>18.545097285056752</v>
      </c>
      <c r="CV26" s="14">
        <f t="shared" si="41"/>
        <v>6.0835812359519474</v>
      </c>
      <c r="CW26" s="22">
        <f t="shared" si="13"/>
        <v>42.894948424090153</v>
      </c>
      <c r="CX26" s="62">
        <f t="shared" si="14"/>
        <v>327.67272620186793</v>
      </c>
      <c r="CY26" s="62">
        <f ca="1">AVERAGE(OFFSET($CX$3,0,0,'Données projet'!$E$13+1,1))-AVERAGE(OFFSET($H$3,0,0,'Données projet'!$E$13+1,1))</f>
        <v>302.06513069580848</v>
      </c>
      <c r="CZ26" s="62">
        <f t="shared" si="42"/>
        <v>164.1450425611464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3.887142857142857</v>
      </c>
      <c r="N27" s="14">
        <f>IF('Données projet'!$A$36&gt;35,N26+M27-V26,IF(A27&lt;'Données projet'!$A$36,$K$205^A27,IF(A27='Données projet'!$A$36,'Données projet'!$B$36,N26+M27-V26)))</f>
        <v>93.291428571428582</v>
      </c>
      <c r="O27" s="14">
        <f>N27*VLOOKUP('Données projet'!$B$9,Paramètres!$A$1:$I$89,3,0)*VLOOKUP('Données projet'!$B$9,Paramètres!$A$1:$I$89,5,0)</f>
        <v>84.410084571428584</v>
      </c>
      <c r="P27" s="14">
        <f t="shared" si="33"/>
        <v>23.212082188219242</v>
      </c>
      <c r="Q27" s="22">
        <f t="shared" si="2"/>
        <v>187.44194043971996</v>
      </c>
      <c r="R27" s="62">
        <f t="shared" si="0"/>
        <v>473.44194043971993</v>
      </c>
      <c r="S27" s="62">
        <f ca="1">AVERAGE(OFFSET($R$3,0,0,'Données projet'!$E$9+1,1))-AVERAGE(OFFSET($H$3,0,0,'Données projet'!$E$9+1,1))</f>
        <v>581.88778927327667</v>
      </c>
      <c r="T27" s="62">
        <f t="shared" si="34"/>
        <v>269.67340993773422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10.199999999999999</v>
      </c>
      <c r="AI27" s="14">
        <f>IF('Données projet'!$A$62&gt;35,AI26+AH27-AQ26,IF(A27&lt;'Données projet'!$A$62,$AF$205^A27,IF(A27='Données projet'!$A$62,'Données projet'!$B$62,AI26+AH27-AQ26)))</f>
        <v>115.8</v>
      </c>
      <c r="AJ27" s="14">
        <f>AI27*VLOOKUP('Données projet'!$B$10,Paramètres!$A$1:$I$89,3,0)*VLOOKUP('Données projet'!$B$10,Paramètres!$A$1:$I$89,5,0)</f>
        <v>101.16288</v>
      </c>
      <c r="AK27" s="14">
        <f t="shared" si="35"/>
        <v>27.238850979377386</v>
      </c>
      <c r="AL27" s="22">
        <f t="shared" si="4"/>
        <v>223.63301478908227</v>
      </c>
      <c r="AM27" s="62">
        <f t="shared" si="5"/>
        <v>509.63301478908227</v>
      </c>
      <c r="AN27" s="62">
        <f ca="1">AVERAGE(OFFSET($AM$3,0,0,'Données projet'!$E$10+1,1))-AVERAGE(OFFSET($H$3,0,0,'Données projet'!$E$10+1,1))</f>
        <v>354.24684313982857</v>
      </c>
      <c r="AO27" s="62">
        <f t="shared" si="36"/>
        <v>322.65043486962185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3.28</v>
      </c>
      <c r="BD27" s="13">
        <f>IF('Données projet'!$A$88&gt;35,BD26+BC27-BL26,IF(A27&lt;'Données projet'!$A$88,$BA$205^A27,IF(A27='Données projet'!$A$88,'Données projet'!$B$88,BD26+BC27-BL26)))</f>
        <v>68.748194705559428</v>
      </c>
      <c r="BE27" s="14">
        <f>BD27*VLOOKUP('Données projet'!$B$11,Paramètres!$A$1:$I$89,3,0)*VLOOKUP('Données projet'!$B$11,Paramètres!$A$1:$I$89,5,0)</f>
        <v>65.420782081810358</v>
      </c>
      <c r="BF27" s="14">
        <f t="shared" si="37"/>
        <v>18.53183758559766</v>
      </c>
      <c r="BG27" s="22">
        <f t="shared" si="7"/>
        <v>146.21747925406896</v>
      </c>
      <c r="BH27" s="62">
        <f t="shared" si="8"/>
        <v>432.21747925406896</v>
      </c>
      <c r="BI27" s="62">
        <f ca="1">AVERAGE(OFFSET($BH$3,0,0,'Données projet'!$E$11+1,1))-AVERAGE(OFFSET($H$3,0,0,'Données projet'!$E$11+1,1))</f>
        <v>460.77543902152325</v>
      </c>
      <c r="BJ27" s="62">
        <f t="shared" si="38"/>
        <v>341.4342976721104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>
        <f>VLOOKUP(A27,'Données projet'!$A$113:$I$133,2,0)</f>
        <v>179.92</v>
      </c>
      <c r="BW27" s="13">
        <f>VLOOKUP(A27,'Données projet'!$A$113:$I$133,9,0)</f>
        <v>19.68</v>
      </c>
      <c r="BX27" s="13">
        <f t="array" ref="BX27">INDEX(BW:BW,MIN(IF(ISNUMBER(BW27:BW223),ROW(BW27:BW223),"")))</f>
        <v>19.68</v>
      </c>
      <c r="BY27" s="13">
        <f>IF('Données projet'!$A$114&gt;35,BY26+BX27-CG26,IF(A27&lt;'Données projet'!$A$114,$BV$205^A27,IF(A27='Données projet'!$A$114,'Données projet'!$B$114,BY26+BX27-CG26)))</f>
        <v>179.92000000000002</v>
      </c>
      <c r="BZ27" s="14">
        <f>BY27*VLOOKUP('Données projet'!$B$12,Paramètres!$A$1:$I$89,3,0)*VLOOKUP('Données projet'!$B$12,Paramètres!$A$1:$I$89,5,0)</f>
        <v>107.59216000000002</v>
      </c>
      <c r="CA27" s="14">
        <f t="shared" si="39"/>
        <v>28.762950003220435</v>
      </c>
      <c r="CB27" s="22">
        <f t="shared" si="10"/>
        <v>237.48514992227561</v>
      </c>
      <c r="CC27" s="62">
        <f t="shared" si="11"/>
        <v>523.48514992227558</v>
      </c>
      <c r="CD27" s="62">
        <f ca="1">AVERAGE(OFFSET($CC$3,0,0,'Données projet'!$E$12+1,1))-AVERAGE(OFFSET($H$3,0,0,'Données projet'!$E$12+1,1))</f>
        <v>438.68915237247444</v>
      </c>
      <c r="CE27" s="62">
        <f t="shared" si="40"/>
        <v>376.94419168335452</v>
      </c>
      <c r="CF27" s="16">
        <f>IF(ISNA(VLOOKUP(A27,'Données projet'!$A$113:$I$133,3,0)),0,VLOOKUP(A27,'Données projet'!$A$113:$I$133,3,0))</f>
        <v>2</v>
      </c>
      <c r="CG27" s="16">
        <f>IF(ISNA(VLOOKUP(A27,'Données projet'!$A$113:$I$133,4,0)),0,VLOOKUP(A27,'Données projet'!$A$113:$I$133,4,0))</f>
        <v>44.84</v>
      </c>
      <c r="CH27" s="17">
        <f>IF(ISNA(VLOOKUP(A27,'Données projet'!$A$113:$I$133,5,0)),0%,VLOOKUP(A27,'Données projet'!$A$113:$I$133,5,0)*VLOOKUP('Données projet'!$B$12,Paramètres!$A$1:$I$89,7,0))</f>
        <v>0.18000000000000002</v>
      </c>
      <c r="CI27" s="17">
        <f>IF(ISNA(VLOOKUP(A27,'Données projet'!$A$113:$I$133,6,0)),0%,VLOOKUP(A27,'Données projet'!$A$113:$I$133,6,0)*VLOOKUP('Données projet'!$B$12,Paramètres!$A$1:$I$89,7,0))</f>
        <v>0.15300000000000002</v>
      </c>
      <c r="CJ27" s="17">
        <f>IF(ISNA(VLOOKUP(A27,'Données projet'!$A$113:$I$133,7,0)),0%,VLOOKUP(A27,'Données projet'!$A$113:$I$133,7,0))</f>
        <v>0.26</v>
      </c>
      <c r="CK27" s="23">
        <f>EXP(-LN(2)/35)*CK26+(1-EXP(-LN(2)/35))/(LN(2)/35)*CG27*CH27*VLOOKUP('Données projet'!$B$12,Paramètres!$A$1:$I$89,3,0)*0.475*44/12</f>
        <v>10.893734847068496</v>
      </c>
      <c r="CL27" s="23">
        <f>EXP(-LN(2)/25)*CL26+(1-EXP(-LN(2)/25))/(LN(2)/25)*Calculateur!CG27*Calculateur!CI27*VLOOKUP('Données projet'!$B$12,Paramètres!$A$1:$I$89,3,0)*0.475*44/12</f>
        <v>11.010362685496926</v>
      </c>
      <c r="CM27" s="23">
        <f>EXP(-LN(2)/2)*CM26+(1-EXP(-LN(2)/2))/(LN(2)/2)*CG27*CJ27*VLOOKUP('Données projet'!$B$12,Paramètres!$A$1:$I$89,3,0)*0.475*44/12</f>
        <v>9.6115360431812338</v>
      </c>
      <c r="CN27" s="24">
        <f t="shared" si="12"/>
        <v>31.515633575746655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4.0476666666666672</v>
      </c>
      <c r="CT27" s="13">
        <f>IF('Données projet'!$A$140&gt;35,CT26+CS27-DB26,IF(A27&lt;'Données projet'!$A$140,$CQ$205^A27,IF(A27='Données projet'!$A$140,'Données projet'!$B$140,CT26+CS27-DB26)))</f>
        <v>46.500839772439015</v>
      </c>
      <c r="CU27" s="18">
        <f>CT27*VLOOKUP('Données projet'!$B$13,Paramètres!$A$1:$I$89,3,0)*VLOOKUP('Données projet'!$B$13,Paramètres!$A$1:$I$89,5,0)</f>
        <v>21.762393013501459</v>
      </c>
      <c r="CV27" s="14">
        <f t="shared" si="41"/>
        <v>7.0072830403186224</v>
      </c>
      <c r="CW27" s="22">
        <f t="shared" si="13"/>
        <v>50.10718579373664</v>
      </c>
      <c r="CX27" s="62">
        <f t="shared" si="14"/>
        <v>336.10718579373662</v>
      </c>
      <c r="CY27" s="62">
        <f ca="1">AVERAGE(OFFSET($CX$3,0,0,'Données projet'!$E$13+1,1))-AVERAGE(OFFSET($H$3,0,0,'Données projet'!$E$13+1,1))</f>
        <v>302.06513069580848</v>
      </c>
      <c r="CZ27" s="62">
        <f t="shared" si="42"/>
        <v>164.1450425611464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3.887142857142857</v>
      </c>
      <c r="N28" s="14">
        <f>IF('Données projet'!$A$36&gt;35,N27+M28-V27,IF(A28&lt;'Données projet'!$A$36,$K$205^A28,IF(A28='Données projet'!$A$36,'Données projet'!$B$36,N27+M28-V27)))</f>
        <v>97.178571428571445</v>
      </c>
      <c r="O28" s="14">
        <f>N28*VLOOKUP('Données projet'!$B$9,Paramètres!$A$1:$I$89,3,0)*VLOOKUP('Données projet'!$B$9,Paramètres!$A$1:$I$89,5,0)</f>
        <v>87.927171428571441</v>
      </c>
      <c r="P28" s="14">
        <f t="shared" si="33"/>
        <v>24.06463273936156</v>
      </c>
      <c r="Q28" s="22">
        <f t="shared" si="2"/>
        <v>195.05239225914997</v>
      </c>
      <c r="R28" s="62">
        <f t="shared" si="0"/>
        <v>482.27461448137217</v>
      </c>
      <c r="S28" s="62">
        <f ca="1">AVERAGE(OFFSET($R$3,0,0,'Données projet'!$E$9+1,1))-AVERAGE(OFFSET($H$3,0,0,'Données projet'!$E$9+1,1))</f>
        <v>581.88778927327667</v>
      </c>
      <c r="T28" s="62">
        <f t="shared" si="34"/>
        <v>269.67340993773422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126</v>
      </c>
      <c r="AG28" s="13">
        <f>VLOOKUP(A28,'Données projet'!$A$61:$I$81,9,0)</f>
        <v>10.199999999999999</v>
      </c>
      <c r="AH28" s="13">
        <f t="array" ref="AH28">INDEX(AG:AG,MIN(IF(ISNUMBER(AG28:AG224),ROW(AG28:AG224),"")))</f>
        <v>10.199999999999999</v>
      </c>
      <c r="AI28" s="14">
        <f>IF('Données projet'!$A$62&gt;35,AI27+AH28-AQ27,IF(A28&lt;'Données projet'!$A$62,$AF$205^A28,IF(A28='Données projet'!$A$62,'Données projet'!$B$62,AI27+AH28-AQ27)))</f>
        <v>126</v>
      </c>
      <c r="AJ28" s="14">
        <f>AI28*VLOOKUP('Données projet'!$B$10,Paramètres!$A$1:$I$89,3,0)*VLOOKUP('Données projet'!$B$10,Paramètres!$A$1:$I$89,5,0)</f>
        <v>110.07360000000001</v>
      </c>
      <c r="AK28" s="14">
        <f t="shared" si="35"/>
        <v>29.348324631518828</v>
      </c>
      <c r="AL28" s="22">
        <f t="shared" si="4"/>
        <v>242.8265187332286</v>
      </c>
      <c r="AM28" s="62">
        <f t="shared" si="5"/>
        <v>530.04874095545085</v>
      </c>
      <c r="AN28" s="62">
        <f ca="1">AVERAGE(OFFSET($AM$3,0,0,'Données projet'!$E$10+1,1))-AVERAGE(OFFSET($H$3,0,0,'Données projet'!$E$10+1,1))</f>
        <v>354.24684313982857</v>
      </c>
      <c r="AO28" s="62">
        <f t="shared" si="36"/>
        <v>322.65043486962185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26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82</v>
      </c>
      <c r="BB28" s="13">
        <f>VLOOKUP(A28,'Données projet'!$A$87:$I$107,9,0)</f>
        <v>3.28</v>
      </c>
      <c r="BC28" s="13">
        <f t="array" ref="BC28">INDEX(BB:BB,MIN(IF(ISNUMBER(BB28:BB224),ROW(BB28:BB224),"")))</f>
        <v>3.28</v>
      </c>
      <c r="BD28" s="13">
        <f>IF('Données projet'!$A$88&gt;35,BD27+BC28-BL27,IF(A28&lt;'Données projet'!$A$88,$BA$205^A28,IF(A28='Données projet'!$A$88,'Données projet'!$B$88,BD27+BC28-BL27)))</f>
        <v>82</v>
      </c>
      <c r="BE28" s="14">
        <f>BD28*VLOOKUP('Données projet'!$B$11,Paramètres!$A$1:$I$89,3,0)*VLOOKUP('Données projet'!$B$11,Paramètres!$A$1:$I$89,5,0)</f>
        <v>78.031199999999998</v>
      </c>
      <c r="BF28" s="14">
        <f t="shared" si="37"/>
        <v>21.655106411354492</v>
      </c>
      <c r="BG28" s="22">
        <f t="shared" si="7"/>
        <v>173.62031699977572</v>
      </c>
      <c r="BH28" s="62">
        <f t="shared" si="8"/>
        <v>460.84253922199798</v>
      </c>
      <c r="BI28" s="62">
        <f ca="1">AVERAGE(OFFSET($BH$3,0,0,'Données projet'!$E$11+1,1))-AVERAGE(OFFSET($H$3,0,0,'Données projet'!$E$11+1,1))</f>
        <v>460.77543902152325</v>
      </c>
      <c r="BJ28" s="62">
        <f t="shared" si="38"/>
        <v>341.4342976721104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11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20.836666666666673</v>
      </c>
      <c r="BY28" s="13">
        <f>IF('Données projet'!$A$114&gt;35,BY27+BX28-CG27,IF(A28&lt;'Données projet'!$A$114,$BV$205^A28,IF(A28='Données projet'!$A$114,'Données projet'!$B$114,BY27+BX28-CG27)))</f>
        <v>155.91666666666669</v>
      </c>
      <c r="BZ28" s="14">
        <f>BY28*VLOOKUP('Données projet'!$B$12,Paramètres!$A$1:$I$89,3,0)*VLOOKUP('Données projet'!$B$12,Paramètres!$A$1:$I$89,5,0)</f>
        <v>93.238166666666686</v>
      </c>
      <c r="CA28" s="14">
        <f t="shared" si="39"/>
        <v>25.344578949571218</v>
      </c>
      <c r="CB28" s="22">
        <f t="shared" si="10"/>
        <v>206.53161528161434</v>
      </c>
      <c r="CC28" s="62">
        <f t="shared" si="11"/>
        <v>493.75383750383656</v>
      </c>
      <c r="CD28" s="62">
        <f ca="1">AVERAGE(OFFSET($CC$3,0,0,'Données projet'!$E$12+1,1))-AVERAGE(OFFSET($H$3,0,0,'Données projet'!$E$12+1,1))</f>
        <v>438.68915237247444</v>
      </c>
      <c r="CE28" s="62">
        <f t="shared" si="40"/>
        <v>376.94419168335452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10.680115351239648</v>
      </c>
      <c r="CL28" s="23">
        <f>EXP(-LN(2)/25)*CL27+(1-EXP(-LN(2)/25))/(LN(2)/25)*Calculateur!CG28*Calculateur!CI28*VLOOKUP('Données projet'!$B$12,Paramètres!$A$1:$I$89,3,0)*0.475*44/12</f>
        <v>10.709283738852204</v>
      </c>
      <c r="CM28" s="23">
        <f>EXP(-LN(2)/2)*CM27+(1-EXP(-LN(2)/2))/(LN(2)/2)*CG28*CJ28*VLOOKUP('Données projet'!$B$12,Paramètres!$A$1:$I$89,3,0)*0.475*44/12</f>
        <v>6.7963823137523676</v>
      </c>
      <c r="CN28" s="24">
        <f t="shared" si="12"/>
        <v>28.185781403844217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4.0476666666666672</v>
      </c>
      <c r="CT28" s="13">
        <f>IF('Données projet'!$A$140&gt;35,CT27+CS28-DB27,IF(A28&lt;'Données projet'!$A$140,$CQ$205^A28,IF(A28='Données projet'!$A$140,'Données projet'!$B$140,CT27+CS28-DB27)))</f>
        <v>54.568036771697152</v>
      </c>
      <c r="CU28" s="18">
        <f>CT28*VLOOKUP('Données projet'!$B$13,Paramètres!$A$1:$I$89,3,0)*VLOOKUP('Données projet'!$B$13,Paramètres!$A$1:$I$89,5,0)</f>
        <v>25.537841209154266</v>
      </c>
      <c r="CV28" s="14">
        <f t="shared" si="41"/>
        <v>8.0712352975514357</v>
      </c>
      <c r="CW28" s="22">
        <f t="shared" si="13"/>
        <v>58.535808249179098</v>
      </c>
      <c r="CX28" s="62">
        <f t="shared" si="14"/>
        <v>345.7580304714013</v>
      </c>
      <c r="CY28" s="62">
        <f ca="1">AVERAGE(OFFSET($CX$3,0,0,'Données projet'!$E$13+1,1))-AVERAGE(OFFSET($H$3,0,0,'Données projet'!$E$13+1,1))</f>
        <v>302.06513069580848</v>
      </c>
      <c r="CZ28" s="62">
        <f t="shared" si="42"/>
        <v>164.1450425611464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3.887142857142857</v>
      </c>
      <c r="N29" s="14">
        <f>IF('Données projet'!$A$36&gt;35,N28+M29-V28,IF(A29&lt;'Données projet'!$A$36,$K$205^A29,IF(A29='Données projet'!$A$36,'Données projet'!$B$36,N28+M29-V28)))</f>
        <v>101.06571428571431</v>
      </c>
      <c r="O29" s="14">
        <f>N29*VLOOKUP('Données projet'!$B$9,Paramètres!$A$1:$I$89,3,0)*VLOOKUP('Données projet'!$B$9,Paramètres!$A$1:$I$89,5,0)</f>
        <v>91.444258285714298</v>
      </c>
      <c r="P29" s="14">
        <f t="shared" si="33"/>
        <v>24.913221926074399</v>
      </c>
      <c r="Q29" s="22">
        <f t="shared" si="2"/>
        <v>202.65594470219867</v>
      </c>
      <c r="R29" s="62">
        <f t="shared" si="0"/>
        <v>491.10038914664312</v>
      </c>
      <c r="S29" s="62">
        <f ca="1">AVERAGE(OFFSET($R$3,0,0,'Données projet'!$E$9+1,1))-AVERAGE(OFFSET($H$3,0,0,'Données projet'!$E$9+1,1))</f>
        <v>581.88778927327667</v>
      </c>
      <c r="T29" s="62">
        <f t="shared" si="34"/>
        <v>269.67340993773422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9.8000000000000007</v>
      </c>
      <c r="AI29" s="14">
        <f>IF('Données projet'!$A$62&gt;35,AI28+AH29-AQ28,IF(A29&lt;'Données projet'!$A$62,$AF$205^A29,IF(A29='Données projet'!$A$62,'Données projet'!$B$62,AI28+AH29-AQ28)))</f>
        <v>109.80000000000001</v>
      </c>
      <c r="AJ29" s="14">
        <f>AI29*VLOOKUP('Données projet'!$B$10,Paramètres!$A$1:$I$89,3,0)*VLOOKUP('Données projet'!$B$10,Paramètres!$A$1:$I$89,5,0)</f>
        <v>95.921280000000024</v>
      </c>
      <c r="AK29" s="14">
        <f t="shared" si="35"/>
        <v>25.98795633328076</v>
      </c>
      <c r="AL29" s="22">
        <f t="shared" si="4"/>
        <v>212.32525328046404</v>
      </c>
      <c r="AM29" s="62">
        <f t="shared" si="5"/>
        <v>500.7696977249085</v>
      </c>
      <c r="AN29" s="62">
        <f ca="1">AVERAGE(OFFSET($AM$3,0,0,'Données projet'!$E$10+1,1))-AVERAGE(OFFSET($H$3,0,0,'Données projet'!$E$10+1,1))</f>
        <v>354.24684313982857</v>
      </c>
      <c r="AO29" s="62">
        <f t="shared" si="36"/>
        <v>322.65043486962185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15</v>
      </c>
      <c r="BD29" s="13">
        <f>IF('Données projet'!$A$88&gt;35,BD28+BC29-BL28,IF(A29&lt;'Données projet'!$A$88,$BA$205^A29,IF(A29='Données projet'!$A$88,'Données projet'!$B$88,BD28+BC29-BL28)))</f>
        <v>86</v>
      </c>
      <c r="BE29" s="14">
        <f>BD29*VLOOKUP('Données projet'!$B$11,Paramètres!$A$1:$I$89,3,0)*VLOOKUP('Données projet'!$B$11,Paramètres!$A$1:$I$89,5,0)</f>
        <v>81.837600000000009</v>
      </c>
      <c r="BF29" s="14">
        <f t="shared" si="37"/>
        <v>22.585891302408051</v>
      </c>
      <c r="BG29" s="22">
        <f t="shared" si="7"/>
        <v>181.87091401836071</v>
      </c>
      <c r="BH29" s="62">
        <f t="shared" si="8"/>
        <v>470.31535846280519</v>
      </c>
      <c r="BI29" s="62">
        <f ca="1">AVERAGE(OFFSET($BH$3,0,0,'Données projet'!$E$11+1,1))-AVERAGE(OFFSET($H$3,0,0,'Données projet'!$E$11+1,1))</f>
        <v>460.77543902152325</v>
      </c>
      <c r="BJ29" s="62">
        <f t="shared" si="38"/>
        <v>341.4342976721104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20.836666666666673</v>
      </c>
      <c r="BY29" s="13">
        <f>IF('Données projet'!$A$114&gt;35,BY28+BX29-CG28,IF(A29&lt;'Données projet'!$A$114,$BV$205^A29,IF(A29='Données projet'!$A$114,'Données projet'!$B$114,BY28+BX29-CG28)))</f>
        <v>176.75333333333336</v>
      </c>
      <c r="BZ29" s="14">
        <f>BY29*VLOOKUP('Données projet'!$B$12,Paramètres!$A$1:$I$89,3,0)*VLOOKUP('Données projet'!$B$12,Paramètres!$A$1:$I$89,5,0)</f>
        <v>105.69849333333336</v>
      </c>
      <c r="CA29" s="14">
        <f t="shared" si="39"/>
        <v>28.315175233519099</v>
      </c>
      <c r="CB29" s="22">
        <f t="shared" si="10"/>
        <v>233.40713942060134</v>
      </c>
      <c r="CC29" s="62">
        <f t="shared" si="11"/>
        <v>521.85158386504577</v>
      </c>
      <c r="CD29" s="62">
        <f ca="1">AVERAGE(OFFSET($CC$3,0,0,'Données projet'!$E$12+1,1))-AVERAGE(OFFSET($H$3,0,0,'Données projet'!$E$12+1,1))</f>
        <v>438.68915237247444</v>
      </c>
      <c r="CE29" s="62">
        <f t="shared" si="40"/>
        <v>376.94419168335452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10.470684803428975</v>
      </c>
      <c r="CL29" s="23">
        <f>EXP(-LN(2)/25)*CL28+(1-EXP(-LN(2)/25))/(LN(2)/25)*Calculateur!CG29*Calculateur!CI29*VLOOKUP('Données projet'!$B$12,Paramètres!$A$1:$I$89,3,0)*0.475*44/12</f>
        <v>10.416437811836534</v>
      </c>
      <c r="CM29" s="23">
        <f>EXP(-LN(2)/2)*CM28+(1-EXP(-LN(2)/2))/(LN(2)/2)*CG29*CJ29*VLOOKUP('Données projet'!$B$12,Paramètres!$A$1:$I$89,3,0)*0.475*44/12</f>
        <v>4.8057680215906169</v>
      </c>
      <c r="CN29" s="24">
        <f t="shared" si="12"/>
        <v>25.692890636856127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4.0476666666666672</v>
      </c>
      <c r="CT29" s="13">
        <f>IF('Données projet'!$A$140&gt;35,CT28+CS29-DB28,IF(A29&lt;'Données projet'!$A$140,$CQ$205^A29,IF(A29='Données projet'!$A$140,'Données projet'!$B$140,CT28+CS29-DB28)))</f>
        <v>64.034771236156331</v>
      </c>
      <c r="CU29" s="18">
        <f>CT29*VLOOKUP('Données projet'!$B$13,Paramètres!$A$1:$I$89,3,0)*VLOOKUP('Données projet'!$B$13,Paramètres!$A$1:$I$89,5,0)</f>
        <v>29.96827293852116</v>
      </c>
      <c r="CV29" s="14">
        <f t="shared" si="41"/>
        <v>9.2967329639189398</v>
      </c>
      <c r="CW29" s="22">
        <f t="shared" si="13"/>
        <v>68.386551946749833</v>
      </c>
      <c r="CX29" s="62">
        <f t="shared" si="14"/>
        <v>356.83099639119428</v>
      </c>
      <c r="CY29" s="62">
        <f ca="1">AVERAGE(OFFSET($CX$3,0,0,'Données projet'!$E$13+1,1))-AVERAGE(OFFSET($H$3,0,0,'Données projet'!$E$13+1,1))</f>
        <v>302.06513069580848</v>
      </c>
      <c r="CZ29" s="62">
        <f t="shared" si="42"/>
        <v>164.1450425611464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3.887142857142857</v>
      </c>
      <c r="N30" s="14">
        <f>IF('Données projet'!$A$36&gt;35,N29+M30-V29,IF(A30&lt;'Données projet'!$A$36,$K$205^A30,IF(A30='Données projet'!$A$36,'Données projet'!$B$36,N29+M30-V29)))</f>
        <v>104.95285714285717</v>
      </c>
      <c r="O30" s="14">
        <f>N30*VLOOKUP('Données projet'!$B$9,Paramètres!$A$1:$I$89,3,0)*VLOOKUP('Données projet'!$B$9,Paramètres!$A$1:$I$89,5,0)</f>
        <v>94.961345142857169</v>
      </c>
      <c r="P30" s="14">
        <f t="shared" si="33"/>
        <v>25.758019548315733</v>
      </c>
      <c r="Q30" s="22">
        <f t="shared" si="2"/>
        <v>210.25289350379276</v>
      </c>
      <c r="R30" s="62">
        <f t="shared" si="0"/>
        <v>499.91956017045948</v>
      </c>
      <c r="S30" s="62">
        <f ca="1">AVERAGE(OFFSET($R$3,0,0,'Données projet'!$E$9+1,1))-AVERAGE(OFFSET($H$3,0,0,'Données projet'!$E$9+1,1))</f>
        <v>581.88778927327667</v>
      </c>
      <c r="T30" s="62">
        <f t="shared" si="34"/>
        <v>269.67340993773422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9.8000000000000007</v>
      </c>
      <c r="AI30" s="14">
        <f>IF('Données projet'!$A$62&gt;35,AI29+AH30-AQ29,IF(A30&lt;'Données projet'!$A$62,$AF$205^A30,IF(A30='Données projet'!$A$62,'Données projet'!$B$62,AI29+AH30-AQ29)))</f>
        <v>119.60000000000001</v>
      </c>
      <c r="AJ30" s="14">
        <f>AI30*VLOOKUP('Données projet'!$B$10,Paramètres!$A$1:$I$89,3,0)*VLOOKUP('Données projet'!$B$10,Paramètres!$A$1:$I$89,5,0)</f>
        <v>104.48256000000002</v>
      </c>
      <c r="AK30" s="14">
        <f t="shared" si="35"/>
        <v>28.02716504477474</v>
      </c>
      <c r="AL30" s="22">
        <f t="shared" si="4"/>
        <v>230.78777111964939</v>
      </c>
      <c r="AM30" s="62">
        <f t="shared" si="5"/>
        <v>520.45443778631602</v>
      </c>
      <c r="AN30" s="62">
        <f ca="1">AVERAGE(OFFSET($AM$3,0,0,'Données projet'!$E$10+1,1))-AVERAGE(OFFSET($H$3,0,0,'Données projet'!$E$10+1,1))</f>
        <v>354.24684313982857</v>
      </c>
      <c r="AO30" s="62">
        <f t="shared" si="36"/>
        <v>322.65043486962185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15</v>
      </c>
      <c r="BD30" s="13">
        <f>IF('Données projet'!$A$88&gt;35,BD29+BC30-BL29,IF(A30&lt;'Données projet'!$A$88,$BA$205^A30,IF(A30='Données projet'!$A$88,'Données projet'!$B$88,BD29+BC30-BL29)))</f>
        <v>101</v>
      </c>
      <c r="BE30" s="14">
        <f>BD30*VLOOKUP('Données projet'!$B$11,Paramètres!$A$1:$I$89,3,0)*VLOOKUP('Données projet'!$B$11,Paramètres!$A$1:$I$89,5,0)</f>
        <v>96.111599999999996</v>
      </c>
      <c r="BF30" s="14">
        <f t="shared" si="37"/>
        <v>26.03351250093349</v>
      </c>
      <c r="BG30" s="22">
        <f t="shared" si="7"/>
        <v>212.73607093912582</v>
      </c>
      <c r="BH30" s="62">
        <f t="shared" si="8"/>
        <v>502.40273760579248</v>
      </c>
      <c r="BI30" s="62">
        <f ca="1">AVERAGE(OFFSET($BH$3,0,0,'Données projet'!$E$11+1,1))-AVERAGE(OFFSET($H$3,0,0,'Données projet'!$E$11+1,1))</f>
        <v>460.77543902152325</v>
      </c>
      <c r="BJ30" s="62">
        <f t="shared" si="38"/>
        <v>341.4342976721104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20.836666666666673</v>
      </c>
      <c r="BY30" s="13">
        <f>IF('Données projet'!$A$114&gt;35,BY29+BX30-CG29,IF(A30&lt;'Données projet'!$A$114,$BV$205^A30,IF(A30='Données projet'!$A$114,'Données projet'!$B$114,BY29+BX30-CG29)))</f>
        <v>197.59000000000003</v>
      </c>
      <c r="BZ30" s="14">
        <f>BY30*VLOOKUP('Données projet'!$B$12,Paramètres!$A$1:$I$89,3,0)*VLOOKUP('Données projet'!$B$12,Paramètres!$A$1:$I$89,5,0)</f>
        <v>118.15882000000003</v>
      </c>
      <c r="CA30" s="14">
        <f t="shared" si="39"/>
        <v>31.245188622686264</v>
      </c>
      <c r="CB30" s="22">
        <f t="shared" si="10"/>
        <v>260.21198168451195</v>
      </c>
      <c r="CC30" s="62">
        <f t="shared" si="11"/>
        <v>549.87864835117864</v>
      </c>
      <c r="CD30" s="62">
        <f ca="1">AVERAGE(OFFSET($CC$3,0,0,'Données projet'!$E$12+1,1))-AVERAGE(OFFSET($H$3,0,0,'Données projet'!$E$12+1,1))</f>
        <v>438.68915237247444</v>
      </c>
      <c r="CE30" s="62">
        <f t="shared" si="40"/>
        <v>376.94419168335452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10.265361060920849</v>
      </c>
      <c r="CL30" s="23">
        <f>EXP(-LN(2)/25)*CL29+(1-EXP(-LN(2)/25))/(LN(2)/25)*Calculateur!CG30*Calculateur!CI30*VLOOKUP('Données projet'!$B$12,Paramètres!$A$1:$I$89,3,0)*0.475*44/12</f>
        <v>10.131599772095207</v>
      </c>
      <c r="CM30" s="23">
        <f>EXP(-LN(2)/2)*CM29+(1-EXP(-LN(2)/2))/(LN(2)/2)*CG30*CJ30*VLOOKUP('Données projet'!$B$12,Paramètres!$A$1:$I$89,3,0)*0.475*44/12</f>
        <v>3.3981911568761838</v>
      </c>
      <c r="CN30" s="24">
        <f t="shared" si="12"/>
        <v>23.79515198989224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4.0476666666666672</v>
      </c>
      <c r="CT30" s="13">
        <f>IF('Données projet'!$A$140&gt;35,CT29+CS30-DB29,IF(A30&lt;'Données projet'!$A$140,$CQ$205^A30,IF(A30='Données projet'!$A$140,'Données projet'!$B$140,CT29+CS30-DB29)))</f>
        <v>75.143841887191726</v>
      </c>
      <c r="CU30" s="18">
        <f>CT30*VLOOKUP('Données projet'!$B$13,Paramètres!$A$1:$I$89,3,0)*VLOOKUP('Données projet'!$B$13,Paramètres!$A$1:$I$89,5,0)</f>
        <v>35.167318003205729</v>
      </c>
      <c r="CV30" s="14">
        <f t="shared" si="41"/>
        <v>10.708304319741121</v>
      </c>
      <c r="CW30" s="22">
        <f t="shared" si="13"/>
        <v>79.900042212465777</v>
      </c>
      <c r="CX30" s="62">
        <f t="shared" si="14"/>
        <v>369.56670887913248</v>
      </c>
      <c r="CY30" s="62">
        <f ca="1">AVERAGE(OFFSET($CX$3,0,0,'Données projet'!$E$13+1,1))-AVERAGE(OFFSET($H$3,0,0,'Données projet'!$E$13+1,1))</f>
        <v>302.06513069580848</v>
      </c>
      <c r="CZ30" s="62">
        <f t="shared" si="42"/>
        <v>164.1450425611464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3.887142857142857</v>
      </c>
      <c r="N31" s="14">
        <f>IF('Données projet'!$A$36&gt;35,N30+M31-V30,IF(A31&lt;'Données projet'!$A$36,$K$205^A31,IF(A31='Données projet'!$A$36,'Données projet'!$B$36,N30+M31-V30)))</f>
        <v>108.84000000000003</v>
      </c>
      <c r="O31" s="14">
        <f>N31*VLOOKUP('Données projet'!$B$9,Paramètres!$A$1:$I$89,3,0)*VLOOKUP('Données projet'!$B$9,Paramètres!$A$1:$I$89,5,0)</f>
        <v>98.478432000000026</v>
      </c>
      <c r="P31" s="14">
        <f t="shared" si="33"/>
        <v>26.599182115615513</v>
      </c>
      <c r="Q31" s="22">
        <f t="shared" si="2"/>
        <v>217.84351125136371</v>
      </c>
      <c r="R31" s="62">
        <f t="shared" si="0"/>
        <v>508.73240014025259</v>
      </c>
      <c r="S31" s="62">
        <f ca="1">AVERAGE(OFFSET($R$3,0,0,'Données projet'!$E$9+1,1))-AVERAGE(OFFSET($H$3,0,0,'Données projet'!$E$9+1,1))</f>
        <v>581.88778927327667</v>
      </c>
      <c r="T31" s="62">
        <f t="shared" si="34"/>
        <v>269.67340993773422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9.8000000000000007</v>
      </c>
      <c r="AI31" s="14">
        <f>IF('Données projet'!$A$62&gt;35,AI30+AH31-AQ30,IF(A31&lt;'Données projet'!$A$62,$AF$205^A31,IF(A31='Données projet'!$A$62,'Données projet'!$B$62,AI30+AH31-AQ30)))</f>
        <v>129.4</v>
      </c>
      <c r="AJ31" s="14">
        <f>AI31*VLOOKUP('Données projet'!$B$10,Paramètres!$A$1:$I$89,3,0)*VLOOKUP('Données projet'!$B$10,Paramètres!$A$1:$I$89,5,0)</f>
        <v>113.04384000000002</v>
      </c>
      <c r="AK31" s="14">
        <f t="shared" si="35"/>
        <v>30.046993788338579</v>
      </c>
      <c r="AL31" s="22">
        <f t="shared" si="4"/>
        <v>249.2165355146897</v>
      </c>
      <c r="AM31" s="62">
        <f t="shared" si="5"/>
        <v>540.10542440357858</v>
      </c>
      <c r="AN31" s="62">
        <f ca="1">AVERAGE(OFFSET($AM$3,0,0,'Données projet'!$E$10+1,1))-AVERAGE(OFFSET($H$3,0,0,'Données projet'!$E$10+1,1))</f>
        <v>354.24684313982857</v>
      </c>
      <c r="AO31" s="62">
        <f t="shared" si="36"/>
        <v>322.65043486962185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15</v>
      </c>
      <c r="BD31" s="13">
        <f>IF('Données projet'!$A$88&gt;35,BD30+BC31-BL30,IF(A31&lt;'Données projet'!$A$88,$BA$205^A31,IF(A31='Données projet'!$A$88,'Données projet'!$B$88,BD30+BC31-BL30)))</f>
        <v>116</v>
      </c>
      <c r="BE31" s="14">
        <f>BD31*VLOOKUP('Données projet'!$B$11,Paramètres!$A$1:$I$89,3,0)*VLOOKUP('Données projet'!$B$11,Paramètres!$A$1:$I$89,5,0)</f>
        <v>110.38560000000001</v>
      </c>
      <c r="BF31" s="14">
        <f t="shared" si="37"/>
        <v>29.421816429201407</v>
      </c>
      <c r="BG31" s="22">
        <f t="shared" si="7"/>
        <v>243.49791694752579</v>
      </c>
      <c r="BH31" s="62">
        <f t="shared" si="8"/>
        <v>534.38680583641462</v>
      </c>
      <c r="BI31" s="62">
        <f ca="1">AVERAGE(OFFSET($BH$3,0,0,'Données projet'!$E$11+1,1))-AVERAGE(OFFSET($H$3,0,0,'Données projet'!$E$11+1,1))</f>
        <v>460.77543902152325</v>
      </c>
      <c r="BJ31" s="62">
        <f t="shared" si="38"/>
        <v>341.4342976721104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20.836666666666673</v>
      </c>
      <c r="BY31" s="13">
        <f>IF('Données projet'!$A$114&gt;35,BY30+BX31-CG30,IF(A31&lt;'Données projet'!$A$114,$BV$205^A31,IF(A31='Données projet'!$A$114,'Données projet'!$B$114,BY30+BX31-CG30)))</f>
        <v>218.4266666666667</v>
      </c>
      <c r="BZ31" s="14">
        <f>BY31*VLOOKUP('Données projet'!$B$12,Paramètres!$A$1:$I$89,3,0)*VLOOKUP('Données projet'!$B$12,Paramètres!$A$1:$I$89,5,0)</f>
        <v>130.61914666666669</v>
      </c>
      <c r="CA31" s="14">
        <f t="shared" si="39"/>
        <v>34.139386362296221</v>
      </c>
      <c r="CB31" s="22">
        <f t="shared" si="10"/>
        <v>286.9544450254437</v>
      </c>
      <c r="CC31" s="62">
        <f t="shared" si="11"/>
        <v>577.84333391433256</v>
      </c>
      <c r="CD31" s="62">
        <f ca="1">AVERAGE(OFFSET($CC$3,0,0,'Données projet'!$E$12+1,1))-AVERAGE(OFFSET($H$3,0,0,'Données projet'!$E$12+1,1))</f>
        <v>438.68915237247444</v>
      </c>
      <c r="CE31" s="62">
        <f t="shared" si="40"/>
        <v>376.94419168335452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10.064063591768191</v>
      </c>
      <c r="CL31" s="23">
        <f>EXP(-LN(2)/25)*CL30+(1-EXP(-LN(2)/25))/(LN(2)/25)*Calculateur!CG31*Calculateur!CI31*VLOOKUP('Données projet'!$B$12,Paramètres!$A$1:$I$89,3,0)*0.475*44/12</f>
        <v>9.8545506435295884</v>
      </c>
      <c r="CM31" s="23">
        <f>EXP(-LN(2)/2)*CM30+(1-EXP(-LN(2)/2))/(LN(2)/2)*CG31*CJ31*VLOOKUP('Données projet'!$B$12,Paramètres!$A$1:$I$89,3,0)*0.475*44/12</f>
        <v>2.4028840107953084</v>
      </c>
      <c r="CN31" s="24">
        <f t="shared" si="12"/>
        <v>22.321498246093089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4.0476666666666672</v>
      </c>
      <c r="CT31" s="13">
        <f>IF('Données projet'!$A$140&gt;35,CT30+CS31-DB30,IF(A31&lt;'Données projet'!$A$140,$CQ$205^A31,IF(A31='Données projet'!$A$140,'Données projet'!$B$140,CT30+CS31-DB30)))</f>
        <v>88.180169376149777</v>
      </c>
      <c r="CU31" s="18">
        <f>CT31*VLOOKUP('Données projet'!$B$13,Paramètres!$A$1:$I$89,3,0)*VLOOKUP('Données projet'!$B$13,Paramètres!$A$1:$I$89,5,0)</f>
        <v>41.268319268038091</v>
      </c>
      <c r="CV31" s="14">
        <f t="shared" si="41"/>
        <v>12.334201901809736</v>
      </c>
      <c r="CW31" s="22">
        <f t="shared" si="13"/>
        <v>93.357724370818289</v>
      </c>
      <c r="CX31" s="62">
        <f t="shared" si="14"/>
        <v>384.24661325970715</v>
      </c>
      <c r="CY31" s="62">
        <f ca="1">AVERAGE(OFFSET($CX$3,0,0,'Données projet'!$E$13+1,1))-AVERAGE(OFFSET($H$3,0,0,'Données projet'!$E$13+1,1))</f>
        <v>302.06513069580848</v>
      </c>
      <c r="CZ31" s="62">
        <f t="shared" si="42"/>
        <v>164.1450425611464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3.887142857142857</v>
      </c>
      <c r="N32" s="14">
        <f>IF('Données projet'!$A$36&gt;35,N31+M32-V31,IF(A32&lt;'Données projet'!$A$36,$K$205^A32,IF(A32='Données projet'!$A$36,'Données projet'!$B$36,N31+M32-V31)))</f>
        <v>112.72714285714289</v>
      </c>
      <c r="O32" s="14">
        <f>N32*VLOOKUP('Données projet'!$B$9,Paramètres!$A$1:$I$89,3,0)*VLOOKUP('Données projet'!$B$9,Paramètres!$A$1:$I$89,5,0)</f>
        <v>101.99551885714288</v>
      </c>
      <c r="P32" s="14">
        <f t="shared" si="33"/>
        <v>27.436854324518826</v>
      </c>
      <c r="Q32" s="22">
        <f t="shared" si="2"/>
        <v>225.4280499580608</v>
      </c>
      <c r="R32" s="62">
        <f t="shared" si="0"/>
        <v>517.539161069172</v>
      </c>
      <c r="S32" s="62">
        <f ca="1">AVERAGE(OFFSET($R$3,0,0,'Données projet'!$E$9+1,1))-AVERAGE(OFFSET($H$3,0,0,'Données projet'!$E$9+1,1))</f>
        <v>581.88778927327667</v>
      </c>
      <c r="T32" s="62">
        <f t="shared" si="34"/>
        <v>269.67340993773422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9.8000000000000007</v>
      </c>
      <c r="AI32" s="14">
        <f>IF('Données projet'!$A$62&gt;35,AI31+AH32-AQ31,IF(A32&lt;'Données projet'!$A$62,$AF$205^A32,IF(A32='Données projet'!$A$62,'Données projet'!$B$62,AI31+AH32-AQ31)))</f>
        <v>139.20000000000002</v>
      </c>
      <c r="AJ32" s="14">
        <f>AI32*VLOOKUP('Données projet'!$B$10,Paramètres!$A$1:$I$89,3,0)*VLOOKUP('Données projet'!$B$10,Paramètres!$A$1:$I$89,5,0)</f>
        <v>121.60512000000003</v>
      </c>
      <c r="AK32" s="14">
        <f t="shared" si="35"/>
        <v>32.049077176455789</v>
      </c>
      <c r="AL32" s="22">
        <f t="shared" si="4"/>
        <v>267.61439341566057</v>
      </c>
      <c r="AM32" s="62">
        <f t="shared" si="5"/>
        <v>559.72550452677172</v>
      </c>
      <c r="AN32" s="62">
        <f ca="1">AVERAGE(OFFSET($AM$3,0,0,'Données projet'!$E$10+1,1))-AVERAGE(OFFSET($H$3,0,0,'Données projet'!$E$10+1,1))</f>
        <v>354.24684313982857</v>
      </c>
      <c r="AO32" s="62">
        <f t="shared" si="36"/>
        <v>322.65043486962185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15</v>
      </c>
      <c r="BD32" s="13">
        <f>IF('Données projet'!$A$88&gt;35,BD31+BC32-BL31,IF(A32&lt;'Données projet'!$A$88,$BA$205^A32,IF(A32='Données projet'!$A$88,'Données projet'!$B$88,BD31+BC32-BL31)))</f>
        <v>131</v>
      </c>
      <c r="BE32" s="14">
        <f>BD32*VLOOKUP('Données projet'!$B$11,Paramètres!$A$1:$I$89,3,0)*VLOOKUP('Données projet'!$B$11,Paramètres!$A$1:$I$89,5,0)</f>
        <v>124.6596</v>
      </c>
      <c r="BF32" s="14">
        <f t="shared" si="37"/>
        <v>32.759353242305195</v>
      </c>
      <c r="BG32" s="22">
        <f t="shared" si="7"/>
        <v>274.17134356368149</v>
      </c>
      <c r="BH32" s="62">
        <f t="shared" si="8"/>
        <v>566.28245467479269</v>
      </c>
      <c r="BI32" s="62">
        <f ca="1">AVERAGE(OFFSET($BH$3,0,0,'Données projet'!$E$11+1,1))-AVERAGE(OFFSET($H$3,0,0,'Données projet'!$E$11+1,1))</f>
        <v>460.77543902152325</v>
      </c>
      <c r="BJ32" s="62">
        <f t="shared" si="38"/>
        <v>341.4342976721104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20.836666666666673</v>
      </c>
      <c r="BY32" s="13">
        <f>IF('Données projet'!$A$114&gt;35,BY31+BX32-CG31,IF(A32&lt;'Données projet'!$A$114,$BV$205^A32,IF(A32='Données projet'!$A$114,'Données projet'!$B$114,BY31+BX32-CG31)))</f>
        <v>239.26333333333338</v>
      </c>
      <c r="BZ32" s="14">
        <f>BY32*VLOOKUP('Données projet'!$B$12,Paramètres!$A$1:$I$89,3,0)*VLOOKUP('Données projet'!$B$12,Paramètres!$A$1:$I$89,5,0)</f>
        <v>143.07947333333337</v>
      </c>
      <c r="CA32" s="14">
        <f t="shared" si="39"/>
        <v>37.001573778174709</v>
      </c>
      <c r="CB32" s="22">
        <f t="shared" si="10"/>
        <v>313.64115705254318</v>
      </c>
      <c r="CC32" s="62">
        <f t="shared" si="11"/>
        <v>605.75226816365432</v>
      </c>
      <c r="CD32" s="62">
        <f ca="1">AVERAGE(OFFSET($CC$3,0,0,'Données projet'!$E$12+1,1))-AVERAGE(OFFSET($H$3,0,0,'Données projet'!$E$12+1,1))</f>
        <v>438.68915237247444</v>
      </c>
      <c r="CE32" s="62">
        <f t="shared" si="40"/>
        <v>376.94419168335452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9.8667134432062831</v>
      </c>
      <c r="CL32" s="23">
        <f>EXP(-LN(2)/25)*CL31+(1-EXP(-LN(2)/25))/(LN(2)/25)*Calculateur!CG32*Calculateur!CI32*VLOOKUP('Données projet'!$B$12,Paramètres!$A$1:$I$89,3,0)*0.475*44/12</f>
        <v>9.5850774379539772</v>
      </c>
      <c r="CM32" s="23">
        <f>EXP(-LN(2)/2)*CM31+(1-EXP(-LN(2)/2))/(LN(2)/2)*CG32*CJ32*VLOOKUP('Données projet'!$B$12,Paramètres!$A$1:$I$89,3,0)*0.475*44/12</f>
        <v>1.6990955784380919</v>
      </c>
      <c r="CN32" s="24">
        <f t="shared" si="12"/>
        <v>21.150886459598354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4.0476666666666672</v>
      </c>
      <c r="CT32" s="13">
        <f>IF('Données projet'!$A$140&gt;35,CT31+CS32-DB31,IF(A32&lt;'Données projet'!$A$140,$CQ$205^A32,IF(A32='Données projet'!$A$140,'Données projet'!$B$140,CT31+CS32-DB31)))</f>
        <v>103.47810380629259</v>
      </c>
      <c r="CU32" s="18">
        <f>CT32*VLOOKUP('Données projet'!$B$13,Paramètres!$A$1:$I$89,3,0)*VLOOKUP('Données projet'!$B$13,Paramètres!$A$1:$I$89,5,0)</f>
        <v>48.427752581344933</v>
      </c>
      <c r="CV32" s="14">
        <f t="shared" si="41"/>
        <v>14.206967976633383</v>
      </c>
      <c r="CW32" s="22">
        <f t="shared" si="13"/>
        <v>109.08880497181222</v>
      </c>
      <c r="CX32" s="62">
        <f t="shared" si="14"/>
        <v>401.19991608292338</v>
      </c>
      <c r="CY32" s="62">
        <f ca="1">AVERAGE(OFFSET($CX$3,0,0,'Données projet'!$E$13+1,1))-AVERAGE(OFFSET($H$3,0,0,'Données projet'!$E$13+1,1))</f>
        <v>302.06513069580848</v>
      </c>
      <c r="CZ32" s="62">
        <f t="shared" si="42"/>
        <v>164.1450425611464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3.887142857142857</v>
      </c>
      <c r="N33" s="14">
        <f>IF('Données projet'!$A$36&gt;35,N32+M33-V32,IF(A33&lt;'Données projet'!$A$36,$K$205^A33,IF(A33='Données projet'!$A$36,'Données projet'!$B$36,N32+M33-V32)))</f>
        <v>116.61428571428576</v>
      </c>
      <c r="O33" s="14">
        <f>N33*VLOOKUP('Données projet'!$B$9,Paramètres!$A$1:$I$89,3,0)*VLOOKUP('Données projet'!$B$9,Paramètres!$A$1:$I$89,5,0)</f>
        <v>105.51260571428575</v>
      </c>
      <c r="P33" s="14">
        <f t="shared" si="33"/>
        <v>28.271170326518615</v>
      </c>
      <c r="Q33" s="22">
        <f t="shared" si="2"/>
        <v>233.00674327106756</v>
      </c>
      <c r="R33" s="62">
        <f t="shared" si="0"/>
        <v>526.34007660440091</v>
      </c>
      <c r="S33" s="62">
        <f ca="1">AVERAGE(OFFSET($R$3,0,0,'Données projet'!$E$9+1,1))-AVERAGE(OFFSET($H$3,0,0,'Données projet'!$E$9+1,1))</f>
        <v>581.88778927327667</v>
      </c>
      <c r="T33" s="62">
        <f t="shared" si="34"/>
        <v>269.67340993773422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149</v>
      </c>
      <c r="AG33" s="13">
        <f>VLOOKUP(A33,'Données projet'!$A$61:$I$81,9,0)</f>
        <v>9.8000000000000007</v>
      </c>
      <c r="AH33" s="13">
        <f t="array" ref="AH33">INDEX(AG:AG,MIN(IF(ISNUMBER(AG33:AG229),ROW(AG33:AG229),"")))</f>
        <v>9.8000000000000007</v>
      </c>
      <c r="AI33" s="14">
        <f>IF('Données projet'!$A$62&gt;35,AI32+AH33-AQ32,IF(A33&lt;'Données projet'!$A$62,$AF$205^A33,IF(A33='Données projet'!$A$62,'Données projet'!$B$62,AI32+AH33-AQ32)))</f>
        <v>149.00000000000003</v>
      </c>
      <c r="AJ33" s="14">
        <f>AI33*VLOOKUP('Données projet'!$B$10,Paramètres!$A$1:$I$89,3,0)*VLOOKUP('Données projet'!$B$10,Paramètres!$A$1:$I$89,5,0)</f>
        <v>130.16640000000004</v>
      </c>
      <c r="AK33" s="14">
        <f t="shared" si="35"/>
        <v>34.034806623706302</v>
      </c>
      <c r="AL33" s="22">
        <f t="shared" si="4"/>
        <v>285.98376820295522</v>
      </c>
      <c r="AM33" s="62">
        <f t="shared" si="5"/>
        <v>579.31710153628853</v>
      </c>
      <c r="AN33" s="62">
        <f ca="1">AVERAGE(OFFSET($AM$3,0,0,'Données projet'!$E$10+1,1))-AVERAGE(OFFSET($H$3,0,0,'Données projet'!$E$10+1,1))</f>
        <v>354.24684313982857</v>
      </c>
      <c r="AO33" s="62">
        <f t="shared" si="36"/>
        <v>322.65043486962185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27</v>
      </c>
      <c r="AR33" s="17">
        <f>IF(ISNA(VLOOKUP(A33,'Données projet'!$A$61:$I$81,5,0)),0%,VLOOKUP(A33,'Données projet'!$A$61:$I$81,5,0)*VLOOKUP('Données projet'!$B$10,Paramètres!$A$1:$I$89,7,0))</f>
        <v>8.6000000000000007E-2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2.2424457805062863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2.2424457805062863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146</v>
      </c>
      <c r="BB33" s="13">
        <f>VLOOKUP(A33,'Données projet'!$A$87:$I$107,9,0)</f>
        <v>15</v>
      </c>
      <c r="BC33" s="13">
        <f t="array" ref="BC33">INDEX(BB:BB,MIN(IF(ISNUMBER(BB33:BB229),ROW(BB33:BB229),"")))</f>
        <v>15</v>
      </c>
      <c r="BD33" s="13">
        <f>IF('Données projet'!$A$88&gt;35,BD32+BC33-BL32,IF(A33&lt;'Données projet'!$A$88,$BA$205^A33,IF(A33='Données projet'!$A$88,'Données projet'!$B$88,BD32+BC33-BL32)))</f>
        <v>146</v>
      </c>
      <c r="BE33" s="14">
        <f>BD33*VLOOKUP('Données projet'!$B$11,Paramètres!$A$1:$I$89,3,0)*VLOOKUP('Données projet'!$B$11,Paramètres!$A$1:$I$89,5,0)</f>
        <v>138.93360000000001</v>
      </c>
      <c r="BF33" s="14">
        <f t="shared" si="37"/>
        <v>36.052599620350527</v>
      </c>
      <c r="BG33" s="22">
        <f t="shared" si="7"/>
        <v>304.76763100544377</v>
      </c>
      <c r="BH33" s="62">
        <f t="shared" si="8"/>
        <v>598.10096433877709</v>
      </c>
      <c r="BI33" s="62">
        <f ca="1">AVERAGE(OFFSET($BH$3,0,0,'Données projet'!$E$11+1,1))-AVERAGE(OFFSET($H$3,0,0,'Données projet'!$E$11+1,1))</f>
        <v>460.77543902152325</v>
      </c>
      <c r="BJ33" s="62">
        <f t="shared" si="38"/>
        <v>341.4342976721104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19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260.10000000000002</v>
      </c>
      <c r="BW33" s="13">
        <f>VLOOKUP(A33,'Données projet'!$A$113:$I$133,9,0)</f>
        <v>20.836666666666673</v>
      </c>
      <c r="BX33" s="13">
        <f t="array" ref="BX33">INDEX(BW:BW,MIN(IF(ISNUMBER(BW33:BW229),ROW(BW33:BW229),"")))</f>
        <v>20.836666666666673</v>
      </c>
      <c r="BY33" s="13">
        <f>IF('Données projet'!$A$114&gt;35,BY32+BX33-CG32,IF(A33&lt;'Données projet'!$A$114,$BV$205^A33,IF(A33='Données projet'!$A$114,'Données projet'!$B$114,BY32+BX33-CG32)))</f>
        <v>260.10000000000002</v>
      </c>
      <c r="BZ33" s="14">
        <f>BY33*VLOOKUP('Données projet'!$B$12,Paramètres!$A$1:$I$89,3,0)*VLOOKUP('Données projet'!$B$12,Paramètres!$A$1:$I$89,5,0)</f>
        <v>155.53980000000001</v>
      </c>
      <c r="CA33" s="14">
        <f t="shared" si="39"/>
        <v>39.834855511973885</v>
      </c>
      <c r="CB33" s="22">
        <f t="shared" si="10"/>
        <v>340.27752501668789</v>
      </c>
      <c r="CC33" s="62">
        <f t="shared" si="11"/>
        <v>633.6108583500212</v>
      </c>
      <c r="CD33" s="62">
        <f ca="1">AVERAGE(OFFSET($CC$3,0,0,'Données projet'!$E$12+1,1))-AVERAGE(OFFSET($H$3,0,0,'Données projet'!$E$12+1,1))</f>
        <v>438.68915237247444</v>
      </c>
      <c r="CE33" s="62">
        <f t="shared" si="40"/>
        <v>376.94419168335452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66.989999999999995</v>
      </c>
      <c r="CH33" s="17">
        <f>IF(ISNA(VLOOKUP(A33,'Données projet'!$A$113:$I$133,5,0)),0%,VLOOKUP(A33,'Données projet'!$A$113:$I$133,5,0)*VLOOKUP('Données projet'!$B$12,Paramètres!$A$1:$I$89,7,0))</f>
        <v>0.22500000000000001</v>
      </c>
      <c r="CI33" s="17">
        <f>IF(ISNA(VLOOKUP(A33,'Données projet'!$A$113:$I$133,6,0)),0%,VLOOKUP(A33,'Données projet'!$A$113:$I$133,6,0)*VLOOKUP('Données projet'!$B$12,Paramètres!$A$1:$I$89,7,0))</f>
        <v>0.12600000000000003</v>
      </c>
      <c r="CJ33" s="17">
        <f>IF(ISNA(VLOOKUP(A33,'Données projet'!$A$113:$I$133,7,0)),0%,VLOOKUP(A33,'Données projet'!$A$113:$I$133,7,0))</f>
        <v>0.22</v>
      </c>
      <c r="CK33" s="23">
        <f>EXP(-LN(2)/35)*CK32+(1-EXP(-LN(2)/35))/(LN(2)/35)*CG33*CH33*VLOOKUP('Données projet'!$B$12,Paramètres!$A$1:$I$89,3,0)*0.475*44/12</f>
        <v>21.630227899330318</v>
      </c>
      <c r="CL33" s="23">
        <f>EXP(-LN(2)/25)*CL32+(1-EXP(-LN(2)/25))/(LN(2)/25)*Calculateur!CG33*Calculateur!CI33*VLOOKUP('Données projet'!$B$12,Paramètres!$A$1:$I$89,3,0)*0.475*44/12</f>
        <v>15.992525640322288</v>
      </c>
      <c r="CM33" s="23">
        <f>EXP(-LN(2)/2)*CM32+(1-EXP(-LN(2)/2))/(LN(2)/2)*CG33*CJ33*VLOOKUP('Données projet'!$B$12,Paramètres!$A$1:$I$89,3,0)*0.475*44/12</f>
        <v>11.180036671780012</v>
      </c>
      <c r="CN33" s="24">
        <f t="shared" si="12"/>
        <v>48.802790211432622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121.43</v>
      </c>
      <c r="CR33" s="13">
        <f>VLOOKUP(A33,'Données projet'!$A$139:$I$159,9,0)</f>
        <v>4.0476666666666672</v>
      </c>
      <c r="CS33" s="13">
        <f t="array" ref="CS33">INDEX(CR:CR,MIN(IF(ISNUMBER(CR33:CR229),ROW(CR33:CR229),"")))</f>
        <v>4.0476666666666672</v>
      </c>
      <c r="CT33" s="13">
        <f>IF('Données projet'!$A$140&gt;35,CT32+CS33-DB32,IF(A33&lt;'Données projet'!$A$140,$CQ$205^A33,IF(A33='Données projet'!$A$140,'Données projet'!$B$140,CT32+CS33-DB32)))</f>
        <v>121.43</v>
      </c>
      <c r="CU33" s="18">
        <f>CT33*VLOOKUP('Données projet'!$B$13,Paramètres!$A$1:$I$89,3,0)*VLOOKUP('Données projet'!$B$13,Paramètres!$A$1:$I$89,5,0)</f>
        <v>56.829240000000006</v>
      </c>
      <c r="CV33" s="14">
        <f t="shared" si="41"/>
        <v>16.364085872428582</v>
      </c>
      <c r="CW33" s="22">
        <f t="shared" si="13"/>
        <v>127.47837589447978</v>
      </c>
      <c r="CX33" s="62">
        <f t="shared" si="14"/>
        <v>420.81170922781308</v>
      </c>
      <c r="CY33" s="62">
        <f ca="1">AVERAGE(OFFSET($CX$3,0,0,'Données projet'!$E$13+1,1))-AVERAGE(OFFSET($H$3,0,0,'Données projet'!$E$13+1,1))</f>
        <v>302.06513069580848</v>
      </c>
      <c r="CZ33" s="62">
        <f t="shared" si="42"/>
        <v>164.1450425611464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3.887142857142857</v>
      </c>
      <c r="N34" s="14">
        <f>IF('Données projet'!$A$36&gt;35,N33+M34-V33,IF(A34&lt;'Données projet'!$A$36,$K$205^A34,IF(A34='Données projet'!$A$36,'Données projet'!$B$36,N33+M34-V33)))</f>
        <v>120.50142857142862</v>
      </c>
      <c r="O34" s="14">
        <f>N34*VLOOKUP('Données projet'!$B$9,Paramètres!$A$1:$I$89,3,0)*VLOOKUP('Données projet'!$B$9,Paramètres!$A$1:$I$89,5,0)</f>
        <v>109.02969257142863</v>
      </c>
      <c r="P34" s="14">
        <f t="shared" si="33"/>
        <v>29.102254822181546</v>
      </c>
      <c r="Q34" s="22">
        <f t="shared" si="2"/>
        <v>240.57980837720436</v>
      </c>
      <c r="R34" s="62">
        <f t="shared" si="0"/>
        <v>533.91314171053773</v>
      </c>
      <c r="S34" s="62">
        <f ca="1">AVERAGE(OFFSET($R$3,0,0,'Données projet'!$E$9+1,1))-AVERAGE(OFFSET($H$3,0,0,'Données projet'!$E$9+1,1))</f>
        <v>581.88778927327667</v>
      </c>
      <c r="T34" s="62">
        <f t="shared" si="34"/>
        <v>269.67340993773422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9.1999999999999993</v>
      </c>
      <c r="AI34" s="14">
        <f>IF('Données projet'!$A$62&gt;35,AI33+AH34-AQ33,IF(A34&lt;'Données projet'!$A$62,$AF$205^A34,IF(A34='Données projet'!$A$62,'Données projet'!$B$62,AI33+AH34-AQ33)))</f>
        <v>131.20000000000002</v>
      </c>
      <c r="AJ34" s="14">
        <f>AI34*VLOOKUP('Données projet'!$B$10,Paramètres!$A$1:$I$89,3,0)*VLOOKUP('Données projet'!$B$10,Paramètres!$A$1:$I$89,5,0)</f>
        <v>114.61632000000004</v>
      </c>
      <c r="AK34" s="14">
        <f t="shared" si="35"/>
        <v>30.416009647934409</v>
      </c>
      <c r="AL34" s="22">
        <f t="shared" si="4"/>
        <v>252.59797413681915</v>
      </c>
      <c r="AM34" s="62">
        <f t="shared" si="5"/>
        <v>545.93130747015243</v>
      </c>
      <c r="AN34" s="62">
        <f ca="1">AVERAGE(OFFSET($AM$3,0,0,'Données projet'!$E$10+1,1))-AVERAGE(OFFSET($H$3,0,0,'Données projet'!$E$10+1,1))</f>
        <v>354.24684313982857</v>
      </c>
      <c r="AO34" s="62">
        <f t="shared" si="36"/>
        <v>322.65043486962185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2.1984727865074292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2.1984727865074292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11.8</v>
      </c>
      <c r="BD34" s="13">
        <f>IF('Données projet'!$A$88&gt;35,BD33+BC34-BL33,IF(A34&lt;'Données projet'!$A$88,$BA$205^A34,IF(A34='Données projet'!$A$88,'Données projet'!$B$88,BD33+BC34-BL33)))</f>
        <v>138.80000000000001</v>
      </c>
      <c r="BE34" s="14">
        <f>BD34*VLOOKUP('Données projet'!$B$11,Paramètres!$A$1:$I$89,3,0)*VLOOKUP('Données projet'!$B$11,Paramètres!$A$1:$I$89,5,0)</f>
        <v>132.08208000000002</v>
      </c>
      <c r="BF34" s="14">
        <f t="shared" si="37"/>
        <v>34.477021084019498</v>
      </c>
      <c r="BG34" s="22">
        <f t="shared" si="7"/>
        <v>290.09043438800069</v>
      </c>
      <c r="BH34" s="62">
        <f t="shared" si="8"/>
        <v>583.423767721334</v>
      </c>
      <c r="BI34" s="62">
        <f ca="1">AVERAGE(OFFSET($BH$3,0,0,'Données projet'!$E$11+1,1))-AVERAGE(OFFSET($H$3,0,0,'Données projet'!$E$11+1,1))</f>
        <v>460.77543902152325</v>
      </c>
      <c r="BJ34" s="62">
        <f t="shared" si="38"/>
        <v>341.4342976721104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18.61999999999999</v>
      </c>
      <c r="BY34" s="13">
        <f>IF('Données projet'!$A$114&gt;35,BY33+BX34-CG33,IF(A34&lt;'Données projet'!$A$114,$BV$205^A34,IF(A34='Données projet'!$A$114,'Données projet'!$B$114,BY33+BX34-CG33)))</f>
        <v>211.73000000000002</v>
      </c>
      <c r="BZ34" s="14">
        <f>BY34*VLOOKUP('Données projet'!$B$12,Paramètres!$A$1:$I$89,3,0)*VLOOKUP('Données projet'!$B$12,Paramètres!$A$1:$I$89,5,0)</f>
        <v>126.61454000000002</v>
      </c>
      <c r="CA34" s="14">
        <f t="shared" si="39"/>
        <v>33.21288161570979</v>
      </c>
      <c r="CB34" s="22">
        <f t="shared" si="10"/>
        <v>278.36609264736126</v>
      </c>
      <c r="CC34" s="62">
        <f t="shared" si="11"/>
        <v>571.69942598069451</v>
      </c>
      <c r="CD34" s="62">
        <f ca="1">AVERAGE(OFFSET($CC$3,0,0,'Données projet'!$E$12+1,1))-AVERAGE(OFFSET($H$3,0,0,'Données projet'!$E$12+1,1))</f>
        <v>438.68915237247444</v>
      </c>
      <c r="CE34" s="62">
        <f t="shared" si="40"/>
        <v>376.94419168335452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21.206072323360754</v>
      </c>
      <c r="CL34" s="23">
        <f>EXP(-LN(2)/25)*CL33+(1-EXP(-LN(2)/25))/(LN(2)/25)*Calculateur!CG34*Calculateur!CI34*VLOOKUP('Données projet'!$B$12,Paramètres!$A$1:$I$89,3,0)*0.475*44/12</f>
        <v>15.555209185677302</v>
      </c>
      <c r="CM34" s="23">
        <f>EXP(-LN(2)/2)*CM33+(1-EXP(-LN(2)/2))/(LN(2)/2)*CG34*CJ34*VLOOKUP('Données projet'!$B$12,Paramètres!$A$1:$I$89,3,0)*0.475*44/12</f>
        <v>7.9054797445299272</v>
      </c>
      <c r="CN34" s="24">
        <f t="shared" si="12"/>
        <v>44.666761253567984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10.725999999999999</v>
      </c>
      <c r="CT34" s="13">
        <f>IF('Données projet'!$A$140&gt;35,CT33+CS34-DB33,IF(A34&lt;'Données projet'!$A$140,$CQ$205^A34,IF(A34='Données projet'!$A$140,'Données projet'!$B$140,CT33+CS34-DB33)))</f>
        <v>132.15600000000001</v>
      </c>
      <c r="CU34" s="18">
        <f>CT34*VLOOKUP('Données projet'!$B$13,Paramètres!$A$1:$I$89,3,0)*VLOOKUP('Données projet'!$B$13,Paramètres!$A$1:$I$89,5,0)</f>
        <v>61.849008000000005</v>
      </c>
      <c r="CV34" s="14">
        <f t="shared" si="41"/>
        <v>17.634927253045269</v>
      </c>
      <c r="CW34" s="22">
        <f t="shared" si="13"/>
        <v>138.4345205657205</v>
      </c>
      <c r="CX34" s="62">
        <f t="shared" si="14"/>
        <v>431.76785389905382</v>
      </c>
      <c r="CY34" s="62">
        <f ca="1">AVERAGE(OFFSET($CX$3,0,0,'Données projet'!$E$13+1,1))-AVERAGE(OFFSET($H$3,0,0,'Données projet'!$E$13+1,1))</f>
        <v>302.06513069580848</v>
      </c>
      <c r="CZ34" s="62">
        <f t="shared" si="42"/>
        <v>164.1450425611464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3.887142857142857</v>
      </c>
      <c r="N35" s="14">
        <f>IF('Données projet'!$A$36&gt;35,N34+M35-V34,IF(A35&lt;'Données projet'!$A$36,$K$205^A35,IF(A35='Données projet'!$A$36,'Données projet'!$B$36,N34+M35-V34)))</f>
        <v>124.38857142857148</v>
      </c>
      <c r="O35" s="14">
        <f>N35*VLOOKUP('Données projet'!$B$9,Paramètres!$A$1:$I$89,3,0)*VLOOKUP('Données projet'!$B$9,Paramètres!$A$1:$I$89,5,0)</f>
        <v>112.54677942857147</v>
      </c>
      <c r="P35" s="14">
        <f t="shared" si="33"/>
        <v>29.930224010130704</v>
      </c>
      <c r="Q35" s="22">
        <f t="shared" ref="Q35:Q66" si="53">(O35+P35)*0.475*44/12</f>
        <v>248.14744765573963</v>
      </c>
      <c r="R35" s="62">
        <f t="shared" si="0"/>
        <v>541.48078098907297</v>
      </c>
      <c r="S35" s="62">
        <f ca="1">AVERAGE(OFFSET($R$3,0,0,'Données projet'!$E$9+1,1))-AVERAGE(OFFSET($H$3,0,0,'Données projet'!$E$9+1,1))</f>
        <v>581.88778927327667</v>
      </c>
      <c r="T35" s="62">
        <f t="shared" si="34"/>
        <v>269.67340993773422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9.1999999999999993</v>
      </c>
      <c r="AI35" s="14">
        <f>IF('Données projet'!$A$62&gt;35,AI34+AH35-AQ34,IF(A35&lt;'Données projet'!$A$62,$AF$205^A35,IF(A35='Données projet'!$A$62,'Données projet'!$B$62,AI34+AH35-AQ34)))</f>
        <v>140.4</v>
      </c>
      <c r="AJ35" s="14">
        <f>AI35*VLOOKUP('Données projet'!$B$10,Paramètres!$A$1:$I$89,3,0)*VLOOKUP('Données projet'!$B$10,Paramètres!$A$1:$I$89,5,0)</f>
        <v>122.65344000000002</v>
      </c>
      <c r="AK35" s="14">
        <f t="shared" si="35"/>
        <v>32.293080640759037</v>
      </c>
      <c r="AL35" s="22">
        <f t="shared" si="4"/>
        <v>269.8651901159887</v>
      </c>
      <c r="AM35" s="62">
        <f t="shared" si="5"/>
        <v>563.19852344932201</v>
      </c>
      <c r="AN35" s="62">
        <f ca="1">AVERAGE(OFFSET($AM$3,0,0,'Données projet'!$E$10+1,1))-AVERAGE(OFFSET($H$3,0,0,'Données projet'!$E$10+1,1))</f>
        <v>354.24684313982857</v>
      </c>
      <c r="AO35" s="62">
        <f t="shared" si="36"/>
        <v>322.65043486962185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2.1553620761000118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2.1553620761000118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11.8</v>
      </c>
      <c r="BD35" s="13">
        <f>IF('Données projet'!$A$88&gt;35,BD34+BC35-BL34,IF(A35&lt;'Données projet'!$A$88,$BA$205^A35,IF(A35='Données projet'!$A$88,'Données projet'!$B$88,BD34+BC35-BL34)))</f>
        <v>150.60000000000002</v>
      </c>
      <c r="BE35" s="14">
        <f>BD35*VLOOKUP('Données projet'!$B$11,Paramètres!$A$1:$I$89,3,0)*VLOOKUP('Données projet'!$B$11,Paramètres!$A$1:$I$89,5,0)</f>
        <v>143.31096000000002</v>
      </c>
      <c r="BF35" s="14">
        <f t="shared" si="37"/>
        <v>37.054465009884886</v>
      </c>
      <c r="BG35" s="22">
        <f t="shared" si="7"/>
        <v>314.13644855888288</v>
      </c>
      <c r="BH35" s="62">
        <f t="shared" si="8"/>
        <v>607.46978189221613</v>
      </c>
      <c r="BI35" s="62">
        <f ca="1">AVERAGE(OFFSET($BH$3,0,0,'Données projet'!$E$11+1,1))-AVERAGE(OFFSET($H$3,0,0,'Données projet'!$E$11+1,1))</f>
        <v>460.77543902152325</v>
      </c>
      <c r="BJ35" s="62">
        <f t="shared" si="38"/>
        <v>341.4342976721104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>
        <f>VLOOKUP(A35,'Données projet'!$A$113:$I$133,2,0)</f>
        <v>230.35</v>
      </c>
      <c r="BW35" s="13">
        <f>VLOOKUP(A35,'Données projet'!$A$113:$I$133,9,0)</f>
        <v>18.61999999999999</v>
      </c>
      <c r="BX35" s="13">
        <f t="array" ref="BX35">INDEX(BW:BW,MIN(IF(ISNUMBER(BW35:BW231),ROW(BW35:BW231),"")))</f>
        <v>18.61999999999999</v>
      </c>
      <c r="BY35" s="13">
        <f>IF('Données projet'!$A$114&gt;35,BY34+BX35-CG34,IF(A35&lt;'Données projet'!$A$114,$BV$205^A35,IF(A35='Données projet'!$A$114,'Données projet'!$B$114,BY34+BX35-CG34)))</f>
        <v>230.35000000000002</v>
      </c>
      <c r="BZ35" s="14">
        <f>BY35*VLOOKUP('Données projet'!$B$12,Paramètres!$A$1:$I$89,3,0)*VLOOKUP('Données projet'!$B$12,Paramètres!$A$1:$I$89,5,0)</f>
        <v>137.74930000000003</v>
      </c>
      <c r="CA35" s="14">
        <f t="shared" si="39"/>
        <v>35.780916395737023</v>
      </c>
      <c r="CB35" s="22">
        <f t="shared" si="10"/>
        <v>302.23179355590867</v>
      </c>
      <c r="CC35" s="62">
        <f t="shared" si="11"/>
        <v>595.56512688924204</v>
      </c>
      <c r="CD35" s="62">
        <f ca="1">AVERAGE(OFFSET($CC$3,0,0,'Données projet'!$E$12+1,1))-AVERAGE(OFFSET($H$3,0,0,'Données projet'!$E$12+1,1))</f>
        <v>438.68915237247444</v>
      </c>
      <c r="CE35" s="62">
        <f t="shared" si="40"/>
        <v>376.94419168335452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0.27</v>
      </c>
      <c r="CI35" s="17">
        <f>IF(ISNA(VLOOKUP(A35,'Données projet'!$A$113:$I$133,6,0)),0%,VLOOKUP(A35,'Données projet'!$A$113:$I$133,6,0)*VLOOKUP('Données projet'!$B$12,Paramètres!$A$1:$I$89,7,0))</f>
        <v>9.9000000000000005E-2</v>
      </c>
      <c r="CJ35" s="17">
        <f>IF(ISNA(VLOOKUP(A35,'Données projet'!$A$113:$I$133,7,0)),0%,VLOOKUP(A35,'Données projet'!$A$113:$I$133,7,0))</f>
        <v>0.18</v>
      </c>
      <c r="CK35" s="23">
        <f>EXP(-LN(2)/35)*CK34+(1-EXP(-LN(2)/35))/(LN(2)/35)*CG35*CH35*VLOOKUP('Données projet'!$B$12,Paramètres!$A$1:$I$89,3,0)*0.475*44/12</f>
        <v>20.7902341795266</v>
      </c>
      <c r="CL35" s="23">
        <f>EXP(-LN(2)/25)*CL34+(1-EXP(-LN(2)/25))/(LN(2)/25)*Calculateur!CG35*Calculateur!CI35*VLOOKUP('Données projet'!$B$12,Paramètres!$A$1:$I$89,3,0)*0.475*44/12</f>
        <v>15.129851172482057</v>
      </c>
      <c r="CM35" s="23">
        <f>EXP(-LN(2)/2)*CM34+(1-EXP(-LN(2)/2))/(LN(2)/2)*CG35*CJ35*VLOOKUP('Données projet'!$B$12,Paramètres!$A$1:$I$89,3,0)*0.475*44/12</f>
        <v>5.5900183358900071</v>
      </c>
      <c r="CN35" s="24">
        <f t="shared" si="12"/>
        <v>41.510103687898663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10.725999999999999</v>
      </c>
      <c r="CT35" s="13">
        <f>IF('Données projet'!$A$140&gt;35,CT34+CS35-DB34,IF(A35&lt;'Données projet'!$A$140,$CQ$205^A35,IF(A35='Données projet'!$A$140,'Données projet'!$B$140,CT34+CS35-DB34)))</f>
        <v>142.88200000000001</v>
      </c>
      <c r="CU35" s="18">
        <f>CT35*VLOOKUP('Données projet'!$B$13,Paramètres!$A$1:$I$89,3,0)*VLOOKUP('Données projet'!$B$13,Paramètres!$A$1:$I$89,5,0)</f>
        <v>66.868775999999997</v>
      </c>
      <c r="CV35" s="14">
        <f t="shared" si="41"/>
        <v>18.89380539745444</v>
      </c>
      <c r="CW35" s="22">
        <f t="shared" si="13"/>
        <v>149.36982926723314</v>
      </c>
      <c r="CX35" s="62">
        <f t="shared" si="14"/>
        <v>442.70316260056643</v>
      </c>
      <c r="CY35" s="62">
        <f ca="1">AVERAGE(OFFSET($CX$3,0,0,'Données projet'!$E$13+1,1))-AVERAGE(OFFSET($H$3,0,0,'Données projet'!$E$13+1,1))</f>
        <v>302.06513069580848</v>
      </c>
      <c r="CZ35" s="62">
        <f t="shared" si="42"/>
        <v>164.1450425611464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3.887142857142857</v>
      </c>
      <c r="N36" s="14">
        <f>IF('Données projet'!$A$36&gt;35,N35+M36-V35,IF(A36&lt;'Données projet'!$A$36,$K$205^A36,IF(A36='Données projet'!$A$36,'Données projet'!$B$36,N35+M36-V35)))</f>
        <v>128.27571428571434</v>
      </c>
      <c r="O36" s="14">
        <f>N36*VLOOKUP('Données projet'!$B$9,Paramètres!$A$1:$I$89,3,0)*VLOOKUP('Données projet'!$B$9,Paramètres!$A$1:$I$89,5,0)</f>
        <v>116.06386628571434</v>
      </c>
      <c r="P36" s="14">
        <f t="shared" si="33"/>
        <v>30.755186414072718</v>
      </c>
      <c r="Q36" s="22">
        <f t="shared" si="53"/>
        <v>255.70985011879577</v>
      </c>
      <c r="R36" s="62">
        <f t="shared" si="0"/>
        <v>549.04318345212914</v>
      </c>
      <c r="S36" s="62">
        <f ca="1">AVERAGE(OFFSET($R$3,0,0,'Données projet'!$E$9+1,1))-AVERAGE(OFFSET($H$3,0,0,'Données projet'!$E$9+1,1))</f>
        <v>581.88778927327667</v>
      </c>
      <c r="T36" s="62">
        <f t="shared" si="34"/>
        <v>269.67340993773422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9.1999999999999993</v>
      </c>
      <c r="AI36" s="14">
        <f>IF('Données projet'!$A$62&gt;35,AI35+AH36-AQ35,IF(A36&lt;'Données projet'!$A$62,$AF$205^A36,IF(A36='Données projet'!$A$62,'Données projet'!$B$62,AI35+AH36-AQ35)))</f>
        <v>149.6</v>
      </c>
      <c r="AJ36" s="14">
        <f>AI36*VLOOKUP('Données projet'!$B$10,Paramètres!$A$1:$I$89,3,0)*VLOOKUP('Données projet'!$B$10,Paramètres!$A$1:$I$89,5,0)</f>
        <v>130.69056000000003</v>
      </c>
      <c r="AK36" s="14">
        <f t="shared" si="35"/>
        <v>34.155878238422723</v>
      </c>
      <c r="AL36" s="22">
        <f t="shared" si="4"/>
        <v>287.10754659858628</v>
      </c>
      <c r="AM36" s="62">
        <f t="shared" si="5"/>
        <v>580.44087993191965</v>
      </c>
      <c r="AN36" s="62">
        <f ca="1">AVERAGE(OFFSET($AM$3,0,0,'Données projet'!$E$10+1,1))-AVERAGE(OFFSET($H$3,0,0,'Données projet'!$E$10+1,1))</f>
        <v>354.24684313982857</v>
      </c>
      <c r="AO36" s="62">
        <f t="shared" si="36"/>
        <v>322.65043486962185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2.1130967404287468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2.1130967404287468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11.8</v>
      </c>
      <c r="BD36" s="13">
        <f>IF('Données projet'!$A$88&gt;35,BD35+BC36-BL35,IF(A36&lt;'Données projet'!$A$88,$BA$205^A36,IF(A36='Données projet'!$A$88,'Données projet'!$B$88,BD35+BC36-BL35)))</f>
        <v>162.40000000000003</v>
      </c>
      <c r="BE36" s="14">
        <f>BD36*VLOOKUP('Données projet'!$B$11,Paramètres!$A$1:$I$89,3,0)*VLOOKUP('Données projet'!$B$11,Paramètres!$A$1:$I$89,5,0)</f>
        <v>154.53984000000003</v>
      </c>
      <c r="BF36" s="14">
        <f t="shared" si="37"/>
        <v>39.608483410353038</v>
      </c>
      <c r="BG36" s="22">
        <f t="shared" si="7"/>
        <v>338.14166327303161</v>
      </c>
      <c r="BH36" s="62">
        <f t="shared" si="8"/>
        <v>631.47499660636493</v>
      </c>
      <c r="BI36" s="62">
        <f ca="1">AVERAGE(OFFSET($BH$3,0,0,'Données projet'!$E$11+1,1))-AVERAGE(OFFSET($H$3,0,0,'Données projet'!$E$11+1,1))</f>
        <v>460.77543902152325</v>
      </c>
      <c r="BJ36" s="62">
        <f t="shared" si="38"/>
        <v>341.4342976721104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21.354000000000003</v>
      </c>
      <c r="BY36" s="13">
        <f>IF('Données projet'!$A$114&gt;35,BY35+BX36-CG35,IF(A36&lt;'Données projet'!$A$114,$BV$205^A36,IF(A36='Données projet'!$A$114,'Données projet'!$B$114,BY35+BX36-CG35)))</f>
        <v>251.70400000000004</v>
      </c>
      <c r="BZ36" s="14">
        <f>BY36*VLOOKUP('Données projet'!$B$12,Paramètres!$A$1:$I$89,3,0)*VLOOKUP('Données projet'!$B$12,Paramètres!$A$1:$I$89,5,0)</f>
        <v>150.51899200000003</v>
      </c>
      <c r="CA36" s="14">
        <f t="shared" si="39"/>
        <v>38.696504695699296</v>
      </c>
      <c r="CB36" s="22">
        <f t="shared" si="10"/>
        <v>329.55032341167629</v>
      </c>
      <c r="CC36" s="62">
        <f t="shared" si="11"/>
        <v>622.8836567450096</v>
      </c>
      <c r="CD36" s="62">
        <f ca="1">AVERAGE(OFFSET($CC$3,0,0,'Données projet'!$E$12+1,1))-AVERAGE(OFFSET($H$3,0,0,'Données projet'!$E$12+1,1))</f>
        <v>438.68915237247444</v>
      </c>
      <c r="CE36" s="62">
        <f t="shared" si="40"/>
        <v>376.94419168335452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20.382550368056808</v>
      </c>
      <c r="CL36" s="23">
        <f>EXP(-LN(2)/25)*CL35+(1-EXP(-LN(2)/25))/(LN(2)/25)*Calculateur!CG36*Calculateur!CI36*VLOOKUP('Données projet'!$B$12,Paramètres!$A$1:$I$89,3,0)*0.475*44/12</f>
        <v>14.716124596526242</v>
      </c>
      <c r="CM36" s="23">
        <f>EXP(-LN(2)/2)*CM35+(1-EXP(-LN(2)/2))/(LN(2)/2)*CG36*CJ36*VLOOKUP('Données projet'!$B$12,Paramètres!$A$1:$I$89,3,0)*0.475*44/12</f>
        <v>3.952739872264964</v>
      </c>
      <c r="CN36" s="24">
        <f t="shared" si="12"/>
        <v>39.051414836848018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10.725999999999999</v>
      </c>
      <c r="CT36" s="13">
        <f>IF('Données projet'!$A$140&gt;35,CT35+CS36-DB35,IF(A36&lt;'Données projet'!$A$140,$CQ$205^A36,IF(A36='Données projet'!$A$140,'Données projet'!$B$140,CT35+CS36-DB35)))</f>
        <v>153.608</v>
      </c>
      <c r="CU36" s="18">
        <f>CT36*VLOOKUP('Données projet'!$B$13,Paramètres!$A$1:$I$89,3,0)*VLOOKUP('Données projet'!$B$13,Paramètres!$A$1:$I$89,5,0)</f>
        <v>71.888543999999996</v>
      </c>
      <c r="CV36" s="14">
        <f t="shared" si="41"/>
        <v>20.141720490512927</v>
      </c>
      <c r="CW36" s="22">
        <f t="shared" si="13"/>
        <v>160.28604398764332</v>
      </c>
      <c r="CX36" s="62">
        <f t="shared" si="14"/>
        <v>453.61937732097664</v>
      </c>
      <c r="CY36" s="62">
        <f ca="1">AVERAGE(OFFSET($CX$3,0,0,'Données projet'!$E$13+1,1))-AVERAGE(OFFSET($H$3,0,0,'Données projet'!$E$13+1,1))</f>
        <v>302.06513069580848</v>
      </c>
      <c r="CZ36" s="62">
        <f t="shared" si="42"/>
        <v>164.1450425611464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3.887142857142857</v>
      </c>
      <c r="N37" s="14">
        <f>IF('Données projet'!$A$36&gt;35,N36+M37-V36,IF(A37&lt;'Données projet'!$A$36,$K$205^A37,IF(A37='Données projet'!$A$36,'Données projet'!$B$36,N36+M37-V36)))</f>
        <v>132.16285714285721</v>
      </c>
      <c r="O37" s="14">
        <f>N37*VLOOKUP('Données projet'!$B$9,Paramètres!$A$1:$I$89,3,0)*VLOOKUP('Données projet'!$B$9,Paramètres!$A$1:$I$89,5,0)</f>
        <v>119.58095314285718</v>
      </c>
      <c r="P37" s="14">
        <f t="shared" si="33"/>
        <v>31.577243606763055</v>
      </c>
      <c r="Q37" s="22">
        <f t="shared" si="53"/>
        <v>263.26719267225525</v>
      </c>
      <c r="R37" s="62">
        <f t="shared" si="0"/>
        <v>556.60052600558856</v>
      </c>
      <c r="S37" s="62">
        <f ca="1">AVERAGE(OFFSET($R$3,0,0,'Données projet'!$E$9+1,1))-AVERAGE(OFFSET($H$3,0,0,'Données projet'!$E$9+1,1))</f>
        <v>581.88778927327667</v>
      </c>
      <c r="T37" s="62">
        <f t="shared" si="34"/>
        <v>269.67340993773422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9.1999999999999993</v>
      </c>
      <c r="AI37" s="14">
        <f>IF('Données projet'!$A$62&gt;35,AI36+AH37-AQ36,IF(A37&lt;'Données projet'!$A$62,$AF$205^A37,IF(A37='Données projet'!$A$62,'Données projet'!$B$62,AI36+AH37-AQ36)))</f>
        <v>158.79999999999998</v>
      </c>
      <c r="AJ37" s="14">
        <f>AI37*VLOOKUP('Données projet'!$B$10,Paramètres!$A$1:$I$89,3,0)*VLOOKUP('Données projet'!$B$10,Paramètres!$A$1:$I$89,5,0)</f>
        <v>138.72767999999999</v>
      </c>
      <c r="AK37" s="14">
        <f t="shared" si="35"/>
        <v>36.005380160492741</v>
      </c>
      <c r="AL37" s="22">
        <f t="shared" si="4"/>
        <v>304.32674644619152</v>
      </c>
      <c r="AM37" s="62">
        <f t="shared" si="5"/>
        <v>597.66007977952484</v>
      </c>
      <c r="AN37" s="62">
        <f ca="1">AVERAGE(OFFSET($AM$3,0,0,'Données projet'!$E$10+1,1))-AVERAGE(OFFSET($H$3,0,0,'Données projet'!$E$10+1,1))</f>
        <v>354.24684313982857</v>
      </c>
      <c r="AO37" s="62">
        <f t="shared" si="36"/>
        <v>322.65043486962185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2.0716602022106865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2.0716602022106865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11.8</v>
      </c>
      <c r="BD37" s="13">
        <f>IF('Données projet'!$A$88&gt;35,BD36+BC37-BL36,IF(A37&lt;'Données projet'!$A$88,$BA$205^A37,IF(A37='Données projet'!$A$88,'Données projet'!$B$88,BD36+BC37-BL36)))</f>
        <v>174.20000000000005</v>
      </c>
      <c r="BE37" s="14">
        <f>BD37*VLOOKUP('Données projet'!$B$11,Paramètres!$A$1:$I$89,3,0)*VLOOKUP('Données projet'!$B$11,Paramètres!$A$1:$I$89,5,0)</f>
        <v>165.76872000000006</v>
      </c>
      <c r="BF37" s="14">
        <f t="shared" si="37"/>
        <v>42.140971955776095</v>
      </c>
      <c r="BG37" s="22">
        <f t="shared" si="7"/>
        <v>362.10938015631012</v>
      </c>
      <c r="BH37" s="62">
        <f t="shared" si="8"/>
        <v>655.44271348964344</v>
      </c>
      <c r="BI37" s="62">
        <f ca="1">AVERAGE(OFFSET($BH$3,0,0,'Données projet'!$E$11+1,1))-AVERAGE(OFFSET($H$3,0,0,'Données projet'!$E$11+1,1))</f>
        <v>460.77543902152325</v>
      </c>
      <c r="BJ37" s="62">
        <f t="shared" si="38"/>
        <v>341.4342976721104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21.354000000000003</v>
      </c>
      <c r="BY37" s="13">
        <f>IF('Données projet'!$A$114&gt;35,BY36+BX37-CG36,IF(A37&lt;'Données projet'!$A$114,$BV$205^A37,IF(A37='Données projet'!$A$114,'Données projet'!$B$114,BY36+BX37-CG36)))</f>
        <v>273.05800000000005</v>
      </c>
      <c r="BZ37" s="14">
        <f>BY37*VLOOKUP('Données projet'!$B$12,Paramètres!$A$1:$I$89,3,0)*VLOOKUP('Données projet'!$B$12,Paramètres!$A$1:$I$89,5,0)</f>
        <v>163.28868400000005</v>
      </c>
      <c r="CA37" s="14">
        <f t="shared" si="39"/>
        <v>41.583406626001775</v>
      </c>
      <c r="CB37" s="22">
        <f t="shared" si="10"/>
        <v>356.81889117361976</v>
      </c>
      <c r="CC37" s="62">
        <f t="shared" si="11"/>
        <v>650.15222450695308</v>
      </c>
      <c r="CD37" s="62">
        <f ca="1">AVERAGE(OFFSET($CC$3,0,0,'Données projet'!$E$12+1,1))-AVERAGE(OFFSET($H$3,0,0,'Données projet'!$E$12+1,1))</f>
        <v>438.68915237247444</v>
      </c>
      <c r="CE37" s="62">
        <f t="shared" si="40"/>
        <v>376.94419168335452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19.982860987467369</v>
      </c>
      <c r="CL37" s="23">
        <f>EXP(-LN(2)/25)*CL36+(1-EXP(-LN(2)/25))/(LN(2)/25)*Calculateur!CG37*Calculateur!CI37*VLOOKUP('Données projet'!$B$12,Paramètres!$A$1:$I$89,3,0)*0.475*44/12</f>
        <v>14.313711395546873</v>
      </c>
      <c r="CM37" s="23">
        <f>EXP(-LN(2)/2)*CM36+(1-EXP(-LN(2)/2))/(LN(2)/2)*CG37*CJ37*VLOOKUP('Données projet'!$B$12,Paramètres!$A$1:$I$89,3,0)*0.475*44/12</f>
        <v>2.795009167945004</v>
      </c>
      <c r="CN37" s="24">
        <f t="shared" si="12"/>
        <v>37.091581550959248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10.725999999999999</v>
      </c>
      <c r="CT37" s="13">
        <f>IF('Données projet'!$A$140&gt;35,CT36+CS37-DB36,IF(A37&lt;'Données projet'!$A$140,$CQ$205^A37,IF(A37='Données projet'!$A$140,'Données projet'!$B$140,CT36+CS37-DB36)))</f>
        <v>164.334</v>
      </c>
      <c r="CU37" s="18">
        <f>CT37*VLOOKUP('Données projet'!$B$13,Paramètres!$A$1:$I$89,3,0)*VLOOKUP('Données projet'!$B$13,Paramètres!$A$1:$I$89,5,0)</f>
        <v>76.908312000000009</v>
      </c>
      <c r="CV37" s="14">
        <f t="shared" si="41"/>
        <v>21.379525126850339</v>
      </c>
      <c r="CW37" s="22">
        <f t="shared" si="13"/>
        <v>171.18464966259771</v>
      </c>
      <c r="CX37" s="62">
        <f t="shared" si="14"/>
        <v>464.51798299593099</v>
      </c>
      <c r="CY37" s="62">
        <f ca="1">AVERAGE(OFFSET($CX$3,0,0,'Données projet'!$E$13+1,1))-AVERAGE(OFFSET($H$3,0,0,'Données projet'!$E$13+1,1))</f>
        <v>302.06513069580848</v>
      </c>
      <c r="CZ37" s="62">
        <f t="shared" si="42"/>
        <v>164.1450425611464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3.887142857142857</v>
      </c>
      <c r="N38" s="14">
        <f>IF('Données projet'!$A$36&gt;35,N37+M38-V37,IF(A38&lt;'Données projet'!$A$36,$K$205^A38,IF(A38='Données projet'!$A$36,'Données projet'!$B$36,N37+M38-V37)))</f>
        <v>136.05000000000007</v>
      </c>
      <c r="O38" s="14">
        <f>N38*VLOOKUP('Données projet'!$B$9,Paramètres!$A$1:$I$89,3,0)*VLOOKUP('Données projet'!$B$9,Paramètres!$A$1:$I$89,5,0)</f>
        <v>123.09804000000005</v>
      </c>
      <c r="P38" s="14">
        <f t="shared" si="33"/>
        <v>32.396490846405321</v>
      </c>
      <c r="Q38" s="22">
        <f t="shared" si="53"/>
        <v>270.81964122415599</v>
      </c>
      <c r="R38" s="62">
        <f t="shared" si="0"/>
        <v>564.1529745574893</v>
      </c>
      <c r="S38" s="62">
        <f ca="1">AVERAGE(OFFSET($R$3,0,0,'Données projet'!$E$9+1,1))-AVERAGE(OFFSET($H$3,0,0,'Données projet'!$E$9+1,1))</f>
        <v>581.88778927327667</v>
      </c>
      <c r="T38" s="62">
        <f t="shared" si="34"/>
        <v>269.67340993773422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168</v>
      </c>
      <c r="AG38" s="13">
        <f>VLOOKUP(A38,'Données projet'!$A$61:$I$81,9,0)</f>
        <v>9.1999999999999993</v>
      </c>
      <c r="AH38" s="13">
        <f t="array" ref="AH38">INDEX(AG:AG,MIN(IF(ISNUMBER(AG38:AG234),ROW(AG38:AG234),"")))</f>
        <v>9.1999999999999993</v>
      </c>
      <c r="AI38" s="14">
        <f>IF('Données projet'!$A$62&gt;35,AI37+AH38-AQ37,IF(A38&lt;'Données projet'!$A$62,$AF$205^A38,IF(A38='Données projet'!$A$62,'Données projet'!$B$62,AI37+AH38-AQ37)))</f>
        <v>167.99999999999997</v>
      </c>
      <c r="AJ38" s="14">
        <f>AI38*VLOOKUP('Données projet'!$B$10,Paramètres!$A$1:$I$89,3,0)*VLOOKUP('Données projet'!$B$10,Paramètres!$A$1:$I$89,5,0)</f>
        <v>146.76480000000001</v>
      </c>
      <c r="AK38" s="14">
        <f t="shared" si="35"/>
        <v>37.842444439956665</v>
      </c>
      <c r="AL38" s="22">
        <f t="shared" si="4"/>
        <v>321.52428406625785</v>
      </c>
      <c r="AM38" s="62">
        <f t="shared" si="5"/>
        <v>614.85761739959116</v>
      </c>
      <c r="AN38" s="62">
        <f ca="1">AVERAGE(OFFSET($AM$3,0,0,'Données projet'!$E$10+1,1))-AVERAGE(OFFSET($H$3,0,0,'Données projet'!$E$10+1,1))</f>
        <v>354.24684313982857</v>
      </c>
      <c r="AO38" s="62">
        <f t="shared" si="36"/>
        <v>322.65043486962185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27</v>
      </c>
      <c r="AR38" s="17">
        <f>IF(ISNA(VLOOKUP(A38,'Données projet'!$A$61:$I$81,5,0)),0%,VLOOKUP(A38,'Données projet'!$A$61:$I$81,5,0)*VLOOKUP('Données projet'!$B$10,Paramètres!$A$1:$I$89,7,0))</f>
        <v>8.6000000000000007E-2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4.2734819897395759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4.2734819897395759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186</v>
      </c>
      <c r="BB38" s="13">
        <f>VLOOKUP(A38,'Données projet'!$A$87:$I$107,9,0)</f>
        <v>11.8</v>
      </c>
      <c r="BC38" s="13">
        <f t="array" ref="BC38">INDEX(BB:BB,MIN(IF(ISNUMBER(BB38:BB234),ROW(BB38:BB234),"")))</f>
        <v>11.8</v>
      </c>
      <c r="BD38" s="13">
        <f>IF('Données projet'!$A$88&gt;35,BD37+BC38-BL37,IF(A38&lt;'Données projet'!$A$88,$BA$205^A38,IF(A38='Données projet'!$A$88,'Données projet'!$B$88,BD37+BC38-BL37)))</f>
        <v>186.00000000000006</v>
      </c>
      <c r="BE38" s="14">
        <f>BD38*VLOOKUP('Données projet'!$B$11,Paramètres!$A$1:$I$89,3,0)*VLOOKUP('Données projet'!$B$11,Paramètres!$A$1:$I$89,5,0)</f>
        <v>176.99760000000006</v>
      </c>
      <c r="BF38" s="14">
        <f t="shared" si="37"/>
        <v>44.65355496383409</v>
      </c>
      <c r="BG38" s="22">
        <f t="shared" si="7"/>
        <v>386.04242822867786</v>
      </c>
      <c r="BH38" s="62">
        <f t="shared" si="8"/>
        <v>679.37576156201112</v>
      </c>
      <c r="BI38" s="62">
        <f ca="1">AVERAGE(OFFSET($BH$3,0,0,'Données projet'!$E$11+1,1))-AVERAGE(OFFSET($H$3,0,0,'Données projet'!$E$11+1,1))</f>
        <v>460.77543902152325</v>
      </c>
      <c r="BJ38" s="62">
        <f t="shared" si="38"/>
        <v>341.4342976721104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24</v>
      </c>
      <c r="BM38" s="17">
        <f>IF(ISNA(VLOOKUP(A38,'Données projet'!$A$87:$I$107,5,0)),0%,VLOOKUP(A38,'Données projet'!$A$87:$I$107,5,0)*VLOOKUP('Données projet'!$B$11,Paramètres!$A$1:$I$89,7,0))</f>
        <v>8.6000000000000007E-2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2.1712570255695787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2.1712570255695787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21.354000000000003</v>
      </c>
      <c r="BY38" s="13">
        <f>IF('Données projet'!$A$114&gt;35,BY37+BX38-CG37,IF(A38&lt;'Données projet'!$A$114,$BV$205^A38,IF(A38='Données projet'!$A$114,'Données projet'!$B$114,BY37+BX38-CG37)))</f>
        <v>294.41200000000003</v>
      </c>
      <c r="BZ38" s="14">
        <f>BY38*VLOOKUP('Données projet'!$B$12,Paramètres!$A$1:$I$89,3,0)*VLOOKUP('Données projet'!$B$12,Paramètres!$A$1:$I$89,5,0)</f>
        <v>176.05837600000004</v>
      </c>
      <c r="CA38" s="14">
        <f t="shared" si="39"/>
        <v>44.444120610316261</v>
      </c>
      <c r="CB38" s="22">
        <f t="shared" si="10"/>
        <v>384.04184826296751</v>
      </c>
      <c r="CC38" s="62">
        <f t="shared" si="11"/>
        <v>677.37518159630076</v>
      </c>
      <c r="CD38" s="62">
        <f ca="1">AVERAGE(OFFSET($CC$3,0,0,'Données projet'!$E$12+1,1))-AVERAGE(OFFSET($H$3,0,0,'Données projet'!$E$12+1,1))</f>
        <v>438.68915237247444</v>
      </c>
      <c r="CE38" s="62">
        <f t="shared" si="40"/>
        <v>376.94419168335452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19.591009271844836</v>
      </c>
      <c r="CL38" s="23">
        <f>EXP(-LN(2)/25)*CL37+(1-EXP(-LN(2)/25))/(LN(2)/25)*Calculateur!CG38*Calculateur!CI38*VLOOKUP('Données projet'!$B$12,Paramètres!$A$1:$I$89,3,0)*0.475*44/12</f>
        <v>13.922302204710276</v>
      </c>
      <c r="CM38" s="23">
        <f>EXP(-LN(2)/2)*CM37+(1-EXP(-LN(2)/2))/(LN(2)/2)*CG38*CJ38*VLOOKUP('Données projet'!$B$12,Paramètres!$A$1:$I$89,3,0)*0.475*44/12</f>
        <v>1.9763699361324822</v>
      </c>
      <c r="CN38" s="24">
        <f t="shared" si="12"/>
        <v>35.489681412687595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175.06</v>
      </c>
      <c r="CR38" s="13">
        <f>VLOOKUP(A38,'Données projet'!$A$139:$I$159,9,0)</f>
        <v>10.725999999999999</v>
      </c>
      <c r="CS38" s="13">
        <f t="array" ref="CS38">INDEX(CR:CR,MIN(IF(ISNUMBER(CR38:CR234),ROW(CR38:CR234),"")))</f>
        <v>10.725999999999999</v>
      </c>
      <c r="CT38" s="13">
        <f>IF('Données projet'!$A$140&gt;35,CT37+CS38-DB37,IF(A38&lt;'Données projet'!$A$140,$CQ$205^A38,IF(A38='Données projet'!$A$140,'Données projet'!$B$140,CT37+CS38-DB37)))</f>
        <v>175.06</v>
      </c>
      <c r="CU38" s="18">
        <f>CT38*VLOOKUP('Données projet'!$B$13,Paramètres!$A$1:$I$89,3,0)*VLOOKUP('Données projet'!$B$13,Paramètres!$A$1:$I$89,5,0)</f>
        <v>81.928080000000008</v>
      </c>
      <c r="CV38" s="14">
        <f t="shared" si="41"/>
        <v>22.607954309959062</v>
      </c>
      <c r="CW38" s="22">
        <f t="shared" si="13"/>
        <v>182.06692642317867</v>
      </c>
      <c r="CX38" s="62">
        <f t="shared" si="14"/>
        <v>475.40025975651201</v>
      </c>
      <c r="CY38" s="62">
        <f ca="1">AVERAGE(OFFSET($CX$3,0,0,'Données projet'!$E$13+1,1))-AVERAGE(OFFSET($H$3,0,0,'Données projet'!$E$13+1,1))</f>
        <v>302.06513069580848</v>
      </c>
      <c r="CZ38" s="62">
        <f t="shared" si="42"/>
        <v>164.1450425611464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3.887142857142857</v>
      </c>
      <c r="N39" s="14">
        <f>IF('Données projet'!$A$36&gt;35,N38+M39-V38,IF(A39&lt;'Données projet'!$A$36,$K$205^A39,IF(A39='Données projet'!$A$36,'Données projet'!$B$36,N38+M39-V38)))</f>
        <v>139.93714285714293</v>
      </c>
      <c r="O39" s="14">
        <f>N39*VLOOKUP('Données projet'!$B$9,Paramètres!$A$1:$I$89,3,0)*VLOOKUP('Données projet'!$B$9,Paramètres!$A$1:$I$89,5,0)</f>
        <v>126.61512685714293</v>
      </c>
      <c r="P39" s="14">
        <f t="shared" si="33"/>
        <v>33.213017638275041</v>
      </c>
      <c r="Q39" s="22">
        <f t="shared" si="53"/>
        <v>278.36735166285297</v>
      </c>
      <c r="R39" s="62">
        <f t="shared" si="0"/>
        <v>571.70068499618628</v>
      </c>
      <c r="S39" s="62">
        <f ca="1">AVERAGE(OFFSET($R$3,0,0,'Données projet'!$E$9+1,1))-AVERAGE(OFFSET($H$3,0,0,'Données projet'!$E$9+1,1))</f>
        <v>581.88778927327667</v>
      </c>
      <c r="T39" s="62">
        <f t="shared" si="34"/>
        <v>269.67340993773422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8.8000000000000007</v>
      </c>
      <c r="AI39" s="14">
        <f>IF('Données projet'!$A$62&gt;35,AI38+AH39-AQ38,IF(A39&lt;'Données projet'!$A$62,$AF$205^A39,IF(A39='Données projet'!$A$62,'Données projet'!$B$62,AI38+AH39-AQ38)))</f>
        <v>149.79999999999998</v>
      </c>
      <c r="AJ39" s="14">
        <f>AI39*VLOOKUP('Données projet'!$B$10,Paramètres!$A$1:$I$89,3,0)*VLOOKUP('Données projet'!$B$10,Paramètres!$A$1:$I$89,5,0)</f>
        <v>130.86528000000001</v>
      </c>
      <c r="AK39" s="14">
        <f t="shared" si="35"/>
        <v>34.19622287336729</v>
      </c>
      <c r="AL39" s="22">
        <f t="shared" si="4"/>
        <v>287.48211750444801</v>
      </c>
      <c r="AM39" s="62">
        <f t="shared" si="5"/>
        <v>580.81545083778133</v>
      </c>
      <c r="AN39" s="62">
        <f ca="1">AVERAGE(OFFSET($AM$3,0,0,'Données projet'!$E$10+1,1))-AVERAGE(OFFSET($H$3,0,0,'Données projet'!$E$10+1,1))</f>
        <v>354.24684313982857</v>
      </c>
      <c r="AO39" s="62">
        <f t="shared" si="36"/>
        <v>322.65043486962185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4.1896816144874194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4.1896816144874194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10.8</v>
      </c>
      <c r="BD39" s="13">
        <f>IF('Données projet'!$A$88&gt;35,BD38+BC39-BL38,IF(A39&lt;'Données projet'!$A$88,$BA$205^A39,IF(A39='Données projet'!$A$88,'Données projet'!$B$88,BD38+BC39-BL38)))</f>
        <v>172.80000000000007</v>
      </c>
      <c r="BE39" s="14">
        <f>BD39*VLOOKUP('Données projet'!$B$11,Paramètres!$A$1:$I$89,3,0)*VLOOKUP('Données projet'!$B$11,Paramètres!$A$1:$I$89,5,0)</f>
        <v>164.43648000000007</v>
      </c>
      <c r="BF39" s="14">
        <f t="shared" si="37"/>
        <v>41.841577441370312</v>
      </c>
      <c r="BG39" s="22">
        <f t="shared" si="7"/>
        <v>359.26761671038668</v>
      </c>
      <c r="BH39" s="62">
        <f t="shared" si="8"/>
        <v>652.60095004371999</v>
      </c>
      <c r="BI39" s="62">
        <f ca="1">AVERAGE(OFFSET($BH$3,0,0,'Données projet'!$E$11+1,1))-AVERAGE(OFFSET($H$3,0,0,'Données projet'!$E$11+1,1))</f>
        <v>460.77543902152325</v>
      </c>
      <c r="BJ39" s="62">
        <f t="shared" si="38"/>
        <v>341.4342976721104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2.1286799996341776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2.1286799996341776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21.354000000000003</v>
      </c>
      <c r="BY39" s="13">
        <f>IF('Données projet'!$A$114&gt;35,BY38+BX39-CG38,IF(A39&lt;'Données projet'!$A$114,$BV$205^A39,IF(A39='Données projet'!$A$114,'Données projet'!$B$114,BY38+BX39-CG38)))</f>
        <v>315.76600000000002</v>
      </c>
      <c r="BZ39" s="14">
        <f>BY39*VLOOKUP('Données projet'!$B$12,Paramètres!$A$1:$I$89,3,0)*VLOOKUP('Données projet'!$B$12,Paramètres!$A$1:$I$89,5,0)</f>
        <v>188.82806800000003</v>
      </c>
      <c r="CA39" s="14">
        <f t="shared" si="39"/>
        <v>47.280762100017121</v>
      </c>
      <c r="CB39" s="22">
        <f t="shared" si="10"/>
        <v>411.22287909086322</v>
      </c>
      <c r="CC39" s="62">
        <f t="shared" si="11"/>
        <v>704.55621242419647</v>
      </c>
      <c r="CD39" s="62">
        <f ca="1">AVERAGE(OFFSET($CC$3,0,0,'Données projet'!$E$12+1,1))-AVERAGE(OFFSET($H$3,0,0,'Données projet'!$E$12+1,1))</f>
        <v>438.68915237247444</v>
      </c>
      <c r="CE39" s="62">
        <f t="shared" si="40"/>
        <v>376.94419168335452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19.206841529359714</v>
      </c>
      <c r="CL39" s="23">
        <f>EXP(-LN(2)/25)*CL38+(1-EXP(-LN(2)/25))/(LN(2)/25)*Calculateur!CG39*Calculateur!CI39*VLOOKUP('Données projet'!$B$12,Paramètres!$A$1:$I$89,3,0)*0.475*44/12</f>
        <v>13.54159611878042</v>
      </c>
      <c r="CM39" s="23">
        <f>EXP(-LN(2)/2)*CM38+(1-EXP(-LN(2)/2))/(LN(2)/2)*CG39*CJ39*VLOOKUP('Données projet'!$B$12,Paramètres!$A$1:$I$89,3,0)*0.475*44/12</f>
        <v>1.3975045839725022</v>
      </c>
      <c r="CN39" s="24">
        <f t="shared" si="12"/>
        <v>34.145942232112638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12.236000000000001</v>
      </c>
      <c r="CT39" s="13">
        <f>IF('Données projet'!$A$140&gt;35,CT38+CS39-DB38,IF(A39&lt;'Données projet'!$A$140,$CQ$205^A39,IF(A39='Données projet'!$A$140,'Données projet'!$B$140,CT38+CS39-DB38)))</f>
        <v>187.29599999999999</v>
      </c>
      <c r="CU39" s="18">
        <f>CT39*VLOOKUP('Données projet'!$B$13,Paramètres!$A$1:$I$89,3,0)*VLOOKUP('Données projet'!$B$13,Paramètres!$A$1:$I$89,5,0)</f>
        <v>87.654527999999999</v>
      </c>
      <c r="CV39" s="14">
        <f t="shared" si="41"/>
        <v>23.998687213422837</v>
      </c>
      <c r="CW39" s="22">
        <f t="shared" si="13"/>
        <v>194.4626831633781</v>
      </c>
      <c r="CX39" s="62">
        <f t="shared" si="14"/>
        <v>487.79601649671145</v>
      </c>
      <c r="CY39" s="62">
        <f ca="1">AVERAGE(OFFSET($CX$3,0,0,'Données projet'!$E$13+1,1))-AVERAGE(OFFSET($H$3,0,0,'Données projet'!$E$13+1,1))</f>
        <v>302.06513069580848</v>
      </c>
      <c r="CZ39" s="62">
        <f t="shared" si="42"/>
        <v>164.1450425611464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3.887142857142857</v>
      </c>
      <c r="N40" s="14">
        <f>IF('Données projet'!$A$36&gt;35,N39+M40-V39,IF(A40&lt;'Données projet'!$A$36,$K$205^A40,IF(A40='Données projet'!$A$36,'Données projet'!$B$36,N39+M40-V39)))</f>
        <v>143.82428571428579</v>
      </c>
      <c r="O40" s="14">
        <f>N40*VLOOKUP('Données projet'!$B$9,Paramètres!$A$1:$I$89,3,0)*VLOOKUP('Données projet'!$B$9,Paramètres!$A$1:$I$89,5,0)</f>
        <v>130.13221371428577</v>
      </c>
      <c r="P40" s="14">
        <f t="shared" si="33"/>
        <v>34.026908232186209</v>
      </c>
      <c r="Q40" s="22">
        <f t="shared" si="53"/>
        <v>285.91047072343866</v>
      </c>
      <c r="R40" s="62">
        <f t="shared" si="0"/>
        <v>579.24380405677198</v>
      </c>
      <c r="S40" s="62">
        <f ca="1">AVERAGE(OFFSET($R$3,0,0,'Données projet'!$E$9+1,1))-AVERAGE(OFFSET($H$3,0,0,'Données projet'!$E$9+1,1))</f>
        <v>581.88778927327667</v>
      </c>
      <c r="T40" s="62">
        <f t="shared" si="34"/>
        <v>269.67340993773422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8.8000000000000007</v>
      </c>
      <c r="AI40" s="14">
        <f>IF('Données projet'!$A$62&gt;35,AI39+AH40-AQ39,IF(A40&lt;'Données projet'!$A$62,$AF$205^A40,IF(A40='Données projet'!$A$62,'Données projet'!$B$62,AI39+AH40-AQ39)))</f>
        <v>158.6</v>
      </c>
      <c r="AJ40" s="14">
        <f>AI40*VLOOKUP('Données projet'!$B$10,Paramètres!$A$1:$I$89,3,0)*VLOOKUP('Données projet'!$B$10,Paramètres!$A$1:$I$89,5,0)</f>
        <v>138.55296000000001</v>
      </c>
      <c r="AK40" s="14">
        <f t="shared" si="35"/>
        <v>35.965308766301796</v>
      </c>
      <c r="AL40" s="22">
        <f t="shared" si="4"/>
        <v>303.95265143464229</v>
      </c>
      <c r="AM40" s="62">
        <f t="shared" si="5"/>
        <v>597.28598476797561</v>
      </c>
      <c r="AN40" s="62">
        <f ca="1">AVERAGE(OFFSET($AM$3,0,0,'Données projet'!$E$10+1,1))-AVERAGE(OFFSET($H$3,0,0,'Données projet'!$E$10+1,1))</f>
        <v>354.24684313982857</v>
      </c>
      <c r="AO40" s="62">
        <f t="shared" si="36"/>
        <v>322.65043486962185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4.1075245134807759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4.1075245134807759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10.8</v>
      </c>
      <c r="BD40" s="13">
        <f>IF('Données projet'!$A$88&gt;35,BD39+BC40-BL39,IF(A40&lt;'Données projet'!$A$88,$BA$205^A40,IF(A40='Données projet'!$A$88,'Données projet'!$B$88,BD39+BC40-BL39)))</f>
        <v>183.60000000000008</v>
      </c>
      <c r="BE40" s="14">
        <f>BD40*VLOOKUP('Données projet'!$B$11,Paramètres!$A$1:$I$89,3,0)*VLOOKUP('Données projet'!$B$11,Paramètres!$A$1:$I$89,5,0)</f>
        <v>174.71376000000009</v>
      </c>
      <c r="BF40" s="14">
        <f t="shared" si="37"/>
        <v>44.144062647515817</v>
      </c>
      <c r="BG40" s="22">
        <f t="shared" si="7"/>
        <v>381.17737444442355</v>
      </c>
      <c r="BH40" s="62">
        <f t="shared" si="8"/>
        <v>674.51070777775681</v>
      </c>
      <c r="BI40" s="62">
        <f ca="1">AVERAGE(OFFSET($BH$3,0,0,'Données projet'!$E$11+1,1))-AVERAGE(OFFSET($H$3,0,0,'Données projet'!$E$11+1,1))</f>
        <v>460.77543902152325</v>
      </c>
      <c r="BJ40" s="62">
        <f t="shared" si="38"/>
        <v>341.4342976721104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2.0869378832079479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2.0869378832079479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337.12</v>
      </c>
      <c r="BW40" s="13">
        <f>VLOOKUP(A40,'Données projet'!$A$113:$I$133,9,0)</f>
        <v>21.354000000000003</v>
      </c>
      <c r="BX40" s="13">
        <f t="array" ref="BX40">INDEX(BW:BW,MIN(IF(ISNUMBER(BW40:BW236),ROW(BW40:BW236),"")))</f>
        <v>21.354000000000003</v>
      </c>
      <c r="BY40" s="13">
        <f>IF('Données projet'!$A$114&gt;35,BY39+BX40-CG39,IF(A40&lt;'Données projet'!$A$114,$BV$205^A40,IF(A40='Données projet'!$A$114,'Données projet'!$B$114,BY39+BX40-CG39)))</f>
        <v>337.12</v>
      </c>
      <c r="BZ40" s="14">
        <f>BY40*VLOOKUP('Données projet'!$B$12,Paramètres!$A$1:$I$89,3,0)*VLOOKUP('Données projet'!$B$12,Paramètres!$A$1:$I$89,5,0)</f>
        <v>201.59775999999999</v>
      </c>
      <c r="CA40" s="14">
        <f t="shared" si="39"/>
        <v>50.095144235750958</v>
      </c>
      <c r="CB40" s="22">
        <f t="shared" si="10"/>
        <v>438.36514154393291</v>
      </c>
      <c r="CC40" s="62">
        <f t="shared" si="11"/>
        <v>731.69847487726622</v>
      </c>
      <c r="CD40" s="62">
        <f ca="1">AVERAGE(OFFSET($CC$3,0,0,'Données projet'!$E$12+1,1))-AVERAGE(OFFSET($H$3,0,0,'Données projet'!$E$12+1,1))</f>
        <v>438.68915237247444</v>
      </c>
      <c r="CE40" s="62">
        <f t="shared" si="40"/>
        <v>376.94419168335452</v>
      </c>
      <c r="CF40" s="16">
        <f>IF(ISNA(VLOOKUP(A40,'Données projet'!$A$113:$I$133,3,0)),0,VLOOKUP(A40,'Données projet'!$A$113:$I$133,3,0))</f>
        <v>4</v>
      </c>
      <c r="CG40" s="16">
        <f>IF(ISNA(VLOOKUP(A40,'Données projet'!$A$113:$I$133,4,0)),0,VLOOKUP(A40,'Données projet'!$A$113:$I$133,4,0))</f>
        <v>54.63</v>
      </c>
      <c r="CH40" s="17">
        <f>IF(ISNA(VLOOKUP(A40,'Données projet'!$A$113:$I$133,5,0)),0%,VLOOKUP(A40,'Données projet'!$A$113:$I$133,5,0)*VLOOKUP('Données projet'!$B$12,Paramètres!$A$1:$I$89,7,0))</f>
        <v>0.27</v>
      </c>
      <c r="CI40" s="17">
        <f>IF(ISNA(VLOOKUP(A40,'Données projet'!$A$113:$I$133,6,0)),0%,VLOOKUP(A40,'Données projet'!$A$113:$I$133,6,0)*VLOOKUP('Données projet'!$B$12,Paramètres!$A$1:$I$89,7,0))</f>
        <v>9.9000000000000005E-2</v>
      </c>
      <c r="CJ40" s="17">
        <f>IF(ISNA(VLOOKUP(A40,'Données projet'!$A$113:$I$133,7,0)),0%,VLOOKUP(A40,'Données projet'!$A$113:$I$133,7,0))</f>
        <v>0.18</v>
      </c>
      <c r="CK40" s="23">
        <f>EXP(-LN(2)/35)*CK39+(1-EXP(-LN(2)/35))/(LN(2)/35)*CG40*CH40*VLOOKUP('Données projet'!$B$12,Paramètres!$A$1:$I$89,3,0)*0.475*44/12</f>
        <v>30.531248189744446</v>
      </c>
      <c r="CL40" s="23">
        <f>EXP(-LN(2)/25)*CL39+(1-EXP(-LN(2)/25))/(LN(2)/25)*Calculateur!CG40*Calculateur!CI40*VLOOKUP('Données projet'!$B$12,Paramètres!$A$1:$I$89,3,0)*0.475*44/12</f>
        <v>17.444789332630315</v>
      </c>
      <c r="CM40" s="23">
        <f>EXP(-LN(2)/2)*CM39+(1-EXP(-LN(2)/2))/(LN(2)/2)*CG40*CJ40*VLOOKUP('Données projet'!$B$12,Paramètres!$A$1:$I$89,3,0)*0.475*44/12</f>
        <v>7.6461334266152985</v>
      </c>
      <c r="CN40" s="24">
        <f t="shared" si="12"/>
        <v>55.62217094899006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12.236000000000001</v>
      </c>
      <c r="CT40" s="13">
        <f>IF('Données projet'!$A$140&gt;35,CT39+CS40-DB39,IF(A40&lt;'Données projet'!$A$140,$CQ$205^A40,IF(A40='Données projet'!$A$140,'Données projet'!$B$140,CT39+CS40-DB39)))</f>
        <v>199.53199999999998</v>
      </c>
      <c r="CU40" s="18">
        <f>CT40*VLOOKUP('Données projet'!$B$13,Paramètres!$A$1:$I$89,3,0)*VLOOKUP('Données projet'!$B$13,Paramètres!$A$1:$I$89,5,0)</f>
        <v>93.380976000000004</v>
      </c>
      <c r="CV40" s="14">
        <f t="shared" si="41"/>
        <v>25.378876646653783</v>
      </c>
      <c r="CW40" s="22">
        <f t="shared" si="13"/>
        <v>206.840076692922</v>
      </c>
      <c r="CX40" s="62">
        <f t="shared" si="14"/>
        <v>500.17341002625528</v>
      </c>
      <c r="CY40" s="62">
        <f ca="1">AVERAGE(OFFSET($CX$3,0,0,'Données projet'!$E$13+1,1))-AVERAGE(OFFSET($H$3,0,0,'Données projet'!$E$13+1,1))</f>
        <v>302.06513069580848</v>
      </c>
      <c r="CZ40" s="62">
        <f t="shared" si="42"/>
        <v>164.1450425611464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3.887142857142857</v>
      </c>
      <c r="N41" s="14">
        <f>IF('Données projet'!$A$36&gt;35,N40+M41-V40,IF(A41&lt;'Données projet'!$A$36,$K$205^A41,IF(A41='Données projet'!$A$36,'Données projet'!$B$36,N40+M41-V40)))</f>
        <v>147.71142857142866</v>
      </c>
      <c r="O41" s="14">
        <f>N41*VLOOKUP('Données projet'!$B$9,Paramètres!$A$1:$I$89,3,0)*VLOOKUP('Données projet'!$B$9,Paramètres!$A$1:$I$89,5,0)</f>
        <v>133.64930057142865</v>
      </c>
      <c r="P41" s="14">
        <f t="shared" si="33"/>
        <v>34.8382420646657</v>
      </c>
      <c r="Q41" s="22">
        <f t="shared" si="53"/>
        <v>293.44913675786432</v>
      </c>
      <c r="R41" s="62">
        <f t="shared" si="0"/>
        <v>586.78247009119764</v>
      </c>
      <c r="S41" s="62">
        <f ca="1">AVERAGE(OFFSET($R$3,0,0,'Données projet'!$E$9+1,1))-AVERAGE(OFFSET($H$3,0,0,'Données projet'!$E$9+1,1))</f>
        <v>581.88778927327667</v>
      </c>
      <c r="T41" s="62">
        <f t="shared" si="34"/>
        <v>269.67340993773422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8.8000000000000007</v>
      </c>
      <c r="AI41" s="14">
        <f>IF('Données projet'!$A$62&gt;35,AI40+AH41-AQ40,IF(A41&lt;'Données projet'!$A$62,$AF$205^A41,IF(A41='Données projet'!$A$62,'Données projet'!$B$62,AI40+AH41-AQ40)))</f>
        <v>167.4</v>
      </c>
      <c r="AJ41" s="14">
        <f>AI41*VLOOKUP('Données projet'!$B$10,Paramètres!$A$1:$I$89,3,0)*VLOOKUP('Données projet'!$B$10,Paramètres!$A$1:$I$89,5,0)</f>
        <v>146.24064000000001</v>
      </c>
      <c r="AK41" s="14">
        <f t="shared" si="35"/>
        <v>37.722999642090628</v>
      </c>
      <c r="AL41" s="22">
        <f t="shared" si="4"/>
        <v>320.40333904330788</v>
      </c>
      <c r="AM41" s="62">
        <f t="shared" si="5"/>
        <v>613.7366723766412</v>
      </c>
      <c r="AN41" s="62">
        <f ca="1">AVERAGE(OFFSET($AM$3,0,0,'Données projet'!$E$10+1,1))-AVERAGE(OFFSET($H$3,0,0,'Données projet'!$E$10+1,1))</f>
        <v>354.24684313982857</v>
      </c>
      <c r="AO41" s="62">
        <f t="shared" si="36"/>
        <v>322.65043486962185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4.0269784631139887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4.0269784631139887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10.8</v>
      </c>
      <c r="BD41" s="13">
        <f>IF('Données projet'!$A$88&gt;35,BD40+BC41-BL40,IF(A41&lt;'Données projet'!$A$88,$BA$205^A41,IF(A41='Données projet'!$A$88,'Données projet'!$B$88,BD40+BC41-BL40)))</f>
        <v>194.40000000000009</v>
      </c>
      <c r="BE41" s="14">
        <f>BD41*VLOOKUP('Données projet'!$B$11,Paramètres!$A$1:$I$89,3,0)*VLOOKUP('Données projet'!$B$11,Paramètres!$A$1:$I$89,5,0)</f>
        <v>184.99104000000008</v>
      </c>
      <c r="BF41" s="14">
        <f t="shared" si="37"/>
        <v>46.430826882655687</v>
      </c>
      <c r="BG41" s="22">
        <f t="shared" si="7"/>
        <v>403.05975148729209</v>
      </c>
      <c r="BH41" s="62">
        <f t="shared" si="8"/>
        <v>696.3930848206254</v>
      </c>
      <c r="BI41" s="62">
        <f ca="1">AVERAGE(OFFSET($BH$3,0,0,'Données projet'!$E$11+1,1))-AVERAGE(OFFSET($H$3,0,0,'Données projet'!$E$11+1,1))</f>
        <v>460.77543902152325</v>
      </c>
      <c r="BJ41" s="62">
        <f t="shared" si="38"/>
        <v>341.4342976721104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2.0460143042246597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2.0460143042246597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20.177499999999995</v>
      </c>
      <c r="BY41" s="13">
        <f>IF('Données projet'!$A$114&gt;35,BY40+BX41-CG40,IF(A41&lt;'Données projet'!$A$114,$BV$205^A41,IF(A41='Données projet'!$A$114,'Données projet'!$B$114,BY40+BX41-CG40)))</f>
        <v>302.66750000000002</v>
      </c>
      <c r="BZ41" s="14">
        <f>BY41*VLOOKUP('Données projet'!$B$12,Paramètres!$A$1:$I$89,3,0)*VLOOKUP('Données projet'!$B$12,Paramètres!$A$1:$I$89,5,0)</f>
        <v>180.99516500000004</v>
      </c>
      <c r="CA41" s="14">
        <f t="shared" si="39"/>
        <v>45.543520948610201</v>
      </c>
      <c r="CB41" s="22">
        <f t="shared" si="10"/>
        <v>394.55487802716283</v>
      </c>
      <c r="CC41" s="62">
        <f t="shared" si="11"/>
        <v>687.88821136049614</v>
      </c>
      <c r="CD41" s="62">
        <f ca="1">AVERAGE(OFFSET($CC$3,0,0,'Données projet'!$E$12+1,1))-AVERAGE(OFFSET($H$3,0,0,'Données projet'!$E$12+1,1))</f>
        <v>438.68915237247444</v>
      </c>
      <c r="CE41" s="62">
        <f t="shared" si="40"/>
        <v>376.94419168335452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29.932549034966161</v>
      </c>
      <c r="CL41" s="23">
        <f>EXP(-LN(2)/25)*CL40+(1-EXP(-LN(2)/25))/(LN(2)/25)*Calculateur!CG41*Calculateur!CI41*VLOOKUP('Données projet'!$B$12,Paramètres!$A$1:$I$89,3,0)*0.475*44/12</f>
        <v>16.967760650947938</v>
      </c>
      <c r="CM41" s="23">
        <f>EXP(-LN(2)/2)*CM40+(1-EXP(-LN(2)/2))/(LN(2)/2)*CG41*CJ41*VLOOKUP('Données projet'!$B$12,Paramètres!$A$1:$I$89,3,0)*0.475*44/12</f>
        <v>5.4066327958168108</v>
      </c>
      <c r="CN41" s="24">
        <f t="shared" si="12"/>
        <v>52.306942481730907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12.236000000000001</v>
      </c>
      <c r="CT41" s="13">
        <f>IF('Données projet'!$A$140&gt;35,CT40+CS41-DB40,IF(A41&lt;'Données projet'!$A$140,$CQ$205^A41,IF(A41='Données projet'!$A$140,'Données projet'!$B$140,CT40+CS41-DB40)))</f>
        <v>211.76799999999997</v>
      </c>
      <c r="CU41" s="18">
        <f>CT41*VLOOKUP('Données projet'!$B$13,Paramètres!$A$1:$I$89,3,0)*VLOOKUP('Données projet'!$B$13,Paramètres!$A$1:$I$89,5,0)</f>
        <v>99.10742399999998</v>
      </c>
      <c r="CV41" s="14">
        <f t="shared" si="41"/>
        <v>26.749242791913794</v>
      </c>
      <c r="CW41" s="22">
        <f t="shared" si="13"/>
        <v>219.20036132924983</v>
      </c>
      <c r="CX41" s="62">
        <f t="shared" si="14"/>
        <v>512.53369466258312</v>
      </c>
      <c r="CY41" s="62">
        <f ca="1">AVERAGE(OFFSET($CX$3,0,0,'Données projet'!$E$13+1,1))-AVERAGE(OFFSET($H$3,0,0,'Données projet'!$E$13+1,1))</f>
        <v>302.06513069580848</v>
      </c>
      <c r="CZ41" s="62">
        <f t="shared" si="42"/>
        <v>164.1450425611464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3.887142857142857</v>
      </c>
      <c r="N42" s="14">
        <f>IF('Données projet'!$A$36&gt;35,N41+M42-V41,IF(A42&lt;'Données projet'!$A$36,$K$205^A42,IF(A42='Données projet'!$A$36,'Données projet'!$B$36,N41+M42-V41)))</f>
        <v>151.59857142857152</v>
      </c>
      <c r="O42" s="14">
        <f>N42*VLOOKUP('Données projet'!$B$9,Paramètres!$A$1:$I$89,3,0)*VLOOKUP('Données projet'!$B$9,Paramètres!$A$1:$I$89,5,0)</f>
        <v>137.16638742857151</v>
      </c>
      <c r="P42" s="14">
        <f t="shared" si="33"/>
        <v>35.647094153273272</v>
      </c>
      <c r="Q42" s="22">
        <f t="shared" si="53"/>
        <v>300.98348042171295</v>
      </c>
      <c r="R42" s="62">
        <f t="shared" si="0"/>
        <v>594.31681375504627</v>
      </c>
      <c r="S42" s="62">
        <f ca="1">AVERAGE(OFFSET($R$3,0,0,'Données projet'!$E$9+1,1))-AVERAGE(OFFSET($H$3,0,0,'Données projet'!$E$9+1,1))</f>
        <v>581.88778927327667</v>
      </c>
      <c r="T42" s="62">
        <f t="shared" si="34"/>
        <v>269.67340993773422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8.8000000000000007</v>
      </c>
      <c r="AI42" s="14">
        <f>IF('Données projet'!$A$62&gt;35,AI41+AH42-AQ41,IF(A42&lt;'Données projet'!$A$62,$AF$205^A42,IF(A42='Données projet'!$A$62,'Données projet'!$B$62,AI41+AH42-AQ41)))</f>
        <v>176.20000000000002</v>
      </c>
      <c r="AJ42" s="14">
        <f>AI42*VLOOKUP('Données projet'!$B$10,Paramètres!$A$1:$I$89,3,0)*VLOOKUP('Données projet'!$B$10,Paramètres!$A$1:$I$89,5,0)</f>
        <v>153.92832000000004</v>
      </c>
      <c r="AK42" s="14">
        <f t="shared" si="35"/>
        <v>39.469962836517794</v>
      </c>
      <c r="AL42" s="22">
        <f t="shared" si="4"/>
        <v>336.83534260693523</v>
      </c>
      <c r="AM42" s="62">
        <f t="shared" si="5"/>
        <v>630.16867594026849</v>
      </c>
      <c r="AN42" s="62">
        <f ca="1">AVERAGE(OFFSET($AM$3,0,0,'Données projet'!$E$10+1,1))-AVERAGE(OFFSET($H$3,0,0,'Données projet'!$E$10+1,1))</f>
        <v>354.24684313982857</v>
      </c>
      <c r="AO42" s="62">
        <f t="shared" si="36"/>
        <v>322.65043486962185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3.948011871666655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3.948011871666655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10.8</v>
      </c>
      <c r="BD42" s="13">
        <f>IF('Données projet'!$A$88&gt;35,BD41+BC42-BL41,IF(A42&lt;'Données projet'!$A$88,$BA$205^A42,IF(A42='Données projet'!$A$88,'Données projet'!$B$88,BD41+BC42-BL41)))</f>
        <v>205.2000000000001</v>
      </c>
      <c r="BE42" s="14">
        <f>BD42*VLOOKUP('Données projet'!$B$11,Paramètres!$A$1:$I$89,3,0)*VLOOKUP('Données projet'!$B$11,Paramètres!$A$1:$I$89,5,0)</f>
        <v>195.2683200000001</v>
      </c>
      <c r="BF42" s="14">
        <f t="shared" si="37"/>
        <v>48.702843078505545</v>
      </c>
      <c r="BG42" s="22">
        <f t="shared" si="7"/>
        <v>424.91644236173062</v>
      </c>
      <c r="BH42" s="62">
        <f t="shared" si="8"/>
        <v>718.24977569506393</v>
      </c>
      <c r="BI42" s="62">
        <f ca="1">AVERAGE(OFFSET($BH$3,0,0,'Données projet'!$E$11+1,1))-AVERAGE(OFFSET($H$3,0,0,'Données projet'!$E$11+1,1))</f>
        <v>460.77543902152325</v>
      </c>
      <c r="BJ42" s="62">
        <f t="shared" si="38"/>
        <v>341.4342976721104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2.0058932116643153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2.0058932116643153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20.177499999999995</v>
      </c>
      <c r="BY42" s="13">
        <f>IF('Données projet'!$A$114&gt;35,BY41+BX42-CG41,IF(A42&lt;'Données projet'!$A$114,$BV$205^A42,IF(A42='Données projet'!$A$114,'Données projet'!$B$114,BY41+BX42-CG41)))</f>
        <v>322.84500000000003</v>
      </c>
      <c r="BZ42" s="14">
        <f>BY42*VLOOKUP('Données projet'!$B$12,Paramètres!$A$1:$I$89,3,0)*VLOOKUP('Données projet'!$B$12,Paramètres!$A$1:$I$89,5,0)</f>
        <v>193.06131000000005</v>
      </c>
      <c r="CA42" s="14">
        <f t="shared" si="39"/>
        <v>48.21613413489726</v>
      </c>
      <c r="CB42" s="22">
        <f t="shared" si="10"/>
        <v>420.22488186827945</v>
      </c>
      <c r="CC42" s="62">
        <f t="shared" si="11"/>
        <v>713.55821520161271</v>
      </c>
      <c r="CD42" s="62">
        <f ca="1">AVERAGE(OFFSET($CC$3,0,0,'Données projet'!$E$12+1,1))-AVERAGE(OFFSET($H$3,0,0,'Données projet'!$E$12+1,1))</f>
        <v>438.68915237247444</v>
      </c>
      <c r="CE42" s="62">
        <f t="shared" si="40"/>
        <v>376.94419168335452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29.345590005442652</v>
      </c>
      <c r="CL42" s="23">
        <f>EXP(-LN(2)/25)*CL41+(1-EXP(-LN(2)/25))/(LN(2)/25)*Calculateur!CG42*Calculateur!CI42*VLOOKUP('Données projet'!$B$12,Paramètres!$A$1:$I$89,3,0)*0.475*44/12</f>
        <v>16.503776343652014</v>
      </c>
      <c r="CM42" s="23">
        <f>EXP(-LN(2)/2)*CM41+(1-EXP(-LN(2)/2))/(LN(2)/2)*CG42*CJ42*VLOOKUP('Données projet'!$B$12,Paramètres!$A$1:$I$89,3,0)*0.475*44/12</f>
        <v>3.8230667133076497</v>
      </c>
      <c r="CN42" s="24">
        <f t="shared" si="12"/>
        <v>49.672433062402312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12.236000000000001</v>
      </c>
      <c r="CT42" s="13">
        <f>IF('Données projet'!$A$140&gt;35,CT41+CS42-DB41,IF(A42&lt;'Données projet'!$A$140,$CQ$205^A42,IF(A42='Données projet'!$A$140,'Données projet'!$B$140,CT41+CS42-DB41)))</f>
        <v>224.00399999999996</v>
      </c>
      <c r="CU42" s="18">
        <f>CT42*VLOOKUP('Données projet'!$B$13,Paramètres!$A$1:$I$89,3,0)*VLOOKUP('Données projet'!$B$13,Paramètres!$A$1:$I$89,5,0)</f>
        <v>104.83387199999999</v>
      </c>
      <c r="CV42" s="14">
        <f t="shared" si="41"/>
        <v>28.11041790591522</v>
      </c>
      <c r="CW42" s="22">
        <f t="shared" si="13"/>
        <v>231.54463825280232</v>
      </c>
      <c r="CX42" s="62">
        <f t="shared" si="14"/>
        <v>524.87797158613557</v>
      </c>
      <c r="CY42" s="62">
        <f ca="1">AVERAGE(OFFSET($CX$3,0,0,'Données projet'!$E$13+1,1))-AVERAGE(OFFSET($H$3,0,0,'Données projet'!$E$13+1,1))</f>
        <v>302.06513069580848</v>
      </c>
      <c r="CZ42" s="62">
        <f t="shared" si="42"/>
        <v>164.1450425611464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3.887142857142857</v>
      </c>
      <c r="N43" s="14">
        <f>IF('Données projet'!$A$36&gt;35,N42+M43-V42,IF(A43&lt;'Données projet'!$A$36,$K$205^A43,IF(A43='Données projet'!$A$36,'Données projet'!$B$36,N42+M43-V42)))</f>
        <v>155.48571428571438</v>
      </c>
      <c r="O43" s="14">
        <f>N43*VLOOKUP('Données projet'!$B$9,Paramètres!$A$1:$I$89,3,0)*VLOOKUP('Données projet'!$B$9,Paramètres!$A$1:$I$89,5,0)</f>
        <v>140.68347428571437</v>
      </c>
      <c r="P43" s="14">
        <f t="shared" si="33"/>
        <v>36.453535449340755</v>
      </c>
      <c r="Q43" s="22">
        <f t="shared" si="53"/>
        <v>308.51362528855435</v>
      </c>
      <c r="R43" s="62">
        <f t="shared" si="0"/>
        <v>601.84695862188767</v>
      </c>
      <c r="S43" s="62">
        <f ca="1">AVERAGE(OFFSET($R$3,0,0,'Données projet'!$E$9+1,1))-AVERAGE(OFFSET($H$3,0,0,'Données projet'!$E$9+1,1))</f>
        <v>581.88778927327667</v>
      </c>
      <c r="T43" s="62">
        <f t="shared" si="34"/>
        <v>269.67340993773422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185</v>
      </c>
      <c r="AG43" s="13">
        <f>VLOOKUP(A43,'Données projet'!$A$61:$I$81,9,0)</f>
        <v>8.8000000000000007</v>
      </c>
      <c r="AH43" s="13">
        <f t="array" ref="AH43">INDEX(AG:AG,MIN(IF(ISNUMBER(AG43:AG239),ROW(AG43:AG239),"")))</f>
        <v>8.8000000000000007</v>
      </c>
      <c r="AI43" s="14">
        <f>IF('Données projet'!$A$62&gt;35,AI42+AH43-AQ42,IF(A43&lt;'Données projet'!$A$62,$AF$205^A43,IF(A43='Données projet'!$A$62,'Données projet'!$B$62,AI42+AH43-AQ42)))</f>
        <v>185.00000000000003</v>
      </c>
      <c r="AJ43" s="14">
        <f>AI43*VLOOKUP('Données projet'!$B$10,Paramètres!$A$1:$I$89,3,0)*VLOOKUP('Données projet'!$B$10,Paramètres!$A$1:$I$89,5,0)</f>
        <v>161.61600000000004</v>
      </c>
      <c r="AK43" s="14">
        <f t="shared" si="35"/>
        <v>41.20679526204917</v>
      </c>
      <c r="AL43" s="22">
        <f t="shared" si="4"/>
        <v>353.24970174806907</v>
      </c>
      <c r="AM43" s="62">
        <f t="shared" si="5"/>
        <v>646.58303508140239</v>
      </c>
      <c r="AN43" s="62">
        <f ca="1">AVERAGE(OFFSET($AM$3,0,0,'Données projet'!$E$10+1,1))-AVERAGE(OFFSET($H$3,0,0,'Données projet'!$E$10+1,1))</f>
        <v>354.24684313982857</v>
      </c>
      <c r="AO43" s="62">
        <f t="shared" si="36"/>
        <v>322.65043486962185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27</v>
      </c>
      <c r="AR43" s="17">
        <f>IF(ISNA(VLOOKUP(A43,'Données projet'!$A$61:$I$81,5,0)),0%,VLOOKUP(A43,'Données projet'!$A$61:$I$81,5,0)*VLOOKUP('Données projet'!$B$10,Paramètres!$A$1:$I$89,7,0))</f>
        <v>0.129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7.234262437672168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7.234262437672168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216</v>
      </c>
      <c r="BB43" s="13">
        <f>VLOOKUP(A43,'Données projet'!$A$87:$I$107,9,0)</f>
        <v>10.8</v>
      </c>
      <c r="BC43" s="13">
        <f t="array" ref="BC43">INDEX(BB:BB,MIN(IF(ISNUMBER(BB43:BB239),ROW(BB43:BB239),"")))</f>
        <v>10.8</v>
      </c>
      <c r="BD43" s="13">
        <f>IF('Données projet'!$A$88&gt;35,BD42+BC43-BL42,IF(A43&lt;'Données projet'!$A$88,$BA$205^A43,IF(A43='Données projet'!$A$88,'Données projet'!$B$88,BD42+BC43-BL42)))</f>
        <v>216.00000000000011</v>
      </c>
      <c r="BE43" s="14">
        <f>BD43*VLOOKUP('Données projet'!$B$11,Paramètres!$A$1:$I$89,3,0)*VLOOKUP('Données projet'!$B$11,Paramètres!$A$1:$I$89,5,0)</f>
        <v>205.54560000000012</v>
      </c>
      <c r="BF43" s="14">
        <f t="shared" si="37"/>
        <v>50.960975968608146</v>
      </c>
      <c r="BG43" s="22">
        <f t="shared" si="7"/>
        <v>446.74895314532608</v>
      </c>
      <c r="BH43" s="62">
        <f t="shared" si="8"/>
        <v>740.0822864786594</v>
      </c>
      <c r="BI43" s="62">
        <f ca="1">AVERAGE(OFFSET($BH$3,0,0,'Données projet'!$E$11+1,1))-AVERAGE(OFFSET($H$3,0,0,'Données projet'!$E$11+1,1))</f>
        <v>460.77543902152325</v>
      </c>
      <c r="BJ43" s="62">
        <f t="shared" si="38"/>
        <v>341.4342976721104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27</v>
      </c>
      <c r="BM43" s="17">
        <f>IF(ISNA(VLOOKUP(A43,'Données projet'!$A$87:$I$107,5,0)),0%,VLOOKUP(A43,'Données projet'!$A$87:$I$107,5,0)*VLOOKUP('Données projet'!$B$11,Paramètres!$A$1:$I$89,7,0))</f>
        <v>8.6000000000000007E-2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4.4092230230234044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4.4092230230234044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20.177499999999995</v>
      </c>
      <c r="BY43" s="13">
        <f>IF('Données projet'!$A$114&gt;35,BY42+BX43-CG42,IF(A43&lt;'Données projet'!$A$114,$BV$205^A43,IF(A43='Données projet'!$A$114,'Données projet'!$B$114,BY42+BX43-CG42)))</f>
        <v>343.02250000000004</v>
      </c>
      <c r="BZ43" s="14">
        <f>BY43*VLOOKUP('Données projet'!$B$12,Paramètres!$A$1:$I$89,3,0)*VLOOKUP('Données projet'!$B$12,Paramètres!$A$1:$I$89,5,0)</f>
        <v>205.12745500000003</v>
      </c>
      <c r="CA43" s="14">
        <f t="shared" si="39"/>
        <v>50.869361593718011</v>
      </c>
      <c r="CB43" s="22">
        <f t="shared" si="10"/>
        <v>445.86112223405894</v>
      </c>
      <c r="CC43" s="62">
        <f t="shared" si="11"/>
        <v>739.1944555673922</v>
      </c>
      <c r="CD43" s="62">
        <f ca="1">AVERAGE(OFFSET($CC$3,0,0,'Données projet'!$E$12+1,1))-AVERAGE(OFFSET($H$3,0,0,'Données projet'!$E$12+1,1))</f>
        <v>438.68915237247444</v>
      </c>
      <c r="CE43" s="62">
        <f t="shared" si="40"/>
        <v>376.94419168335452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28.77014088447844</v>
      </c>
      <c r="CL43" s="23">
        <f>EXP(-LN(2)/25)*CL42+(1-EXP(-LN(2)/25))/(LN(2)/25)*Calculateur!CG43*Calculateur!CI43*VLOOKUP('Données projet'!$B$12,Paramètres!$A$1:$I$89,3,0)*0.475*44/12</f>
        <v>16.05247971163897</v>
      </c>
      <c r="CM43" s="23">
        <f>EXP(-LN(2)/2)*CM42+(1-EXP(-LN(2)/2))/(LN(2)/2)*CG43*CJ43*VLOOKUP('Données projet'!$B$12,Paramètres!$A$1:$I$89,3,0)*0.475*44/12</f>
        <v>2.7033163979084058</v>
      </c>
      <c r="CN43" s="24">
        <f t="shared" si="12"/>
        <v>47.525936994025813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236.24</v>
      </c>
      <c r="CR43" s="13">
        <f>VLOOKUP(A43,'Données projet'!$A$139:$I$159,9,0)</f>
        <v>12.236000000000001</v>
      </c>
      <c r="CS43" s="13">
        <f t="array" ref="CS43">INDEX(CR:CR,MIN(IF(ISNUMBER(CR43:CR239),ROW(CR43:CR239),"")))</f>
        <v>12.236000000000001</v>
      </c>
      <c r="CT43" s="13">
        <f>IF('Données projet'!$A$140&gt;35,CT42+CS43-DB42,IF(A43&lt;'Données projet'!$A$140,$CQ$205^A43,IF(A43='Données projet'!$A$140,'Données projet'!$B$140,CT42+CS43-DB42)))</f>
        <v>236.23999999999995</v>
      </c>
      <c r="CU43" s="18">
        <f>CT43*VLOOKUP('Données projet'!$B$13,Paramètres!$A$1:$I$89,3,0)*VLOOKUP('Données projet'!$B$13,Paramètres!$A$1:$I$89,5,0)</f>
        <v>110.56031999999998</v>
      </c>
      <c r="CV43" s="14">
        <f t="shared" si="41"/>
        <v>29.462961271460717</v>
      </c>
      <c r="CW43" s="22">
        <f t="shared" si="13"/>
        <v>243.87388154779401</v>
      </c>
      <c r="CX43" s="62">
        <f t="shared" si="14"/>
        <v>537.20721488112736</v>
      </c>
      <c r="CY43" s="62">
        <f ca="1">AVERAGE(OFFSET($CX$3,0,0,'Données projet'!$E$13+1,1))-AVERAGE(OFFSET($H$3,0,0,'Données projet'!$E$13+1,1))</f>
        <v>302.06513069580848</v>
      </c>
      <c r="CZ43" s="62">
        <f t="shared" si="42"/>
        <v>164.1450425611464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3.887142857142857</v>
      </c>
      <c r="N44" s="14">
        <f>IF('Données projet'!$A$36&gt;35,N43+M44-V43,IF(A44&lt;'Données projet'!$A$36,$K$205^A44,IF(A44='Données projet'!$A$36,'Données projet'!$B$36,N43+M44-V43)))</f>
        <v>159.37285714285724</v>
      </c>
      <c r="O44" s="14">
        <f>N44*VLOOKUP('Données projet'!$B$9,Paramètres!$A$1:$I$89,3,0)*VLOOKUP('Données projet'!$B$9,Paramètres!$A$1:$I$89,5,0)</f>
        <v>144.20056114285723</v>
      </c>
      <c r="P44" s="14">
        <f t="shared" si="33"/>
        <v>37.257633154444321</v>
      </c>
      <c r="Q44" s="22">
        <f t="shared" si="53"/>
        <v>316.03968840113345</v>
      </c>
      <c r="R44" s="62">
        <f t="shared" si="0"/>
        <v>609.37302173446676</v>
      </c>
      <c r="S44" s="62">
        <f ca="1">AVERAGE(OFFSET($R$3,0,0,'Données projet'!$E$9+1,1))-AVERAGE(OFFSET($H$3,0,0,'Données projet'!$E$9+1,1))</f>
        <v>581.88778927327667</v>
      </c>
      <c r="T44" s="62">
        <f t="shared" si="34"/>
        <v>269.67340993773422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</v>
      </c>
      <c r="AI44" s="14">
        <f>IF('Données projet'!$A$62&gt;35,AI43+AH44-AQ43,IF(A44&lt;'Données projet'!$A$62,$AF$205^A44,IF(A44='Données projet'!$A$62,'Données projet'!$B$62,AI43+AH44-AQ43)))</f>
        <v>166.00000000000003</v>
      </c>
      <c r="AJ44" s="14">
        <f>AI44*VLOOKUP('Données projet'!$B$10,Paramètres!$A$1:$I$89,3,0)*VLOOKUP('Données projet'!$B$10,Paramètres!$A$1:$I$89,5,0)</f>
        <v>145.01760000000004</v>
      </c>
      <c r="AK44" s="14">
        <f t="shared" si="35"/>
        <v>37.444100932065233</v>
      </c>
      <c r="AL44" s="22">
        <f t="shared" si="4"/>
        <v>317.78746245668032</v>
      </c>
      <c r="AM44" s="62">
        <f t="shared" si="5"/>
        <v>611.12079579001363</v>
      </c>
      <c r="AN44" s="62">
        <f ca="1">AVERAGE(OFFSET($AM$3,0,0,'Données projet'!$E$10+1,1))-AVERAGE(OFFSET($H$3,0,0,'Données projet'!$E$10+1,1))</f>
        <v>354.24684313982857</v>
      </c>
      <c r="AO44" s="62">
        <f t="shared" si="36"/>
        <v>322.65043486962185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7.0924029637338091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7.0924029637338091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9.4</v>
      </c>
      <c r="BD44" s="13">
        <f>IF('Données projet'!$A$88&gt;35,BD43+BC44-BL43,IF(A44&lt;'Données projet'!$A$88,$BA$205^A44,IF(A44='Données projet'!$A$88,'Données projet'!$B$88,BD43+BC44-BL43)))</f>
        <v>198.40000000000012</v>
      </c>
      <c r="BE44" s="14">
        <f>BD44*VLOOKUP('Données projet'!$B$11,Paramètres!$A$1:$I$89,3,0)*VLOOKUP('Données projet'!$B$11,Paramètres!$A$1:$I$89,5,0)</f>
        <v>188.79744000000011</v>
      </c>
      <c r="BF44" s="14">
        <f t="shared" si="37"/>
        <v>47.27398574167259</v>
      </c>
      <c r="BG44" s="22">
        <f t="shared" si="7"/>
        <v>411.1577331667466</v>
      </c>
      <c r="BH44" s="62">
        <f t="shared" si="8"/>
        <v>704.49106650007991</v>
      </c>
      <c r="BI44" s="62">
        <f ca="1">AVERAGE(OFFSET($BH$3,0,0,'Données projet'!$E$11+1,1))-AVERAGE(OFFSET($H$3,0,0,'Données projet'!$E$11+1,1))</f>
        <v>460.77543902152325</v>
      </c>
      <c r="BJ44" s="62">
        <f t="shared" si="38"/>
        <v>341.4342976721104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4.3227608489024076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4.3227608489024076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>
        <f>VLOOKUP(A44,'Données projet'!$A$113:$I$133,2,0)</f>
        <v>363.2</v>
      </c>
      <c r="BW44" s="13">
        <f>VLOOKUP(A44,'Données projet'!$A$113:$I$133,9,0)</f>
        <v>20.177499999999995</v>
      </c>
      <c r="BX44" s="13">
        <f t="array" ref="BX44">INDEX(BW:BW,MIN(IF(ISNUMBER(BW44:BW240),ROW(BW44:BW240),"")))</f>
        <v>20.177499999999995</v>
      </c>
      <c r="BY44" s="13">
        <f>IF('Données projet'!$A$114&gt;35,BY43+BX44-CG43,IF(A44&lt;'Données projet'!$A$114,$BV$205^A44,IF(A44='Données projet'!$A$114,'Données projet'!$B$114,BY43+BX44-CG43)))</f>
        <v>363.20000000000005</v>
      </c>
      <c r="BZ44" s="14">
        <f>BY44*VLOOKUP('Données projet'!$B$12,Paramètres!$A$1:$I$89,3,0)*VLOOKUP('Données projet'!$B$12,Paramètres!$A$1:$I$89,5,0)</f>
        <v>217.19360000000006</v>
      </c>
      <c r="CA44" s="14">
        <f t="shared" si="39"/>
        <v>53.504473537536725</v>
      </c>
      <c r="CB44" s="22">
        <f t="shared" si="10"/>
        <v>471.46581141120987</v>
      </c>
      <c r="CC44" s="62">
        <f t="shared" si="11"/>
        <v>764.79914474454313</v>
      </c>
      <c r="CD44" s="62">
        <f ca="1">AVERAGE(OFFSET($CC$3,0,0,'Données projet'!$E$12+1,1))-AVERAGE(OFFSET($H$3,0,0,'Données projet'!$E$12+1,1))</f>
        <v>438.68915237247444</v>
      </c>
      <c r="CE44" s="62">
        <f t="shared" si="40"/>
        <v>376.94419168335452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0.315</v>
      </c>
      <c r="CI44" s="17">
        <f>IF(ISNA(VLOOKUP(A44,'Données projet'!$A$113:$I$133,6,0)),0%,VLOOKUP(A44,'Données projet'!$A$113:$I$133,6,0)*VLOOKUP('Données projet'!$B$12,Paramètres!$A$1:$I$89,7,0))</f>
        <v>7.6500000000000012E-2</v>
      </c>
      <c r="CJ44" s="17">
        <f>IF(ISNA(VLOOKUP(A44,'Données projet'!$A$113:$I$133,7,0)),0%,VLOOKUP(A44,'Données projet'!$A$113:$I$133,7,0))</f>
        <v>0.13</v>
      </c>
      <c r="CK44" s="23">
        <f>EXP(-LN(2)/35)*CK43+(1-EXP(-LN(2)/35))/(LN(2)/35)*CG44*CH44*VLOOKUP('Données projet'!$B$12,Paramètres!$A$1:$I$89,3,0)*0.475*44/12</f>
        <v>28.20597596978703</v>
      </c>
      <c r="CL44" s="23">
        <f>EXP(-LN(2)/25)*CL43+(1-EXP(-LN(2)/25))/(LN(2)/25)*Calculateur!CG44*Calculateur!CI44*VLOOKUP('Données projet'!$B$12,Paramètres!$A$1:$I$89,3,0)*0.475*44/12</f>
        <v>15.613523809760983</v>
      </c>
      <c r="CM44" s="23">
        <f>EXP(-LN(2)/2)*CM43+(1-EXP(-LN(2)/2))/(LN(2)/2)*CG44*CJ44*VLOOKUP('Données projet'!$B$12,Paramètres!$A$1:$I$89,3,0)*0.475*44/12</f>
        <v>1.9115333566538251</v>
      </c>
      <c r="CN44" s="24">
        <f t="shared" si="12"/>
        <v>45.731033136201837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13.453999999999997</v>
      </c>
      <c r="CT44" s="13">
        <f>IF('Données projet'!$A$140&gt;35,CT43+CS44-DB43,IF(A44&lt;'Données projet'!$A$140,$CQ$205^A44,IF(A44='Données projet'!$A$140,'Données projet'!$B$140,CT43+CS44-DB43)))</f>
        <v>249.69399999999996</v>
      </c>
      <c r="CU44" s="18">
        <f>CT44*VLOOKUP('Données projet'!$B$13,Paramètres!$A$1:$I$89,3,0)*VLOOKUP('Données projet'!$B$13,Paramètres!$A$1:$I$89,5,0)</f>
        <v>116.85679199999997</v>
      </c>
      <c r="CV44" s="14">
        <f t="shared" si="41"/>
        <v>30.94076901730454</v>
      </c>
      <c r="CW44" s="22">
        <f t="shared" si="13"/>
        <v>257.414085438472</v>
      </c>
      <c r="CX44" s="62">
        <f t="shared" si="14"/>
        <v>550.74741877180531</v>
      </c>
      <c r="CY44" s="62">
        <f ca="1">AVERAGE(OFFSET($CX$3,0,0,'Données projet'!$E$13+1,1))-AVERAGE(OFFSET($H$3,0,0,'Données projet'!$E$13+1,1))</f>
        <v>302.06513069580848</v>
      </c>
      <c r="CZ44" s="62">
        <f t="shared" si="42"/>
        <v>164.1450425611464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163.26</v>
      </c>
      <c r="L45" s="13">
        <f>VLOOKUP(A45,'Données projet'!$A$35:$I$55,9,0)</f>
        <v>3.887142857142857</v>
      </c>
      <c r="M45" s="13">
        <f t="array" ref="M45">INDEX(L:L,MIN(IF(ISNUMBER(L45:L241),ROW(L45:L241),"")))</f>
        <v>3.887142857142857</v>
      </c>
      <c r="N45" s="14">
        <f>IF('Données projet'!$A$36&gt;35,N44+M45-V44,IF(A45&lt;'Données projet'!$A$36,$K$205^A45,IF(A45='Données projet'!$A$36,'Données projet'!$B$36,N44+M45-V44)))</f>
        <v>163.2600000000001</v>
      </c>
      <c r="O45" s="14">
        <f>N45*VLOOKUP('Données projet'!$B$9,Paramètres!$A$1:$I$89,3,0)*VLOOKUP('Données projet'!$B$9,Paramètres!$A$1:$I$89,5,0)</f>
        <v>147.71764800000008</v>
      </c>
      <c r="P45" s="14">
        <f t="shared" si="33"/>
        <v>38.059451005131997</v>
      </c>
      <c r="Q45" s="22">
        <f t="shared" si="53"/>
        <v>323.56178076727167</v>
      </c>
      <c r="R45" s="62">
        <f t="shared" si="0"/>
        <v>616.89511410060504</v>
      </c>
      <c r="S45" s="62">
        <f ca="1">AVERAGE(OFFSET($R$3,0,0,'Données projet'!$E$9+1,1))-AVERAGE(OFFSET($H$3,0,0,'Données projet'!$E$9+1,1))</f>
        <v>581.88778927327667</v>
      </c>
      <c r="T45" s="62">
        <f t="shared" si="34"/>
        <v>269.67340993773422</v>
      </c>
      <c r="U45" s="16">
        <f>IF(ISNA(VLOOKUP(A45,'Données projet'!$A$35:$I$55,3,0)),0,VLOOKUP(A45,'Données projet'!$A$35:$I$55,3,0))</f>
        <v>1</v>
      </c>
      <c r="V45" s="16">
        <f>IF(ISNA(VLOOKUP(A45,'Données projet'!$A$35:$I$55,4,0)),0,VLOOKUP(A45,'Données projet'!$A$35:$I$55,4,0))</f>
        <v>43.21</v>
      </c>
      <c r="W45" s="17">
        <f>IF(ISNA(VLOOKUP(A45,'Données projet'!$A$35:$I$55,5,0)),0%,VLOOKUP(A45,'Données projet'!$A$35:$I$55,5,0)*VLOOKUP('Données projet'!$B$9,Paramètres!$A$1:$I$89,7,0))</f>
        <v>8.6000000000000007E-2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3.7169132051516152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3.7169132051516152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</v>
      </c>
      <c r="AI45" s="14">
        <f>IF('Données projet'!$A$62&gt;35,AI44+AH45-AQ44,IF(A45&lt;'Données projet'!$A$62,$AF$205^A45,IF(A45='Données projet'!$A$62,'Données projet'!$B$62,AI44+AH45-AQ44)))</f>
        <v>174.00000000000003</v>
      </c>
      <c r="AJ45" s="14">
        <f>AI45*VLOOKUP('Données projet'!$B$10,Paramètres!$A$1:$I$89,3,0)*VLOOKUP('Données projet'!$B$10,Paramètres!$A$1:$I$89,5,0)</f>
        <v>152.00640000000004</v>
      </c>
      <c r="AK45" s="14">
        <f t="shared" si="35"/>
        <v>39.034194016561486</v>
      </c>
      <c r="AL45" s="22">
        <f t="shared" si="4"/>
        <v>332.72903457884462</v>
      </c>
      <c r="AM45" s="62">
        <f t="shared" si="5"/>
        <v>626.06236791217793</v>
      </c>
      <c r="AN45" s="62">
        <f ca="1">AVERAGE(OFFSET($AM$3,0,0,'Données projet'!$E$10+1,1))-AVERAGE(OFFSET($H$3,0,0,'Données projet'!$E$10+1,1))</f>
        <v>354.24684313982857</v>
      </c>
      <c r="AO45" s="62">
        <f t="shared" si="36"/>
        <v>322.65043486962185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6.9533252675536463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6.9533252675536463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9.4</v>
      </c>
      <c r="BD45" s="13">
        <f>IF('Données projet'!$A$88&gt;35,BD44+BC45-BL44,IF(A45&lt;'Données projet'!$A$88,$BA$205^A45,IF(A45='Données projet'!$A$88,'Données projet'!$B$88,BD44+BC45-BL44)))</f>
        <v>207.80000000000013</v>
      </c>
      <c r="BE45" s="14">
        <f>BD45*VLOOKUP('Données projet'!$B$11,Paramètres!$A$1:$I$89,3,0)*VLOOKUP('Données projet'!$B$11,Paramètres!$A$1:$I$89,5,0)</f>
        <v>197.74248000000011</v>
      </c>
      <c r="BF45" s="14">
        <f t="shared" si="37"/>
        <v>49.247705850607382</v>
      </c>
      <c r="BG45" s="22">
        <f t="shared" si="7"/>
        <v>430.17457368980803</v>
      </c>
      <c r="BH45" s="62">
        <f t="shared" si="8"/>
        <v>723.50790702314134</v>
      </c>
      <c r="BI45" s="62">
        <f ca="1">AVERAGE(OFFSET($BH$3,0,0,'Données projet'!$E$11+1,1))-AVERAGE(OFFSET($H$3,0,0,'Données projet'!$E$11+1,1))</f>
        <v>460.77543902152325</v>
      </c>
      <c r="BJ45" s="62">
        <f t="shared" si="38"/>
        <v>341.4342976721104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4.2379941452792043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4.2379941452792043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20.612000000000002</v>
      </c>
      <c r="BY45" s="13">
        <f>IF('Données projet'!$A$114&gt;35,BY44+BX45-CG44,IF(A45&lt;'Données projet'!$A$114,$BV$205^A45,IF(A45='Données projet'!$A$114,'Données projet'!$B$114,BY44+BX45-CG44)))</f>
        <v>383.81200000000007</v>
      </c>
      <c r="BZ45" s="14">
        <f>BY45*VLOOKUP('Données projet'!$B$12,Paramètres!$A$1:$I$89,3,0)*VLOOKUP('Données projet'!$B$12,Paramètres!$A$1:$I$89,5,0)</f>
        <v>229.51957600000006</v>
      </c>
      <c r="CA45" s="14">
        <f t="shared" si="39"/>
        <v>56.178789991832062</v>
      </c>
      <c r="CB45" s="22">
        <f t="shared" si="10"/>
        <v>497.59132076910765</v>
      </c>
      <c r="CC45" s="62">
        <f t="shared" si="11"/>
        <v>790.92465410244097</v>
      </c>
      <c r="CD45" s="62">
        <f ca="1">AVERAGE(OFFSET($CC$3,0,0,'Données projet'!$E$12+1,1))-AVERAGE(OFFSET($H$3,0,0,'Données projet'!$E$12+1,1))</f>
        <v>438.68915237247444</v>
      </c>
      <c r="CE45" s="62">
        <f t="shared" si="40"/>
        <v>376.94419168335452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27.652873984966099</v>
      </c>
      <c r="CL45" s="23">
        <f>EXP(-LN(2)/25)*CL44+(1-EXP(-LN(2)/25))/(LN(2)/25)*Calculateur!CG45*Calculateur!CI45*VLOOKUP('Données projet'!$B$12,Paramètres!$A$1:$I$89,3,0)*0.475*44/12</f>
        <v>15.186571180103536</v>
      </c>
      <c r="CM45" s="23">
        <f>EXP(-LN(2)/2)*CM44+(1-EXP(-LN(2)/2))/(LN(2)/2)*CG45*CJ45*VLOOKUP('Données projet'!$B$12,Paramètres!$A$1:$I$89,3,0)*0.475*44/12</f>
        <v>1.3516581989542031</v>
      </c>
      <c r="CN45" s="24">
        <f t="shared" si="12"/>
        <v>44.191103364023839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13.453999999999997</v>
      </c>
      <c r="CT45" s="13">
        <f>IF('Données projet'!$A$140&gt;35,CT44+CS45-DB44,IF(A45&lt;'Données projet'!$A$140,$CQ$205^A45,IF(A45='Données projet'!$A$140,'Données projet'!$B$140,CT44+CS45-DB44)))</f>
        <v>263.14799999999997</v>
      </c>
      <c r="CU45" s="18">
        <f>CT45*VLOOKUP('Données projet'!$B$13,Paramètres!$A$1:$I$89,3,0)*VLOOKUP('Données projet'!$B$13,Paramètres!$A$1:$I$89,5,0)</f>
        <v>123.15326399999998</v>
      </c>
      <c r="CV45" s="14">
        <f t="shared" si="41"/>
        <v>32.409332444170843</v>
      </c>
      <c r="CW45" s="22">
        <f t="shared" si="13"/>
        <v>270.93818880693084</v>
      </c>
      <c r="CX45" s="62">
        <f t="shared" si="14"/>
        <v>564.2715221402641</v>
      </c>
      <c r="CY45" s="62">
        <f ca="1">AVERAGE(OFFSET($CX$3,0,0,'Données projet'!$E$13+1,1))-AVERAGE(OFFSET($H$3,0,0,'Données projet'!$E$13+1,1))</f>
        <v>302.06513069580848</v>
      </c>
      <c r="CZ45" s="62">
        <f t="shared" si="42"/>
        <v>164.1450425611464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9.3712500000000034</v>
      </c>
      <c r="N46" s="14">
        <f>IF('Données projet'!$A$36&gt;35,N45+M46-V45,IF(A46&lt;'Données projet'!$A$36,$K$205^A46,IF(A46='Données projet'!$A$36,'Données projet'!$B$36,N45+M46-V45)))</f>
        <v>129.4212500000001</v>
      </c>
      <c r="O46" s="14">
        <f>N46*VLOOKUP('Données projet'!$B$9,Paramètres!$A$1:$I$89,3,0)*VLOOKUP('Données projet'!$B$9,Paramètres!$A$1:$I$89,5,0)</f>
        <v>117.10034700000008</v>
      </c>
      <c r="P46" s="14">
        <f t="shared" si="33"/>
        <v>30.997743089027207</v>
      </c>
      <c r="Q46" s="22">
        <f t="shared" si="53"/>
        <v>257.93750690505584</v>
      </c>
      <c r="R46" s="62">
        <f t="shared" si="0"/>
        <v>551.27084023838916</v>
      </c>
      <c r="S46" s="62">
        <f ca="1">AVERAGE(OFFSET($R$3,0,0,'Données projet'!$E$9+1,1))-AVERAGE(OFFSET($H$3,0,0,'Données projet'!$E$9+1,1))</f>
        <v>581.88778927327667</v>
      </c>
      <c r="T46" s="62">
        <f t="shared" si="34"/>
        <v>269.67340993773422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3.6440268042917903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3.6440268042917903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</v>
      </c>
      <c r="AI46" s="14">
        <f>IF('Données projet'!$A$62&gt;35,AI45+AH46-AQ45,IF(A46&lt;'Données projet'!$A$62,$AF$205^A46,IF(A46='Données projet'!$A$62,'Données projet'!$B$62,AI45+AH46-AQ45)))</f>
        <v>182.00000000000003</v>
      </c>
      <c r="AJ46" s="14">
        <f>AI46*VLOOKUP('Données projet'!$B$10,Paramètres!$A$1:$I$89,3,0)*VLOOKUP('Données projet'!$B$10,Paramètres!$A$1:$I$89,5,0)</f>
        <v>158.99520000000004</v>
      </c>
      <c r="AK46" s="14">
        <f t="shared" si="35"/>
        <v>40.615796933386044</v>
      </c>
      <c r="AL46" s="22">
        <f t="shared" si="4"/>
        <v>347.65581965898076</v>
      </c>
      <c r="AM46" s="62">
        <f t="shared" si="5"/>
        <v>640.98915299231408</v>
      </c>
      <c r="AN46" s="62">
        <f ca="1">AVERAGE(OFFSET($AM$3,0,0,'Données projet'!$E$10+1,1))-AVERAGE(OFFSET($H$3,0,0,'Données projet'!$E$10+1,1))</f>
        <v>354.24684313982857</v>
      </c>
      <c r="AO46" s="62">
        <f t="shared" si="36"/>
        <v>322.65043486962185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6.816974800166558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6.816974800166558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9.4</v>
      </c>
      <c r="BD46" s="13">
        <f>IF('Données projet'!$A$88&gt;35,BD45+BC46-BL45,IF(A46&lt;'Données projet'!$A$88,$BA$205^A46,IF(A46='Données projet'!$A$88,'Données projet'!$B$88,BD45+BC46-BL45)))</f>
        <v>217.20000000000013</v>
      </c>
      <c r="BE46" s="14">
        <f>BD46*VLOOKUP('Données projet'!$B$11,Paramètres!$A$1:$I$89,3,0)*VLOOKUP('Données projet'!$B$11,Paramètres!$A$1:$I$89,5,0)</f>
        <v>206.68752000000012</v>
      </c>
      <c r="BF46" s="14">
        <f t="shared" si="37"/>
        <v>51.211057018402563</v>
      </c>
      <c r="BG46" s="22">
        <f t="shared" si="7"/>
        <v>449.17335497371801</v>
      </c>
      <c r="BH46" s="62">
        <f t="shared" si="8"/>
        <v>742.50668830705126</v>
      </c>
      <c r="BI46" s="62">
        <f ca="1">AVERAGE(OFFSET($BH$3,0,0,'Données projet'!$E$11+1,1))-AVERAGE(OFFSET($H$3,0,0,'Données projet'!$E$11+1,1))</f>
        <v>460.77543902152325</v>
      </c>
      <c r="BJ46" s="62">
        <f t="shared" si="38"/>
        <v>341.4342976721104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4.1548896650114679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4.1548896650114679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20.612000000000002</v>
      </c>
      <c r="BY46" s="13">
        <f>IF('Données projet'!$A$114&gt;35,BY45+BX46-CG45,IF(A46&lt;'Données projet'!$A$114,$BV$205^A46,IF(A46='Données projet'!$A$114,'Données projet'!$B$114,BY45+BX46-CG45)))</f>
        <v>404.42400000000009</v>
      </c>
      <c r="BZ46" s="14">
        <f>BY46*VLOOKUP('Données projet'!$B$12,Paramètres!$A$1:$I$89,3,0)*VLOOKUP('Données projet'!$B$12,Paramètres!$A$1:$I$89,5,0)</f>
        <v>241.84555200000005</v>
      </c>
      <c r="CA46" s="14">
        <f t="shared" si="39"/>
        <v>58.836432780420971</v>
      </c>
      <c r="CB46" s="22">
        <f t="shared" si="10"/>
        <v>523.68779015923326</v>
      </c>
      <c r="CC46" s="62">
        <f t="shared" si="11"/>
        <v>817.02112349256663</v>
      </c>
      <c r="CD46" s="62">
        <f ca="1">AVERAGE(OFFSET($CC$3,0,0,'Données projet'!$E$12+1,1))-AVERAGE(OFFSET($H$3,0,0,'Données projet'!$E$12+1,1))</f>
        <v>438.68915237247444</v>
      </c>
      <c r="CE46" s="62">
        <f t="shared" si="40"/>
        <v>376.94419168335452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27.110617992708608</v>
      </c>
      <c r="CL46" s="23">
        <f>EXP(-LN(2)/25)*CL45+(1-EXP(-LN(2)/25))/(LN(2)/25)*Calculateur!CG46*Calculateur!CI46*VLOOKUP('Données projet'!$B$12,Paramètres!$A$1:$I$89,3,0)*0.475*44/12</f>
        <v>14.771293592556535</v>
      </c>
      <c r="CM46" s="23">
        <f>EXP(-LN(2)/2)*CM45+(1-EXP(-LN(2)/2))/(LN(2)/2)*CG46*CJ46*VLOOKUP('Données projet'!$B$12,Paramètres!$A$1:$I$89,3,0)*0.475*44/12</f>
        <v>0.95576667832691276</v>
      </c>
      <c r="CN46" s="24">
        <f t="shared" si="12"/>
        <v>42.837678263592053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13.453999999999997</v>
      </c>
      <c r="CT46" s="13">
        <f>IF('Données projet'!$A$140&gt;35,CT45+CS46-DB45,IF(A46&lt;'Données projet'!$A$140,$CQ$205^A46,IF(A46='Données projet'!$A$140,'Données projet'!$B$140,CT45+CS46-DB45)))</f>
        <v>276.60199999999998</v>
      </c>
      <c r="CU46" s="18">
        <f>CT46*VLOOKUP('Données projet'!$B$13,Paramètres!$A$1:$I$89,3,0)*VLOOKUP('Données projet'!$B$13,Paramètres!$A$1:$I$89,5,0)</f>
        <v>129.449736</v>
      </c>
      <c r="CV46" s="14">
        <f t="shared" si="41"/>
        <v>33.86917810541398</v>
      </c>
      <c r="CW46" s="22">
        <f t="shared" si="13"/>
        <v>284.447108733596</v>
      </c>
      <c r="CX46" s="62">
        <f t="shared" si="14"/>
        <v>577.78044206692925</v>
      </c>
      <c r="CY46" s="62">
        <f ca="1">AVERAGE(OFFSET($CX$3,0,0,'Données projet'!$E$13+1,1))-AVERAGE(OFFSET($H$3,0,0,'Données projet'!$E$13+1,1))</f>
        <v>302.06513069580848</v>
      </c>
      <c r="CZ46" s="62">
        <f t="shared" si="42"/>
        <v>164.1450425611464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9.3712500000000034</v>
      </c>
      <c r="N47" s="14">
        <f>IF('Données projet'!$A$36&gt;35,N46+M47-V46,IF(A47&lt;'Données projet'!$A$36,$K$205^A47,IF(A47='Données projet'!$A$36,'Données projet'!$B$36,N46+M47-V46)))</f>
        <v>138.7925000000001</v>
      </c>
      <c r="O47" s="14">
        <f>N47*VLOOKUP('Données projet'!$B$9,Paramètres!$A$1:$I$89,3,0)*VLOOKUP('Données projet'!$B$9,Paramètres!$A$1:$I$89,5,0)</f>
        <v>125.5794540000001</v>
      </c>
      <c r="P47" s="14">
        <f t="shared" si="33"/>
        <v>32.97285338000448</v>
      </c>
      <c r="Q47" s="22">
        <f t="shared" si="53"/>
        <v>276.14526868684135</v>
      </c>
      <c r="R47" s="62">
        <f t="shared" si="0"/>
        <v>569.47860202017466</v>
      </c>
      <c r="S47" s="62">
        <f ca="1">AVERAGE(OFFSET($R$3,0,0,'Données projet'!$E$9+1,1))-AVERAGE(OFFSET($H$3,0,0,'Données projet'!$E$9+1,1))</f>
        <v>581.88778927327667</v>
      </c>
      <c r="T47" s="62">
        <f t="shared" si="34"/>
        <v>269.67340993773422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3.5725696612965119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3.5725696612965119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</v>
      </c>
      <c r="AI47" s="14">
        <f>IF('Données projet'!$A$62&gt;35,AI46+AH47-AQ46,IF(A47&lt;'Données projet'!$A$62,$AF$205^A47,IF(A47='Données projet'!$A$62,'Données projet'!$B$62,AI46+AH47-AQ46)))</f>
        <v>190.00000000000003</v>
      </c>
      <c r="AJ47" s="14">
        <f>AI47*VLOOKUP('Données projet'!$B$10,Paramètres!$A$1:$I$89,3,0)*VLOOKUP('Données projet'!$B$10,Paramètres!$A$1:$I$89,5,0)</f>
        <v>165.98400000000004</v>
      </c>
      <c r="AK47" s="14">
        <f t="shared" si="35"/>
        <v>42.189325525922285</v>
      </c>
      <c r="AL47" s="22">
        <f t="shared" si="4"/>
        <v>362.56854195764805</v>
      </c>
      <c r="AM47" s="62">
        <f t="shared" si="5"/>
        <v>655.90187529098137</v>
      </c>
      <c r="AN47" s="62">
        <f ca="1">AVERAGE(OFFSET($AM$3,0,0,'Données projet'!$E$10+1,1))-AVERAGE(OFFSET($H$3,0,0,'Données projet'!$E$10+1,1))</f>
        <v>354.24684313982857</v>
      </c>
      <c r="AO47" s="62">
        <f t="shared" si="36"/>
        <v>322.65043486962185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6.6832980822793573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6.6832980822793573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9.4</v>
      </c>
      <c r="BD47" s="13">
        <f>IF('Données projet'!$A$88&gt;35,BD46+BC47-BL46,IF(A47&lt;'Données projet'!$A$88,$BA$205^A47,IF(A47='Données projet'!$A$88,'Données projet'!$B$88,BD46+BC47-BL46)))</f>
        <v>226.60000000000014</v>
      </c>
      <c r="BE47" s="14">
        <f>BD47*VLOOKUP('Données projet'!$B$11,Paramètres!$A$1:$I$89,3,0)*VLOOKUP('Données projet'!$B$11,Paramètres!$A$1:$I$89,5,0)</f>
        <v>215.63256000000013</v>
      </c>
      <c r="BF47" s="14">
        <f t="shared" si="37"/>
        <v>53.164539286100229</v>
      </c>
      <c r="BG47" s="22">
        <f t="shared" si="7"/>
        <v>468.1549479232915</v>
      </c>
      <c r="BH47" s="62">
        <f t="shared" si="8"/>
        <v>761.48828125662476</v>
      </c>
      <c r="BI47" s="62">
        <f ca="1">AVERAGE(OFFSET($BH$3,0,0,'Données projet'!$E$11+1,1))-AVERAGE(OFFSET($H$3,0,0,'Données projet'!$E$11+1,1))</f>
        <v>460.77543902152325</v>
      </c>
      <c r="BJ47" s="62">
        <f t="shared" si="38"/>
        <v>341.4342976721104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4.0734148129130539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4.0734148129130539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20.612000000000002</v>
      </c>
      <c r="BY47" s="13">
        <f>IF('Données projet'!$A$114&gt;35,BY46+BX47-CG46,IF(A47&lt;'Données projet'!$A$114,$BV$205^A47,IF(A47='Données projet'!$A$114,'Données projet'!$B$114,BY46+BX47-CG46)))</f>
        <v>425.03600000000012</v>
      </c>
      <c r="BZ47" s="14">
        <f>BY47*VLOOKUP('Données projet'!$B$12,Paramètres!$A$1:$I$89,3,0)*VLOOKUP('Données projet'!$B$12,Paramètres!$A$1:$I$89,5,0)</f>
        <v>254.17152800000008</v>
      </c>
      <c r="CA47" s="14">
        <f t="shared" si="39"/>
        <v>61.47834864609284</v>
      </c>
      <c r="CB47" s="22">
        <f t="shared" si="10"/>
        <v>549.75686849194517</v>
      </c>
      <c r="CC47" s="62">
        <f t="shared" si="11"/>
        <v>843.09020182527843</v>
      </c>
      <c r="CD47" s="62">
        <f ca="1">AVERAGE(OFFSET($CC$3,0,0,'Données projet'!$E$12+1,1))-AVERAGE(OFFSET($H$3,0,0,'Données projet'!$E$12+1,1))</f>
        <v>438.68915237247444</v>
      </c>
      <c r="CE47" s="62">
        <f t="shared" si="40"/>
        <v>376.94419168335452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26.57899530971579</v>
      </c>
      <c r="CL47" s="23">
        <f>EXP(-LN(2)/25)*CL46+(1-EXP(-LN(2)/25))/(LN(2)/25)*Calculateur!CG47*Calculateur!CI47*VLOOKUP('Données projet'!$B$12,Paramètres!$A$1:$I$89,3,0)*0.475*44/12</f>
        <v>14.367371792479506</v>
      </c>
      <c r="CM47" s="23">
        <f>EXP(-LN(2)/2)*CM46+(1-EXP(-LN(2)/2))/(LN(2)/2)*CG47*CJ47*VLOOKUP('Données projet'!$B$12,Paramètres!$A$1:$I$89,3,0)*0.475*44/12</f>
        <v>0.67582909947710168</v>
      </c>
      <c r="CN47" s="24">
        <f t="shared" si="12"/>
        <v>41.622196201672395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13.453999999999997</v>
      </c>
      <c r="CT47" s="13">
        <f>IF('Données projet'!$A$140&gt;35,CT46+CS47-DB46,IF(A47&lt;'Données projet'!$A$140,$CQ$205^A47,IF(A47='Données projet'!$A$140,'Données projet'!$B$140,CT46+CS47-DB46)))</f>
        <v>290.05599999999998</v>
      </c>
      <c r="CU47" s="18">
        <f>CT47*VLOOKUP('Données projet'!$B$13,Paramètres!$A$1:$I$89,3,0)*VLOOKUP('Données projet'!$B$13,Paramètres!$A$1:$I$89,5,0)</f>
        <v>135.746208</v>
      </c>
      <c r="CV47" s="14">
        <f t="shared" si="41"/>
        <v>35.320778436965128</v>
      </c>
      <c r="CW47" s="22">
        <f t="shared" si="13"/>
        <v>297.94166804438095</v>
      </c>
      <c r="CX47" s="62">
        <f t="shared" si="14"/>
        <v>591.27500137771426</v>
      </c>
      <c r="CY47" s="62">
        <f ca="1">AVERAGE(OFFSET($CX$3,0,0,'Données projet'!$E$13+1,1))-AVERAGE(OFFSET($H$3,0,0,'Données projet'!$E$13+1,1))</f>
        <v>302.06513069580848</v>
      </c>
      <c r="CZ47" s="62">
        <f t="shared" si="42"/>
        <v>164.1450425611464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9.3712500000000034</v>
      </c>
      <c r="N48" s="14">
        <f>IF('Données projet'!$A$36&gt;35,N47+M48-V47,IF(A48&lt;'Données projet'!$A$36,$K$205^A48,IF(A48='Données projet'!$A$36,'Données projet'!$B$36,N47+M48-V47)))</f>
        <v>148.16375000000011</v>
      </c>
      <c r="O48" s="14">
        <f>N48*VLOOKUP('Données projet'!$B$9,Paramètres!$A$1:$I$89,3,0)*VLOOKUP('Données projet'!$B$9,Paramètres!$A$1:$I$89,5,0)</f>
        <v>134.05856100000008</v>
      </c>
      <c r="P48" s="14">
        <f t="shared" si="33"/>
        <v>34.932489097291651</v>
      </c>
      <c r="Q48" s="22">
        <f t="shared" si="53"/>
        <v>294.3260789194498</v>
      </c>
      <c r="R48" s="62">
        <f t="shared" si="0"/>
        <v>587.65941225278311</v>
      </c>
      <c r="S48" s="62">
        <f ca="1">AVERAGE(OFFSET($R$3,0,0,'Données projet'!$E$9+1,1))-AVERAGE(OFFSET($H$3,0,0,'Données projet'!$E$9+1,1))</f>
        <v>581.88778927327667</v>
      </c>
      <c r="T48" s="62">
        <f t="shared" si="34"/>
        <v>269.67340993773422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3.5025137492908169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3.5025137492908169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198</v>
      </c>
      <c r="AG48" s="13">
        <f>VLOOKUP(A48,'Données projet'!$A$61:$I$81,9,0)</f>
        <v>8</v>
      </c>
      <c r="AH48" s="13">
        <f t="array" ref="AH48">INDEX(AG:AG,MIN(IF(ISNUMBER(AG48:AG244),ROW(AG48:AG244),"")))</f>
        <v>8</v>
      </c>
      <c r="AI48" s="14">
        <f>IF('Données projet'!$A$62&gt;35,AI47+AH48-AQ47,IF(A48&lt;'Données projet'!$A$62,$AF$205^A48,IF(A48='Données projet'!$A$62,'Données projet'!$B$62,AI47+AH48-AQ47)))</f>
        <v>198.00000000000003</v>
      </c>
      <c r="AJ48" s="14">
        <f>AI48*VLOOKUP('Données projet'!$B$10,Paramètres!$A$1:$I$89,3,0)*VLOOKUP('Données projet'!$B$10,Paramètres!$A$1:$I$89,5,0)</f>
        <v>172.97280000000003</v>
      </c>
      <c r="AK48" s="14">
        <f t="shared" si="35"/>
        <v>43.75515863819728</v>
      </c>
      <c r="AL48" s="22">
        <f t="shared" si="4"/>
        <v>377.46786129486031</v>
      </c>
      <c r="AM48" s="62">
        <f t="shared" si="5"/>
        <v>670.80119462819357</v>
      </c>
      <c r="AN48" s="62">
        <f ca="1">AVERAGE(OFFSET($AM$3,0,0,'Données projet'!$E$10+1,1))-AVERAGE(OFFSET($H$3,0,0,'Données projet'!$E$10+1,1))</f>
        <v>354.24684313982857</v>
      </c>
      <c r="AO48" s="62">
        <f t="shared" si="36"/>
        <v>322.65043486962185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26</v>
      </c>
      <c r="AR48" s="17">
        <f>IF(ISNA(VLOOKUP(A48,'Données projet'!$A$61:$I$81,5,0)),0%,VLOOKUP(A48,'Données projet'!$A$61:$I$81,5,0)*VLOOKUP('Données projet'!$B$10,Paramètres!$A$1:$I$89,7,0))</f>
        <v>0.129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9.7913310329153678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9.7913310329153678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236</v>
      </c>
      <c r="BB48" s="13">
        <f>VLOOKUP(A48,'Données projet'!$A$87:$I$107,9,0)</f>
        <v>9.4</v>
      </c>
      <c r="BC48" s="13">
        <f t="array" ref="BC48">INDEX(BB:BB,MIN(IF(ISNUMBER(BB48:BB244),ROW(BB48:BB244),"")))</f>
        <v>9.4</v>
      </c>
      <c r="BD48" s="13">
        <f>IF('Données projet'!$A$88&gt;35,BD47+BC48-BL47,IF(A48&lt;'Données projet'!$A$88,$BA$205^A48,IF(A48='Données projet'!$A$88,'Données projet'!$B$88,BD47+BC48-BL47)))</f>
        <v>236.00000000000014</v>
      </c>
      <c r="BE48" s="14">
        <f>BD48*VLOOKUP('Données projet'!$B$11,Paramètres!$A$1:$I$89,3,0)*VLOOKUP('Données projet'!$B$11,Paramètres!$A$1:$I$89,5,0)</f>
        <v>224.57760000000016</v>
      </c>
      <c r="BF48" s="14">
        <f t="shared" si="37"/>
        <v>55.10860886131028</v>
      </c>
      <c r="BG48" s="22">
        <f t="shared" si="7"/>
        <v>487.12014710011567</v>
      </c>
      <c r="BH48" s="62">
        <f t="shared" si="8"/>
        <v>780.45348043344893</v>
      </c>
      <c r="BI48" s="62">
        <f ca="1">AVERAGE(OFFSET($BH$3,0,0,'Données projet'!$E$11+1,1))-AVERAGE(OFFSET($H$3,0,0,'Données projet'!$E$11+1,1))</f>
        <v>460.77543902152325</v>
      </c>
      <c r="BJ48" s="62">
        <f t="shared" si="38"/>
        <v>341.4342976721104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30</v>
      </c>
      <c r="BM48" s="17">
        <f>IF(ISNA(VLOOKUP(A48,'Données projet'!$A$87:$I$107,5,0)),0%,VLOOKUP(A48,'Données projet'!$A$87:$I$107,5,0)*VLOOKUP('Données projet'!$B$11,Paramètres!$A$1:$I$89,7,0))</f>
        <v>8.6000000000000007E-2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6.7076089149315097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6.7076089149315097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20.612000000000002</v>
      </c>
      <c r="BY48" s="13">
        <f>IF('Données projet'!$A$114&gt;35,BY47+BX48-CG47,IF(A48&lt;'Données projet'!$A$114,$BV$205^A48,IF(A48='Données projet'!$A$114,'Données projet'!$B$114,BY47+BX48-CG47)))</f>
        <v>445.64800000000014</v>
      </c>
      <c r="BZ48" s="14">
        <f>BY48*VLOOKUP('Données projet'!$B$12,Paramètres!$A$1:$I$89,3,0)*VLOOKUP('Données projet'!$B$12,Paramètres!$A$1:$I$89,5,0)</f>
        <v>266.49750400000011</v>
      </c>
      <c r="CA48" s="14">
        <f t="shared" si="39"/>
        <v>64.105387319635156</v>
      </c>
      <c r="CB48" s="22">
        <f t="shared" si="10"/>
        <v>575.80003571503141</v>
      </c>
      <c r="CC48" s="62">
        <f t="shared" si="11"/>
        <v>869.13336904836478</v>
      </c>
      <c r="CD48" s="62">
        <f ca="1">AVERAGE(OFFSET($CC$3,0,0,'Données projet'!$E$12+1,1))-AVERAGE(OFFSET($H$3,0,0,'Données projet'!$E$12+1,1))</f>
        <v>438.68915237247444</v>
      </c>
      <c r="CE48" s="62">
        <f t="shared" si="40"/>
        <v>376.94419168335452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26.05779742327864</v>
      </c>
      <c r="CL48" s="23">
        <f>EXP(-LN(2)/25)*CL47+(1-EXP(-LN(2)/25))/(LN(2)/25)*Calculateur!CG48*Calculateur!CI48*VLOOKUP('Données projet'!$B$12,Paramètres!$A$1:$I$89,3,0)*0.475*44/12</f>
        <v>13.974495255266909</v>
      </c>
      <c r="CM48" s="23">
        <f>EXP(-LN(2)/2)*CM47+(1-EXP(-LN(2)/2))/(LN(2)/2)*CG48*CJ48*VLOOKUP('Données projet'!$B$12,Paramètres!$A$1:$I$89,3,0)*0.475*44/12</f>
        <v>0.47788333916345643</v>
      </c>
      <c r="CN48" s="24">
        <f t="shared" si="12"/>
        <v>40.510176017709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303.51</v>
      </c>
      <c r="CR48" s="13">
        <f>VLOOKUP(A48,'Données projet'!$A$139:$I$159,9,0)</f>
        <v>13.453999999999997</v>
      </c>
      <c r="CS48" s="13">
        <f t="array" ref="CS48">INDEX(CR:CR,MIN(IF(ISNUMBER(CR48:CR244),ROW(CR48:CR244),"")))</f>
        <v>13.453999999999997</v>
      </c>
      <c r="CT48" s="13">
        <f>IF('Données projet'!$A$140&gt;35,CT47+CS48-DB47,IF(A48&lt;'Données projet'!$A$140,$CQ$205^A48,IF(A48='Données projet'!$A$140,'Données projet'!$B$140,CT47+CS48-DB47)))</f>
        <v>303.51</v>
      </c>
      <c r="CU48" s="18">
        <f>CT48*VLOOKUP('Données projet'!$B$13,Paramètres!$A$1:$I$89,3,0)*VLOOKUP('Données projet'!$B$13,Paramètres!$A$1:$I$89,5,0)</f>
        <v>142.04267999999999</v>
      </c>
      <c r="CV48" s="14">
        <f t="shared" si="41"/>
        <v>36.764559570718347</v>
      </c>
      <c r="CW48" s="22">
        <f t="shared" si="13"/>
        <v>311.42260891900111</v>
      </c>
      <c r="CX48" s="62">
        <f t="shared" si="14"/>
        <v>604.75594225233442</v>
      </c>
      <c r="CY48" s="62">
        <f ca="1">AVERAGE(OFFSET($CX$3,0,0,'Données projet'!$E$13+1,1))-AVERAGE(OFFSET($H$3,0,0,'Données projet'!$E$13+1,1))</f>
        <v>302.06513069580848</v>
      </c>
      <c r="CZ48" s="62">
        <f t="shared" si="42"/>
        <v>164.1450425611464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9.3712500000000034</v>
      </c>
      <c r="N49" s="14">
        <f>IF('Données projet'!$A$36&gt;35,N48+M49-V48,IF(A49&lt;'Données projet'!$A$36,$K$205^A49,IF(A49='Données projet'!$A$36,'Données projet'!$B$36,N48+M49-V48)))</f>
        <v>157.53500000000011</v>
      </c>
      <c r="O49" s="14">
        <f>N49*VLOOKUP('Données projet'!$B$9,Paramètres!$A$1:$I$89,3,0)*VLOOKUP('Données projet'!$B$9,Paramètres!$A$1:$I$89,5,0)</f>
        <v>142.53766800000008</v>
      </c>
      <c r="P49" s="14">
        <f t="shared" si="33"/>
        <v>36.877740410345027</v>
      </c>
      <c r="Q49" s="22">
        <f t="shared" si="53"/>
        <v>312.48183631468436</v>
      </c>
      <c r="R49" s="62">
        <f t="shared" si="0"/>
        <v>605.81516964801767</v>
      </c>
      <c r="S49" s="62">
        <f ca="1">AVERAGE(OFFSET($R$3,0,0,'Données projet'!$E$9+1,1))-AVERAGE(OFFSET($H$3,0,0,'Données projet'!$E$9+1,1))</f>
        <v>581.88778927327667</v>
      </c>
      <c r="T49" s="62">
        <f t="shared" si="34"/>
        <v>269.67340993773422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3.4338315909896666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3.4338315909896666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7.4</v>
      </c>
      <c r="AI49" s="14">
        <f>IF('Données projet'!$A$62&gt;35,AI48+AH49-AQ48,IF(A49&lt;'Données projet'!$A$62,$AF$205^A49,IF(A49='Données projet'!$A$62,'Données projet'!$B$62,AI48+AH49-AQ48)))</f>
        <v>179.40000000000003</v>
      </c>
      <c r="AJ49" s="14">
        <f>AI49*VLOOKUP('Données projet'!$B$10,Paramètres!$A$1:$I$89,3,0)*VLOOKUP('Données projet'!$B$10,Paramètres!$A$1:$I$89,5,0)</f>
        <v>156.72384000000005</v>
      </c>
      <c r="AK49" s="14">
        <f t="shared" si="35"/>
        <v>40.102680984620484</v>
      </c>
      <c r="AL49" s="22">
        <f t="shared" si="4"/>
        <v>342.80619071488076</v>
      </c>
      <c r="AM49" s="62">
        <f t="shared" si="5"/>
        <v>636.13952404821407</v>
      </c>
      <c r="AN49" s="62">
        <f ca="1">AVERAGE(OFFSET($AM$3,0,0,'Données projet'!$E$10+1,1))-AVERAGE(OFFSET($H$3,0,0,'Données projet'!$E$10+1,1))</f>
        <v>354.24684313982857</v>
      </c>
      <c r="AO49" s="62">
        <f t="shared" si="36"/>
        <v>322.65043486962185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9.5993290034821293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9.5993290034821293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9.4</v>
      </c>
      <c r="BD49" s="13">
        <f>IF('Données projet'!$A$88&gt;35,BD48+BC49-BL48,IF(A49&lt;'Données projet'!$A$88,$BA$205^A49,IF(A49='Données projet'!$A$88,'Données projet'!$B$88,BD48+BC49-BL48)))</f>
        <v>215.40000000000015</v>
      </c>
      <c r="BE49" s="14">
        <f>BD49*VLOOKUP('Données projet'!$B$11,Paramètres!$A$1:$I$89,3,0)*VLOOKUP('Données projet'!$B$11,Paramètres!$A$1:$I$89,5,0)</f>
        <v>204.97464000000014</v>
      </c>
      <c r="BF49" s="14">
        <f t="shared" si="37"/>
        <v>50.835874841915164</v>
      </c>
      <c r="BG49" s="22">
        <f t="shared" si="7"/>
        <v>445.53664668300252</v>
      </c>
      <c r="BH49" s="62">
        <f t="shared" si="8"/>
        <v>738.86998001633583</v>
      </c>
      <c r="BI49" s="62">
        <f ca="1">AVERAGE(OFFSET($BH$3,0,0,'Données projet'!$E$11+1,1))-AVERAGE(OFFSET($H$3,0,0,'Données projet'!$E$11+1,1))</f>
        <v>460.77543902152325</v>
      </c>
      <c r="BJ49" s="62">
        <f t="shared" si="38"/>
        <v>341.4342976721104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6.5760767953471646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6.5760767953471646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>
        <f>VLOOKUP(A49,'Données projet'!$A$113:$I$133,2,0)</f>
        <v>466.26</v>
      </c>
      <c r="BW49" s="13">
        <f>VLOOKUP(A49,'Données projet'!$A$113:$I$133,9,0)</f>
        <v>20.612000000000002</v>
      </c>
      <c r="BX49" s="13">
        <f t="array" ref="BX49">INDEX(BW:BW,MIN(IF(ISNUMBER(BW49:BW245),ROW(BW49:BW245),"")))</f>
        <v>20.612000000000002</v>
      </c>
      <c r="BY49" s="13">
        <f>IF('Données projet'!$A$114&gt;35,BY48+BX49-CG48,IF(A49&lt;'Données projet'!$A$114,$BV$205^A49,IF(A49='Données projet'!$A$114,'Données projet'!$B$114,BY48+BX49-CG48)))</f>
        <v>466.26000000000016</v>
      </c>
      <c r="BZ49" s="14">
        <f>BY49*VLOOKUP('Données projet'!$B$12,Paramètres!$A$1:$I$89,3,0)*VLOOKUP('Données projet'!$B$12,Paramètres!$A$1:$I$89,5,0)</f>
        <v>278.82348000000013</v>
      </c>
      <c r="CA49" s="14">
        <f t="shared" si="39"/>
        <v>66.718315486273781</v>
      </c>
      <c r="CB49" s="22">
        <f t="shared" si="10"/>
        <v>601.8186271385938</v>
      </c>
      <c r="CC49" s="62">
        <f t="shared" si="11"/>
        <v>895.15196047192717</v>
      </c>
      <c r="CD49" s="62">
        <f ca="1">AVERAGE(OFFSET($CC$3,0,0,'Données projet'!$E$12+1,1))-AVERAGE(OFFSET($H$3,0,0,'Données projet'!$E$12+1,1))</f>
        <v>438.68915237247444</v>
      </c>
      <c r="CE49" s="62">
        <f t="shared" si="40"/>
        <v>376.94419168335452</v>
      </c>
      <c r="CF49" s="16">
        <f>IF(ISNA(VLOOKUP(A49,'Données projet'!$A$113:$I$133,3,0)),0,VLOOKUP(A49,'Données projet'!$A$113:$I$133,3,0))</f>
        <v>5</v>
      </c>
      <c r="CG49" s="16">
        <f>IF(ISNA(VLOOKUP(A49,'Données projet'!$A$113:$I$133,4,0)),0,VLOOKUP(A49,'Données projet'!$A$113:$I$133,4,0))</f>
        <v>93.13</v>
      </c>
      <c r="CH49" s="17">
        <f>IF(ISNA(VLOOKUP(A49,'Données projet'!$A$113:$I$133,5,0)),0%,VLOOKUP(A49,'Données projet'!$A$113:$I$133,5,0)*VLOOKUP('Données projet'!$B$12,Paramètres!$A$1:$I$89,7,0))</f>
        <v>0.315</v>
      </c>
      <c r="CI49" s="17">
        <f>IF(ISNA(VLOOKUP(A49,'Données projet'!$A$113:$I$133,6,0)),0%,VLOOKUP(A49,'Données projet'!$A$113:$I$133,6,0)*VLOOKUP('Données projet'!$B$12,Paramètres!$A$1:$I$89,7,0))</f>
        <v>7.6500000000000012E-2</v>
      </c>
      <c r="CJ49" s="17">
        <f>IF(ISNA(VLOOKUP(A49,'Données projet'!$A$113:$I$133,7,0)),0%,VLOOKUP(A49,'Données projet'!$A$113:$I$133,7,0))</f>
        <v>0.13</v>
      </c>
      <c r="CK49" s="23">
        <f>EXP(-LN(2)/35)*CK48+(1-EXP(-LN(2)/35))/(LN(2)/35)*CG49*CH49*VLOOKUP('Données projet'!$B$12,Paramètres!$A$1:$I$89,3,0)*0.475*44/12</f>
        <v>48.818604974353043</v>
      </c>
      <c r="CL49" s="23">
        <f>EXP(-LN(2)/25)*CL48+(1-EXP(-LN(2)/25))/(LN(2)/25)*Calculateur!CG49*Calculateur!CI49*VLOOKUP('Données projet'!$B$12,Paramètres!$A$1:$I$89,3,0)*0.475*44/12</f>
        <v>19.221828205579264</v>
      </c>
      <c r="CM49" s="23">
        <f>EXP(-LN(2)/2)*CM48+(1-EXP(-LN(2)/2))/(LN(2)/2)*CG49*CJ49*VLOOKUP('Données projet'!$B$12,Paramètres!$A$1:$I$89,3,0)*0.475*44/12</f>
        <v>8.5351928250866074</v>
      </c>
      <c r="CN49" s="24">
        <f t="shared" si="12"/>
        <v>76.575626005018918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14.526666666666671</v>
      </c>
      <c r="CT49" s="13">
        <f>IF('Données projet'!$A$140&gt;35,CT48+CS49-DB48,IF(A49&lt;'Données projet'!$A$140,$CQ$205^A49,IF(A49='Données projet'!$A$140,'Données projet'!$B$140,CT48+CS49-DB48)))</f>
        <v>318.03666666666663</v>
      </c>
      <c r="CU49" s="18">
        <f>CT49*VLOOKUP('Données projet'!$B$13,Paramètres!$A$1:$I$89,3,0)*VLOOKUP('Données projet'!$B$13,Paramètres!$A$1:$I$89,5,0)</f>
        <v>148.84116</v>
      </c>
      <c r="CV49" s="14">
        <f t="shared" si="41"/>
        <v>38.315116320405785</v>
      </c>
      <c r="CW49" s="22">
        <f t="shared" si="13"/>
        <v>325.96384792470673</v>
      </c>
      <c r="CX49" s="62">
        <f t="shared" si="14"/>
        <v>619.29718125804004</v>
      </c>
      <c r="CY49" s="62">
        <f ca="1">AVERAGE(OFFSET($CX$3,0,0,'Données projet'!$E$13+1,1))-AVERAGE(OFFSET($H$3,0,0,'Données projet'!$E$13+1,1))</f>
        <v>302.06513069580848</v>
      </c>
      <c r="CZ49" s="62">
        <f t="shared" si="42"/>
        <v>164.1450425611464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9.3712500000000034</v>
      </c>
      <c r="N50" s="14">
        <f>IF('Données projet'!$A$36&gt;35,N49+M50-V49,IF(A50&lt;'Données projet'!$A$36,$K$205^A50,IF(A50='Données projet'!$A$36,'Données projet'!$B$36,N49+M50-V49)))</f>
        <v>166.90625000000011</v>
      </c>
      <c r="O50" s="14">
        <f>N50*VLOOKUP('Données projet'!$B$9,Paramètres!$A$1:$I$89,3,0)*VLOOKUP('Données projet'!$B$9,Paramètres!$A$1:$I$89,5,0)</f>
        <v>151.01677500000011</v>
      </c>
      <c r="P50" s="14">
        <f t="shared" si="33"/>
        <v>38.809560459830927</v>
      </c>
      <c r="Q50" s="22">
        <f t="shared" si="53"/>
        <v>330.61420092587235</v>
      </c>
      <c r="R50" s="62">
        <f t="shared" si="0"/>
        <v>623.94753425920567</v>
      </c>
      <c r="S50" s="62">
        <f ca="1">AVERAGE(OFFSET($R$3,0,0,'Données projet'!$E$9+1,1))-AVERAGE(OFFSET($H$3,0,0,'Données projet'!$E$9+1,1))</f>
        <v>581.88778927327667</v>
      </c>
      <c r="T50" s="62">
        <f t="shared" si="34"/>
        <v>269.67340993773422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3.3664962479208218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3.3664962479208218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7.4</v>
      </c>
      <c r="AI50" s="14">
        <f>IF('Données projet'!$A$62&gt;35,AI49+AH50-AQ49,IF(A50&lt;'Données projet'!$A$62,$AF$205^A50,IF(A50='Données projet'!$A$62,'Données projet'!$B$62,AI49+AH50-AQ49)))</f>
        <v>186.80000000000004</v>
      </c>
      <c r="AJ50" s="14">
        <f>AI50*VLOOKUP('Données projet'!$B$10,Paramètres!$A$1:$I$89,3,0)*VLOOKUP('Données projet'!$B$10,Paramètres!$A$1:$I$89,5,0)</f>
        <v>163.18848000000006</v>
      </c>
      <c r="AK50" s="14">
        <f t="shared" si="35"/>
        <v>41.560857991048017</v>
      </c>
      <c r="AL50" s="22">
        <f t="shared" si="4"/>
        <v>356.60509700107536</v>
      </c>
      <c r="AM50" s="62">
        <f t="shared" si="5"/>
        <v>649.93843033440862</v>
      </c>
      <c r="AN50" s="62">
        <f ca="1">AVERAGE(OFFSET($AM$3,0,0,'Données projet'!$E$10+1,1))-AVERAGE(OFFSET($H$3,0,0,'Données projet'!$E$10+1,1))</f>
        <v>354.24684313982857</v>
      </c>
      <c r="AO50" s="62">
        <f t="shared" si="36"/>
        <v>322.65043486962185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9.4110920167364025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9.4110920167364025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9.4</v>
      </c>
      <c r="BD50" s="13">
        <f>IF('Données projet'!$A$88&gt;35,BD49+BC50-BL49,IF(A50&lt;'Données projet'!$A$88,$BA$205^A50,IF(A50='Données projet'!$A$88,'Données projet'!$B$88,BD49+BC50-BL49)))</f>
        <v>224.80000000000015</v>
      </c>
      <c r="BE50" s="14">
        <f>BD50*VLOOKUP('Données projet'!$B$11,Paramètres!$A$1:$I$89,3,0)*VLOOKUP('Données projet'!$B$11,Paramètres!$A$1:$I$89,5,0)</f>
        <v>213.91968000000017</v>
      </c>
      <c r="BF50" s="14">
        <f t="shared" si="37"/>
        <v>52.791210317408577</v>
      </c>
      <c r="BG50" s="22">
        <f t="shared" si="7"/>
        <v>464.52146730282021</v>
      </c>
      <c r="BH50" s="62">
        <f t="shared" si="8"/>
        <v>757.85480063615353</v>
      </c>
      <c r="BI50" s="62">
        <f ca="1">AVERAGE(OFFSET($BH$3,0,0,'Données projet'!$E$11+1,1))-AVERAGE(OFFSET($H$3,0,0,'Données projet'!$E$11+1,1))</f>
        <v>460.77543902152325</v>
      </c>
      <c r="BJ50" s="62">
        <f t="shared" si="38"/>
        <v>341.4342976721104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6.4471239404011973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6.4471239404011973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17.650000000000006</v>
      </c>
      <c r="BY50" s="13">
        <f>IF('Données projet'!$A$114&gt;35,BY49+BX50-CG49,IF(A50&lt;'Données projet'!$A$114,$BV$205^A50,IF(A50='Données projet'!$A$114,'Données projet'!$B$114,BY49+BX50-CG49)))</f>
        <v>390.7800000000002</v>
      </c>
      <c r="BZ50" s="14">
        <f>BY50*VLOOKUP('Données projet'!$B$12,Paramètres!$A$1:$I$89,3,0)*VLOOKUP('Données projet'!$B$12,Paramètres!$A$1:$I$89,5,0)</f>
        <v>233.68644000000012</v>
      </c>
      <c r="CA50" s="14">
        <f t="shared" si="39"/>
        <v>57.079036892488297</v>
      </c>
      <c r="CB50" s="22">
        <f t="shared" si="10"/>
        <v>506.41653892108405</v>
      </c>
      <c r="CC50" s="62">
        <f t="shared" si="11"/>
        <v>799.74987225441737</v>
      </c>
      <c r="CD50" s="62">
        <f ca="1">AVERAGE(OFFSET($CC$3,0,0,'Données projet'!$E$12+1,1))-AVERAGE(OFFSET($H$3,0,0,'Données projet'!$E$12+1,1))</f>
        <v>438.68915237247444</v>
      </c>
      <c r="CE50" s="62">
        <f t="shared" si="40"/>
        <v>376.94419168335452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47.861301907214838</v>
      </c>
      <c r="CL50" s="23">
        <f>EXP(-LN(2)/25)*CL49+(1-EXP(-LN(2)/25))/(LN(2)/25)*Calculateur!CG50*Calculateur!CI50*VLOOKUP('Données projet'!$B$12,Paramètres!$A$1:$I$89,3,0)*0.475*44/12</f>
        <v>18.696206302465686</v>
      </c>
      <c r="CM50" s="23">
        <f>EXP(-LN(2)/2)*CM49+(1-EXP(-LN(2)/2))/(LN(2)/2)*CG50*CJ50*VLOOKUP('Données projet'!$B$12,Paramètres!$A$1:$I$89,3,0)*0.475*44/12</f>
        <v>6.0352927253535062</v>
      </c>
      <c r="CN50" s="24">
        <f t="shared" si="12"/>
        <v>72.59280093503402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14.526666666666671</v>
      </c>
      <c r="CT50" s="13">
        <f>IF('Données projet'!$A$140&gt;35,CT49+CS50-DB49,IF(A50&lt;'Données projet'!$A$140,$CQ$205^A50,IF(A50='Données projet'!$A$140,'Données projet'!$B$140,CT49+CS50-DB49)))</f>
        <v>332.56333333333328</v>
      </c>
      <c r="CU50" s="18">
        <f>CT50*VLOOKUP('Données projet'!$B$13,Paramètres!$A$1:$I$89,3,0)*VLOOKUP('Données projet'!$B$13,Paramètres!$A$1:$I$89,5,0)</f>
        <v>155.63963999999999</v>
      </c>
      <c r="CV50" s="14">
        <f t="shared" si="41"/>
        <v>39.857448088848287</v>
      </c>
      <c r="CW50" s="22">
        <f t="shared" si="13"/>
        <v>340.49076175474403</v>
      </c>
      <c r="CX50" s="62">
        <f t="shared" si="14"/>
        <v>633.82409508807734</v>
      </c>
      <c r="CY50" s="62">
        <f ca="1">AVERAGE(OFFSET($CX$3,0,0,'Données projet'!$E$13+1,1))-AVERAGE(OFFSET($H$3,0,0,'Données projet'!$E$13+1,1))</f>
        <v>302.06513069580848</v>
      </c>
      <c r="CZ50" s="62">
        <f t="shared" si="42"/>
        <v>164.1450425611464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9.3712500000000034</v>
      </c>
      <c r="N51" s="14">
        <f>IF('Données projet'!$A$36&gt;35,N50+M51-V50,IF(A51&lt;'Données projet'!$A$36,$K$205^A51,IF(A51='Données projet'!$A$36,'Données projet'!$B$36,N50+M51-V50)))</f>
        <v>176.27750000000012</v>
      </c>
      <c r="O51" s="14">
        <f>N51*VLOOKUP('Données projet'!$B$9,Paramètres!$A$1:$I$89,3,0)*VLOOKUP('Données projet'!$B$9,Paramètres!$A$1:$I$89,5,0)</f>
        <v>159.49588200000008</v>
      </c>
      <c r="P51" s="14">
        <f t="shared" si="33"/>
        <v>40.728789309687656</v>
      </c>
      <c r="Q51" s="22">
        <f t="shared" si="53"/>
        <v>348.72463586437283</v>
      </c>
      <c r="R51" s="62">
        <f t="shared" si="0"/>
        <v>642.05796919770614</v>
      </c>
      <c r="S51" s="62">
        <f ca="1">AVERAGE(OFFSET($R$3,0,0,'Données projet'!$E$9+1,1))-AVERAGE(OFFSET($H$3,0,0,'Données projet'!$E$9+1,1))</f>
        <v>581.88778927327667</v>
      </c>
      <c r="T51" s="62">
        <f t="shared" si="34"/>
        <v>269.67340993773422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3.3004813098590531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3.3004813098590531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7.4</v>
      </c>
      <c r="AI51" s="14">
        <f>IF('Données projet'!$A$62&gt;35,AI50+AH51-AQ50,IF(A51&lt;'Données projet'!$A$62,$AF$205^A51,IF(A51='Données projet'!$A$62,'Données projet'!$B$62,AI50+AH51-AQ50)))</f>
        <v>194.20000000000005</v>
      </c>
      <c r="AJ51" s="14">
        <f>AI51*VLOOKUP('Données projet'!$B$10,Paramètres!$A$1:$I$89,3,0)*VLOOKUP('Données projet'!$B$10,Paramètres!$A$1:$I$89,5,0)</f>
        <v>169.65312000000006</v>
      </c>
      <c r="AK51" s="14">
        <f t="shared" si="35"/>
        <v>43.012324771430336</v>
      </c>
      <c r="AL51" s="22">
        <f t="shared" si="4"/>
        <v>370.39231631024131</v>
      </c>
      <c r="AM51" s="62">
        <f t="shared" si="5"/>
        <v>663.72564964357457</v>
      </c>
      <c r="AN51" s="62">
        <f ca="1">AVERAGE(OFFSET($AM$3,0,0,'Données projet'!$E$10+1,1))-AVERAGE(OFFSET($H$3,0,0,'Données projet'!$E$10+1,1))</f>
        <v>354.24684313982857</v>
      </c>
      <c r="AO51" s="62">
        <f t="shared" si="36"/>
        <v>322.65043486962185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9.2265462424875349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9.2265462424875349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9.4</v>
      </c>
      <c r="BD51" s="13">
        <f>IF('Données projet'!$A$88&gt;35,BD50+BC51-BL50,IF(A51&lt;'Données projet'!$A$88,$BA$205^A51,IF(A51='Données projet'!$A$88,'Données projet'!$B$88,BD50+BC51-BL50)))</f>
        <v>234.20000000000016</v>
      </c>
      <c r="BE51" s="14">
        <f>BD51*VLOOKUP('Données projet'!$B$11,Paramètres!$A$1:$I$89,3,0)*VLOOKUP('Données projet'!$B$11,Paramètres!$A$1:$I$89,5,0)</f>
        <v>222.86472000000012</v>
      </c>
      <c r="BF51" s="14">
        <f t="shared" si="37"/>
        <v>54.737048868068356</v>
      </c>
      <c r="BG51" s="22">
        <f t="shared" si="7"/>
        <v>483.48974744521917</v>
      </c>
      <c r="BH51" s="62">
        <f t="shared" si="8"/>
        <v>776.82308077855248</v>
      </c>
      <c r="BI51" s="62">
        <f ca="1">AVERAGE(OFFSET($BH$3,0,0,'Données projet'!$E$11+1,1))-AVERAGE(OFFSET($H$3,0,0,'Données projet'!$E$11+1,1))</f>
        <v>460.77543902152325</v>
      </c>
      <c r="BJ51" s="62">
        <f t="shared" si="38"/>
        <v>341.4342976721104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6.3206997722872451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6.3206997722872451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17.650000000000006</v>
      </c>
      <c r="BY51" s="13">
        <f>IF('Données projet'!$A$114&gt;35,BY50+BX51-CG50,IF(A51&lt;'Données projet'!$A$114,$BV$205^A51,IF(A51='Données projet'!$A$114,'Données projet'!$B$114,BY50+BX51-CG50)))</f>
        <v>408.43000000000018</v>
      </c>
      <c r="BZ51" s="14">
        <f>BY51*VLOOKUP('Données projet'!$B$12,Paramètres!$A$1:$I$89,3,0)*VLOOKUP('Données projet'!$B$12,Paramètres!$A$1:$I$89,5,0)</f>
        <v>244.24114000000012</v>
      </c>
      <c r="CA51" s="14">
        <f t="shared" si="39"/>
        <v>59.351100041251485</v>
      </c>
      <c r="CB51" s="22">
        <f t="shared" si="10"/>
        <v>528.75648473851322</v>
      </c>
      <c r="CC51" s="62">
        <f t="shared" si="11"/>
        <v>822.08981807184659</v>
      </c>
      <c r="CD51" s="62">
        <f ca="1">AVERAGE(OFFSET($CC$3,0,0,'Données projet'!$E$12+1,1))-AVERAGE(OFFSET($H$3,0,0,'Données projet'!$E$12+1,1))</f>
        <v>438.68915237247444</v>
      </c>
      <c r="CE51" s="62">
        <f t="shared" si="40"/>
        <v>376.94419168335452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46.922770969325995</v>
      </c>
      <c r="CL51" s="23">
        <f>EXP(-LN(2)/25)*CL50+(1-EXP(-LN(2)/25))/(LN(2)/25)*Calculateur!CG51*Calculateur!CI51*VLOOKUP('Données projet'!$B$12,Paramètres!$A$1:$I$89,3,0)*0.475*44/12</f>
        <v>18.184957557934002</v>
      </c>
      <c r="CM51" s="23">
        <f>EXP(-LN(2)/2)*CM50+(1-EXP(-LN(2)/2))/(LN(2)/2)*CG51*CJ51*VLOOKUP('Données projet'!$B$12,Paramètres!$A$1:$I$89,3,0)*0.475*44/12</f>
        <v>4.2675964125433037</v>
      </c>
      <c r="CN51" s="24">
        <f t="shared" si="12"/>
        <v>69.375324939803292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14.526666666666671</v>
      </c>
      <c r="CT51" s="13">
        <f>IF('Données projet'!$A$140&gt;35,CT50+CS51-DB50,IF(A51&lt;'Données projet'!$A$140,$CQ$205^A51,IF(A51='Données projet'!$A$140,'Données projet'!$B$140,CT50+CS51-DB50)))</f>
        <v>347.08999999999992</v>
      </c>
      <c r="CU51" s="18">
        <f>CT51*VLOOKUP('Données projet'!$B$13,Paramètres!$A$1:$I$89,3,0)*VLOOKUP('Données projet'!$B$13,Paramètres!$A$1:$I$89,5,0)</f>
        <v>162.43811999999997</v>
      </c>
      <c r="CV51" s="14">
        <f t="shared" si="41"/>
        <v>41.391955212184378</v>
      </c>
      <c r="CW51" s="22">
        <f t="shared" si="13"/>
        <v>355.00404766122102</v>
      </c>
      <c r="CX51" s="62">
        <f t="shared" si="14"/>
        <v>648.33738099455434</v>
      </c>
      <c r="CY51" s="62">
        <f ca="1">AVERAGE(OFFSET($CX$3,0,0,'Données projet'!$E$13+1,1))-AVERAGE(OFFSET($H$3,0,0,'Données projet'!$E$13+1,1))</f>
        <v>302.06513069580848</v>
      </c>
      <c r="CZ51" s="62">
        <f t="shared" si="42"/>
        <v>164.1450425611464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9.3712500000000034</v>
      </c>
      <c r="N52" s="14">
        <f>IF('Données projet'!$A$36&gt;35,N51+M52-V51,IF(A52&lt;'Données projet'!$A$36,$K$205^A52,IF(A52='Données projet'!$A$36,'Données projet'!$B$36,N51+M52-V51)))</f>
        <v>185.64875000000012</v>
      </c>
      <c r="O52" s="14">
        <f>N52*VLOOKUP('Données projet'!$B$9,Paramètres!$A$1:$I$89,3,0)*VLOOKUP('Données projet'!$B$9,Paramètres!$A$1:$I$89,5,0)</f>
        <v>167.97498900000011</v>
      </c>
      <c r="P52" s="14">
        <f t="shared" si="33"/>
        <v>42.636172660412917</v>
      </c>
      <c r="Q52" s="22">
        <f t="shared" si="53"/>
        <v>366.81443989188602</v>
      </c>
      <c r="R52" s="62">
        <f t="shared" si="0"/>
        <v>660.14777322521934</v>
      </c>
      <c r="S52" s="62">
        <f ca="1">AVERAGE(OFFSET($R$3,0,0,'Données projet'!$E$9+1,1))-AVERAGE(OFFSET($H$3,0,0,'Données projet'!$E$9+1,1))</f>
        <v>581.88778927327667</v>
      </c>
      <c r="T52" s="62">
        <f t="shared" si="34"/>
        <v>269.67340993773422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3.2357608844675396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3.2357608844675396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7.4</v>
      </c>
      <c r="AI52" s="14">
        <f>IF('Données projet'!$A$62&gt;35,AI51+AH52-AQ51,IF(A52&lt;'Données projet'!$A$62,$AF$205^A52,IF(A52='Données projet'!$A$62,'Données projet'!$B$62,AI51+AH52-AQ51)))</f>
        <v>201.60000000000005</v>
      </c>
      <c r="AJ52" s="14">
        <f>AI52*VLOOKUP('Données projet'!$B$10,Paramètres!$A$1:$I$89,3,0)*VLOOKUP('Données projet'!$B$10,Paramètres!$A$1:$I$89,5,0)</f>
        <v>176.11776000000006</v>
      </c>
      <c r="AK52" s="14">
        <f t="shared" si="35"/>
        <v>44.457366290237246</v>
      </c>
      <c r="AL52" s="22">
        <f t="shared" si="4"/>
        <v>384.16834495549665</v>
      </c>
      <c r="AM52" s="62">
        <f t="shared" si="5"/>
        <v>677.50167828882991</v>
      </c>
      <c r="AN52" s="62">
        <f ca="1">AVERAGE(OFFSET($AM$3,0,0,'Données projet'!$E$10+1,1))-AVERAGE(OFFSET($H$3,0,0,'Données projet'!$E$10+1,1))</f>
        <v>354.24684313982857</v>
      </c>
      <c r="AO52" s="62">
        <f t="shared" si="36"/>
        <v>322.65043486962185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9.0456192983098784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9.0456192983098784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9.4</v>
      </c>
      <c r="BD52" s="13">
        <f>IF('Données projet'!$A$88&gt;35,BD51+BC52-BL51,IF(A52&lt;'Données projet'!$A$88,$BA$205^A52,IF(A52='Données projet'!$A$88,'Données projet'!$B$88,BD51+BC52-BL51)))</f>
        <v>243.60000000000016</v>
      </c>
      <c r="BE52" s="14">
        <f>BD52*VLOOKUP('Données projet'!$B$11,Paramètres!$A$1:$I$89,3,0)*VLOOKUP('Données projet'!$B$11,Paramètres!$A$1:$I$89,5,0)</f>
        <v>231.80976000000015</v>
      </c>
      <c r="BF52" s="14">
        <f t="shared" si="37"/>
        <v>56.673815277159378</v>
      </c>
      <c r="BG52" s="22">
        <f t="shared" si="7"/>
        <v>502.44222694105275</v>
      </c>
      <c r="BH52" s="62">
        <f t="shared" si="8"/>
        <v>795.77556027438607</v>
      </c>
      <c r="BI52" s="62">
        <f ca="1">AVERAGE(OFFSET($BH$3,0,0,'Données projet'!$E$11+1,1))-AVERAGE(OFFSET($H$3,0,0,'Données projet'!$E$11+1,1))</f>
        <v>460.77543902152325</v>
      </c>
      <c r="BJ52" s="62">
        <f t="shared" si="38"/>
        <v>341.4342976721104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6.1967547049988791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6.1967547049988791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17.650000000000006</v>
      </c>
      <c r="BY52" s="13">
        <f>IF('Données projet'!$A$114&gt;35,BY51+BX52-CG51,IF(A52&lt;'Données projet'!$A$114,$BV$205^A52,IF(A52='Données projet'!$A$114,'Données projet'!$B$114,BY51+BX52-CG51)))</f>
        <v>426.08000000000015</v>
      </c>
      <c r="BZ52" s="14">
        <f>BY52*VLOOKUP('Données projet'!$B$12,Paramètres!$A$1:$I$89,3,0)*VLOOKUP('Données projet'!$B$12,Paramètres!$A$1:$I$89,5,0)</f>
        <v>254.79584000000014</v>
      </c>
      <c r="CA52" s="14">
        <f t="shared" si="39"/>
        <v>61.61175934258921</v>
      </c>
      <c r="CB52" s="22">
        <f t="shared" si="10"/>
        <v>551.07656885500978</v>
      </c>
      <c r="CC52" s="62">
        <f t="shared" si="11"/>
        <v>844.40990218834304</v>
      </c>
      <c r="CD52" s="62">
        <f ca="1">AVERAGE(OFFSET($CC$3,0,0,'Données projet'!$E$12+1,1))-AVERAGE(OFFSET($H$3,0,0,'Données projet'!$E$12+1,1))</f>
        <v>438.68915237247444</v>
      </c>
      <c r="CE52" s="62">
        <f t="shared" si="40"/>
        <v>376.94419168335452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46.002644050681809</v>
      </c>
      <c r="CL52" s="23">
        <f>EXP(-LN(2)/25)*CL51+(1-EXP(-LN(2)/25))/(LN(2)/25)*Calculateur!CG52*Calculateur!CI52*VLOOKUP('Données projet'!$B$12,Paramètres!$A$1:$I$89,3,0)*0.475*44/12</f>
        <v>17.687688937206939</v>
      </c>
      <c r="CM52" s="23">
        <f>EXP(-LN(2)/2)*CM51+(1-EXP(-LN(2)/2))/(LN(2)/2)*CG52*CJ52*VLOOKUP('Données projet'!$B$12,Paramètres!$A$1:$I$89,3,0)*0.475*44/12</f>
        <v>3.0176463626767531</v>
      </c>
      <c r="CN52" s="24">
        <f t="shared" si="12"/>
        <v>66.707979350565509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14.526666666666671</v>
      </c>
      <c r="CT52" s="13">
        <f>IF('Données projet'!$A$140&gt;35,CT51+CS52-DB51,IF(A52&lt;'Données projet'!$A$140,$CQ$205^A52,IF(A52='Données projet'!$A$140,'Données projet'!$B$140,CT51+CS52-DB51)))</f>
        <v>361.61666666666656</v>
      </c>
      <c r="CU52" s="18">
        <f>CT52*VLOOKUP('Données projet'!$B$13,Paramètres!$A$1:$I$89,3,0)*VLOOKUP('Données projet'!$B$13,Paramètres!$A$1:$I$89,5,0)</f>
        <v>169.23659999999995</v>
      </c>
      <c r="CV52" s="14">
        <f t="shared" si="41"/>
        <v>42.919002620442882</v>
      </c>
      <c r="CW52" s="22">
        <f t="shared" si="13"/>
        <v>369.50434123060467</v>
      </c>
      <c r="CX52" s="62">
        <f t="shared" si="14"/>
        <v>662.83767456393798</v>
      </c>
      <c r="CY52" s="62">
        <f ca="1">AVERAGE(OFFSET($CX$3,0,0,'Données projet'!$E$13+1,1))-AVERAGE(OFFSET($H$3,0,0,'Données projet'!$E$13+1,1))</f>
        <v>302.06513069580848</v>
      </c>
      <c r="CZ52" s="62">
        <f t="shared" si="42"/>
        <v>164.1450425611464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195.02</v>
      </c>
      <c r="L53" s="13">
        <f>VLOOKUP(A53,'Données projet'!$A$35:$I$55,9,0)</f>
        <v>9.3712500000000034</v>
      </c>
      <c r="M53" s="13">
        <f t="array" ref="M53">INDEX(L:L,MIN(IF(ISNUMBER(L53:L249),ROW(L53:L249),"")))</f>
        <v>9.3712500000000034</v>
      </c>
      <c r="N53" s="14">
        <f>IF('Données projet'!$A$36&gt;35,N52+M53-V52,IF(A53&lt;'Données projet'!$A$36,$K$205^A53,IF(A53='Données projet'!$A$36,'Données projet'!$B$36,N52+M53-V52)))</f>
        <v>195.02000000000012</v>
      </c>
      <c r="O53" s="14">
        <f>N53*VLOOKUP('Données projet'!$B$9,Paramètres!$A$1:$I$89,3,0)*VLOOKUP('Données projet'!$B$9,Paramètres!$A$1:$I$89,5,0)</f>
        <v>176.45409600000011</v>
      </c>
      <c r="P53" s="14">
        <f t="shared" si="33"/>
        <v>44.532376676436577</v>
      </c>
      <c r="Q53" s="22">
        <f t="shared" si="53"/>
        <v>384.88477324479385</v>
      </c>
      <c r="R53" s="62">
        <f t="shared" si="0"/>
        <v>678.21810657812716</v>
      </c>
      <c r="S53" s="62">
        <f ca="1">AVERAGE(OFFSET($R$3,0,0,'Données projet'!$E$9+1,1))-AVERAGE(OFFSET($H$3,0,0,'Données projet'!$E$9+1,1))</f>
        <v>581.88778927327667</v>
      </c>
      <c r="T53" s="62">
        <f t="shared" si="34"/>
        <v>269.67340993773422</v>
      </c>
      <c r="U53" s="16">
        <f>IF(ISNA(VLOOKUP(A53,'Données projet'!$A$35:$I$55,3,0)),0,VLOOKUP(A53,'Données projet'!$A$35:$I$55,3,0))</f>
        <v>2</v>
      </c>
      <c r="V53" s="16">
        <f>IF(ISNA(VLOOKUP(A53,'Données projet'!$A$35:$I$55,4,0)),0,VLOOKUP(A53,'Données projet'!$A$35:$I$55,4,0))</f>
        <v>35.58</v>
      </c>
      <c r="W53" s="17">
        <f>IF(ISNA(VLOOKUP(A53,'Données projet'!$A$35:$I$55,5,0)),0%,VLOOKUP(A53,'Données projet'!$A$35:$I$55,5,0)*VLOOKUP('Données projet'!$B$9,Paramètres!$A$1:$I$89,7,0))</f>
        <v>8.6000000000000007E-2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6.2328921337587886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6.2328921337587886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209</v>
      </c>
      <c r="AG53" s="13">
        <f>VLOOKUP(A53,'Données projet'!$A$61:$I$81,9,0)</f>
        <v>7.4</v>
      </c>
      <c r="AH53" s="13">
        <f t="array" ref="AH53">INDEX(AG:AG,MIN(IF(ISNUMBER(AG53:AG249),ROW(AG53:AG249),"")))</f>
        <v>7.4</v>
      </c>
      <c r="AI53" s="14">
        <f>IF('Données projet'!$A$62&gt;35,AI52+AH53-AQ52,IF(A53&lt;'Données projet'!$A$62,$AF$205^A53,IF(A53='Données projet'!$A$62,'Données projet'!$B$62,AI52+AH53-AQ52)))</f>
        <v>209.00000000000006</v>
      </c>
      <c r="AJ53" s="14">
        <f>AI53*VLOOKUP('Données projet'!$B$10,Paramètres!$A$1:$I$89,3,0)*VLOOKUP('Données projet'!$B$10,Paramètres!$A$1:$I$89,5,0)</f>
        <v>182.58240000000009</v>
      </c>
      <c r="AK53" s="14">
        <f t="shared" si="35"/>
        <v>45.896245406460288</v>
      </c>
      <c r="AL53" s="22">
        <f t="shared" si="4"/>
        <v>397.93364074958509</v>
      </c>
      <c r="AM53" s="62">
        <f t="shared" si="5"/>
        <v>691.26697408291841</v>
      </c>
      <c r="AN53" s="62">
        <f ca="1">AVERAGE(OFFSET($AM$3,0,0,'Données projet'!$E$10+1,1))-AVERAGE(OFFSET($H$3,0,0,'Données projet'!$E$10+1,1))</f>
        <v>354.24684313982857</v>
      </c>
      <c r="AO53" s="62">
        <f t="shared" si="36"/>
        <v>322.65043486962185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24</v>
      </c>
      <c r="AR53" s="17">
        <f>IF(ISNA(VLOOKUP(A53,'Données projet'!$A$61:$I$81,5,0)),0%,VLOOKUP(A53,'Données projet'!$A$61:$I$81,5,0)*VLOOKUP('Données projet'!$B$10,Paramètres!$A$1:$I$89,7,0))</f>
        <v>0.17200000000000001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12.854810497608627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12.854810497608627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253</v>
      </c>
      <c r="BB53" s="13">
        <f>VLOOKUP(A53,'Données projet'!$A$87:$I$107,9,0)</f>
        <v>9.4</v>
      </c>
      <c r="BC53" s="13">
        <f t="array" ref="BC53">INDEX(BB:BB,MIN(IF(ISNUMBER(BB53:BB249),ROW(BB53:BB249),"")))</f>
        <v>9.4</v>
      </c>
      <c r="BD53" s="13">
        <f>IF('Données projet'!$A$88&gt;35,BD52+BC53-BL52,IF(A53&lt;'Données projet'!$A$88,$BA$205^A53,IF(A53='Données projet'!$A$88,'Données projet'!$B$88,BD52+BC53-BL52)))</f>
        <v>253.00000000000017</v>
      </c>
      <c r="BE53" s="14">
        <f>BD53*VLOOKUP('Données projet'!$B$11,Paramètres!$A$1:$I$89,3,0)*VLOOKUP('Données projet'!$B$11,Paramètres!$A$1:$I$89,5,0)</f>
        <v>240.75480000000016</v>
      </c>
      <c r="BF53" s="14">
        <f t="shared" si="37"/>
        <v>58.601899688541096</v>
      </c>
      <c r="BG53" s="22">
        <f t="shared" si="7"/>
        <v>521.37958529087598</v>
      </c>
      <c r="BH53" s="62">
        <f t="shared" si="8"/>
        <v>814.71291862420935</v>
      </c>
      <c r="BI53" s="62">
        <f ca="1">AVERAGE(OFFSET($BH$3,0,0,'Données projet'!$E$11+1,1))-AVERAGE(OFFSET($H$3,0,0,'Données projet'!$E$11+1,1))</f>
        <v>460.77543902152325</v>
      </c>
      <c r="BJ53" s="62">
        <f t="shared" si="38"/>
        <v>341.4342976721104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31</v>
      </c>
      <c r="BM53" s="17">
        <f>IF(ISNA(VLOOKUP(A53,'Données projet'!$A$87:$I$107,5,0)),0%,VLOOKUP(A53,'Données projet'!$A$87:$I$107,5,0)*VLOOKUP('Données projet'!$B$11,Paramètres!$A$1:$I$89,7,0))</f>
        <v>0.129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10.28205061192207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10.28205061192207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443.73</v>
      </c>
      <c r="BW53" s="13">
        <f>VLOOKUP(A53,'Données projet'!$A$113:$I$133,9,0)</f>
        <v>17.650000000000006</v>
      </c>
      <c r="BX53" s="13">
        <f t="array" ref="BX53">INDEX(BW:BW,MIN(IF(ISNUMBER(BW53:BW249),ROW(BW53:BW249),"")))</f>
        <v>17.650000000000006</v>
      </c>
      <c r="BY53" s="13">
        <f>IF('Données projet'!$A$114&gt;35,BY52+BX53-CG52,IF(A53&lt;'Données projet'!$A$114,$BV$205^A53,IF(A53='Données projet'!$A$114,'Données projet'!$B$114,BY52+BX53-CG52)))</f>
        <v>443.73000000000013</v>
      </c>
      <c r="BZ53" s="14">
        <f>BY53*VLOOKUP('Données projet'!$B$12,Paramètres!$A$1:$I$89,3,0)*VLOOKUP('Données projet'!$B$12,Paramètres!$A$1:$I$89,5,0)</f>
        <v>265.35054000000008</v>
      </c>
      <c r="CA53" s="14">
        <f t="shared" si="39"/>
        <v>63.861541215481004</v>
      </c>
      <c r="CB53" s="22">
        <f t="shared" si="10"/>
        <v>573.37770811696282</v>
      </c>
      <c r="CC53" s="62">
        <f t="shared" si="11"/>
        <v>866.71104145029608</v>
      </c>
      <c r="CD53" s="62">
        <f ca="1">AVERAGE(OFFSET($CC$3,0,0,'Données projet'!$E$12+1,1))-AVERAGE(OFFSET($H$3,0,0,'Données projet'!$E$12+1,1))</f>
        <v>438.68915237247444</v>
      </c>
      <c r="CE53" s="62">
        <f t="shared" si="40"/>
        <v>376.94419168335452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0.36000000000000004</v>
      </c>
      <c r="CI53" s="17">
        <f>IF(ISNA(VLOOKUP(A53,'Données projet'!$A$113:$I$133,6,0)),0%,VLOOKUP(A53,'Données projet'!$A$113:$I$133,6,0)*VLOOKUP('Données projet'!$B$12,Paramètres!$A$1:$I$89,7,0))</f>
        <v>4.9500000000000002E-2</v>
      </c>
      <c r="CJ53" s="17">
        <f>IF(ISNA(VLOOKUP(A53,'Données projet'!$A$113:$I$133,7,0)),0%,VLOOKUP(A53,'Données projet'!$A$113:$I$133,7,0))</f>
        <v>0.09</v>
      </c>
      <c r="CK53" s="23">
        <f>EXP(-LN(2)/35)*CK52+(1-EXP(-LN(2)/35))/(LN(2)/35)*CG53*CH53*VLOOKUP('Données projet'!$B$12,Paramètres!$A$1:$I$89,3,0)*0.475*44/12</f>
        <v>45.100560259690226</v>
      </c>
      <c r="CL53" s="23">
        <f>EXP(-LN(2)/25)*CL52+(1-EXP(-LN(2)/25))/(LN(2)/25)*Calculateur!CG53*Calculateur!CI53*VLOOKUP('Données projet'!$B$12,Paramètres!$A$1:$I$89,3,0)*0.475*44/12</f>
        <v>17.204018153063881</v>
      </c>
      <c r="CM53" s="23">
        <f>EXP(-LN(2)/2)*CM52+(1-EXP(-LN(2)/2))/(LN(2)/2)*CG53*CJ53*VLOOKUP('Données projet'!$B$12,Paramètres!$A$1:$I$89,3,0)*0.475*44/12</f>
        <v>2.1337982062716518</v>
      </c>
      <c r="CN53" s="24">
        <f t="shared" si="12"/>
        <v>64.43837661902576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14.526666666666671</v>
      </c>
      <c r="CT53" s="13">
        <f>IF('Données projet'!$A$140&gt;35,CT52+CS53-DB52,IF(A53&lt;'Données projet'!$A$140,$CQ$205^A53,IF(A53='Données projet'!$A$140,'Données projet'!$B$140,CT52+CS53-DB52)))</f>
        <v>376.1433333333332</v>
      </c>
      <c r="CU53" s="18">
        <f>CT53*VLOOKUP('Données projet'!$B$13,Paramètres!$A$1:$I$89,3,0)*VLOOKUP('Données projet'!$B$13,Paramètres!$A$1:$I$89,5,0)</f>
        <v>176.03507999999994</v>
      </c>
      <c r="CV53" s="14">
        <f t="shared" si="41"/>
        <v>44.438924264621399</v>
      </c>
      <c r="CW53" s="22">
        <f t="shared" si="13"/>
        <v>383.99222409421549</v>
      </c>
      <c r="CX53" s="62">
        <f t="shared" si="14"/>
        <v>677.3255574275488</v>
      </c>
      <c r="CY53" s="62">
        <f ca="1">AVERAGE(OFFSET($CX$3,0,0,'Données projet'!$E$13+1,1))-AVERAGE(OFFSET($H$3,0,0,'Données projet'!$E$13+1,1))</f>
        <v>302.06513069580848</v>
      </c>
      <c r="CZ53" s="62">
        <f t="shared" si="42"/>
        <v>164.1450425611464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9.5537500000000009</v>
      </c>
      <c r="N54" s="14">
        <f>IF('Données projet'!$A$36&gt;35,N53+M54-V53,IF(A54&lt;'Données projet'!$A$36,$K$205^A54,IF(A54='Données projet'!$A$36,'Données projet'!$B$36,N53+M54-V53)))</f>
        <v>168.99375000000015</v>
      </c>
      <c r="O54" s="14">
        <f>N54*VLOOKUP('Données projet'!$B$9,Paramètres!$A$1:$I$89,3,0)*VLOOKUP('Données projet'!$B$9,Paramètres!$A$1:$I$89,5,0)</f>
        <v>152.90554500000013</v>
      </c>
      <c r="P54" s="14">
        <f t="shared" si="33"/>
        <v>39.238142074568863</v>
      </c>
      <c r="Q54" s="22">
        <f t="shared" si="53"/>
        <v>334.65025498820768</v>
      </c>
      <c r="R54" s="62">
        <f t="shared" si="0"/>
        <v>627.98358832154099</v>
      </c>
      <c r="S54" s="62">
        <f ca="1">AVERAGE(OFFSET($R$3,0,0,'Données projet'!$E$9+1,1))-AVERAGE(OFFSET($H$3,0,0,'Données projet'!$E$9+1,1))</f>
        <v>581.88778927327667</v>
      </c>
      <c r="T54" s="62">
        <f t="shared" si="34"/>
        <v>269.67340993773422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6.1106689207045948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6.1106689207045948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6.6</v>
      </c>
      <c r="AI54" s="14">
        <f>IF('Données projet'!$A$62&gt;35,AI53+AH54-AQ53,IF(A54&lt;'Données projet'!$A$62,$AF$205^A54,IF(A54='Données projet'!$A$62,'Données projet'!$B$62,AI53+AH54-AQ53)))</f>
        <v>191.60000000000005</v>
      </c>
      <c r="AJ54" s="14">
        <f>AI54*VLOOKUP('Données projet'!$B$10,Paramètres!$A$1:$I$89,3,0)*VLOOKUP('Données projet'!$B$10,Paramètres!$A$1:$I$89,5,0)</f>
        <v>167.38176000000007</v>
      </c>
      <c r="AK54" s="14">
        <f t="shared" si="35"/>
        <v>42.503096259839239</v>
      </c>
      <c r="AL54" s="22">
        <f t="shared" si="4"/>
        <v>365.5494579858867</v>
      </c>
      <c r="AM54" s="62">
        <f t="shared" si="5"/>
        <v>658.88279131922002</v>
      </c>
      <c r="AN54" s="62">
        <f ca="1">AVERAGE(OFFSET($AM$3,0,0,'Données projet'!$E$10+1,1))-AVERAGE(OFFSET($H$3,0,0,'Données projet'!$E$10+1,1))</f>
        <v>354.24684313982857</v>
      </c>
      <c r="AO54" s="62">
        <f t="shared" si="36"/>
        <v>322.65043486962185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12.602735504410724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12.602735504410724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8.6</v>
      </c>
      <c r="BD54" s="13">
        <f>IF('Données projet'!$A$88&gt;35,BD53+BC54-BL53,IF(A54&lt;'Données projet'!$A$88,$BA$205^A54,IF(A54='Données projet'!$A$88,'Données projet'!$B$88,BD53+BC54-BL53)))</f>
        <v>230.60000000000019</v>
      </c>
      <c r="BE54" s="14">
        <f>BD54*VLOOKUP('Données projet'!$B$11,Paramètres!$A$1:$I$89,3,0)*VLOOKUP('Données projet'!$B$11,Paramètres!$A$1:$I$89,5,0)</f>
        <v>219.43896000000018</v>
      </c>
      <c r="BF54" s="14">
        <f t="shared" si="37"/>
        <v>53.992928333089409</v>
      </c>
      <c r="BG54" s="22">
        <f t="shared" si="7"/>
        <v>476.2272055134643</v>
      </c>
      <c r="BH54" s="62">
        <f t="shared" si="8"/>
        <v>769.56053884679761</v>
      </c>
      <c r="BI54" s="62">
        <f ca="1">AVERAGE(OFFSET($BH$3,0,0,'Données projet'!$E$11+1,1))-AVERAGE(OFFSET($H$3,0,0,'Données projet'!$E$11+1,1))</f>
        <v>460.77543902152325</v>
      </c>
      <c r="BJ54" s="62">
        <f t="shared" si="38"/>
        <v>341.4342976721104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10.080425870853899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10.080425870853899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17.995000000000005</v>
      </c>
      <c r="BY54" s="13">
        <f>IF('Données projet'!$A$114&gt;35,BY53+BX54-CG53,IF(A54&lt;'Données projet'!$A$114,$BV$205^A54,IF(A54='Données projet'!$A$114,'Données projet'!$B$114,BY53+BX54-CG53)))</f>
        <v>461.72500000000014</v>
      </c>
      <c r="BZ54" s="14">
        <f>BY54*VLOOKUP('Données projet'!$B$12,Paramètres!$A$1:$I$89,3,0)*VLOOKUP('Données projet'!$B$12,Paramètres!$A$1:$I$89,5,0)</f>
        <v>276.11155000000008</v>
      </c>
      <c r="CA54" s="14">
        <f t="shared" si="39"/>
        <v>66.144599992702055</v>
      </c>
      <c r="CB54" s="22">
        <f t="shared" si="10"/>
        <v>596.09612790395624</v>
      </c>
      <c r="CC54" s="62">
        <f t="shared" si="11"/>
        <v>889.42946123728962</v>
      </c>
      <c r="CD54" s="62">
        <f ca="1">AVERAGE(OFFSET($CC$3,0,0,'Données projet'!$E$12+1,1))-AVERAGE(OFFSET($H$3,0,0,'Données projet'!$E$12+1,1))</f>
        <v>438.68915237247444</v>
      </c>
      <c r="CE54" s="62">
        <f t="shared" si="40"/>
        <v>376.94419168335452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44.216165781623211</v>
      </c>
      <c r="CL54" s="23">
        <f>EXP(-LN(2)/25)*CL53+(1-EXP(-LN(2)/25))/(LN(2)/25)*Calculateur!CG54*Calculateur!CI54*VLOOKUP('Données projet'!$B$12,Paramètres!$A$1:$I$89,3,0)*0.475*44/12</f>
        <v>16.733573371948356</v>
      </c>
      <c r="CM54" s="23">
        <f>EXP(-LN(2)/2)*CM53+(1-EXP(-LN(2)/2))/(LN(2)/2)*CG54*CJ54*VLOOKUP('Données projet'!$B$12,Paramètres!$A$1:$I$89,3,0)*0.475*44/12</f>
        <v>1.5088231813383766</v>
      </c>
      <c r="CN54" s="24">
        <f t="shared" si="12"/>
        <v>62.458562334909949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>
        <f>VLOOKUP(A54,'Données projet'!$A$139:$I$159,2,0)</f>
        <v>390.67</v>
      </c>
      <c r="CR54" s="13">
        <f>VLOOKUP(A54,'Données projet'!$A$139:$I$159,9,0)</f>
        <v>14.526666666666671</v>
      </c>
      <c r="CS54" s="13">
        <f t="array" ref="CS54">INDEX(CR:CR,MIN(IF(ISNUMBER(CR54:CR250),ROW(CR54:CR250),"")))</f>
        <v>14.526666666666671</v>
      </c>
      <c r="CT54" s="13">
        <f>IF('Données projet'!$A$140&gt;35,CT53+CS54-DB53,IF(A54&lt;'Données projet'!$A$140,$CQ$205^A54,IF(A54='Données projet'!$A$140,'Données projet'!$B$140,CT53+CS54-DB53)))</f>
        <v>390.66999999999985</v>
      </c>
      <c r="CU54" s="18">
        <f>CT54*VLOOKUP('Données projet'!$B$13,Paramètres!$A$1:$I$89,3,0)*VLOOKUP('Données projet'!$B$13,Paramètres!$A$1:$I$89,5,0)</f>
        <v>182.83355999999992</v>
      </c>
      <c r="CV54" s="14">
        <f t="shared" si="41"/>
        <v>45.952026840631447</v>
      </c>
      <c r="CW54" s="22">
        <f t="shared" si="13"/>
        <v>398.46823041409965</v>
      </c>
      <c r="CX54" s="62">
        <f t="shared" si="14"/>
        <v>691.80156374743297</v>
      </c>
      <c r="CY54" s="62">
        <f ca="1">AVERAGE(OFFSET($CX$3,0,0,'Données projet'!$E$13+1,1))-AVERAGE(OFFSET($H$3,0,0,'Données projet'!$E$13+1,1))</f>
        <v>302.06513069580848</v>
      </c>
      <c r="CZ54" s="62">
        <f t="shared" si="42"/>
        <v>164.1450425611464</v>
      </c>
      <c r="DA54" s="16">
        <f>IF(ISNA(VLOOKUP(A54,'Données projet'!$A$139:$I$159,3,0)),0,VLOOKUP(A54,'Données projet'!$A$139:$I$159,3,0))</f>
        <v>1</v>
      </c>
      <c r="DB54" s="16">
        <f>IF(ISNA(VLOOKUP(A54,'Données projet'!$A$139:$I$159,4,0)),0,VLOOKUP(A54,'Données projet'!$A$139:$I$159,4,0))</f>
        <v>171.3</v>
      </c>
      <c r="DC54" s="17">
        <f>IF(ISNA(VLOOKUP(A54,'Données projet'!$A$139:$I$159,5,0)),0%,VLOOKUP(A54,'Données projet'!$A$139:$I$159,5,0)*VLOOKUP('Données projet'!$B$13,Paramètres!$A$1:$I$89,7,0))</f>
        <v>0.22000000000000003</v>
      </c>
      <c r="DD54" s="17">
        <f>IF(ISNA(VLOOKUP(A54,'Données projet'!$A$139:$I$159,6,0)),0%,VLOOKUP(A54,'Données projet'!$A$139:$I$159,6,0)*VLOOKUP('Données projet'!$B$13,Paramètres!$A$1:$I$89,7,0))</f>
        <v>0.18700000000000003</v>
      </c>
      <c r="DE54" s="17">
        <f>IF(ISNA(VLOOKUP(A54,'Données projet'!$A$139:$I$159,7,0)),0%,VLOOKUP(A54,'Données projet'!$A$139:$I$159,7,0))</f>
        <v>0.26</v>
      </c>
      <c r="DF54" s="23">
        <f>EXP(-LN(2)/35)*DF53+(1-EXP(-LN(2)/35))/(LN(2)/35)*DB54*DC54*VLOOKUP('Données projet'!$B$13,Paramètres!$A$1:$I$89,3,0)*0.475*44/12</f>
        <v>23.396680975681036</v>
      </c>
      <c r="DG54" s="23">
        <f>EXP(-LN(2)/25)*DG53+(1-EXP(-LN(2)/25))/(LN(2)/25)*Calculateur!DB54*Calculateur!DD54*VLOOKUP('Données projet'!$B$13,Paramètres!$A$1:$I$89,3,0)*0.475*44/12</f>
        <v>19.808875428668603</v>
      </c>
      <c r="DH54" s="23">
        <f>EXP(-LN(2)/2)*DH53+(1-EXP(-LN(2)/2))/(LN(2)/2)*DB54*DE54*VLOOKUP('Données projet'!$B$13,Paramètres!$A$1:$I$89,3,0)*0.475*44/12</f>
        <v>23.600005447465392</v>
      </c>
      <c r="DI54" s="24">
        <f t="shared" si="15"/>
        <v>66.805561851815028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9.5537500000000009</v>
      </c>
      <c r="N55" s="14">
        <f>IF('Données projet'!$A$36&gt;35,N54+M55-V54,IF(A55&lt;'Données projet'!$A$36,$K$205^A55,IF(A55='Données projet'!$A$36,'Données projet'!$B$36,N54+M55-V54)))</f>
        <v>178.54750000000016</v>
      </c>
      <c r="O55" s="14">
        <f>N55*VLOOKUP('Données projet'!$B$9,Paramètres!$A$1:$I$89,3,0)*VLOOKUP('Données projet'!$B$9,Paramètres!$A$1:$I$89,5,0)</f>
        <v>161.54977800000012</v>
      </c>
      <c r="P55" s="14">
        <f t="shared" si="33"/>
        <v>41.191875810979205</v>
      </c>
      <c r="Q55" s="22">
        <f t="shared" si="53"/>
        <v>353.10838038745561</v>
      </c>
      <c r="R55" s="62">
        <f t="shared" si="0"/>
        <v>646.44171372078893</v>
      </c>
      <c r="S55" s="62">
        <f ca="1">AVERAGE(OFFSET($R$3,0,0,'Données projet'!$E$9+1,1))-AVERAGE(OFFSET($H$3,0,0,'Données projet'!$E$9+1,1))</f>
        <v>581.88778927327667</v>
      </c>
      <c r="T55" s="62">
        <f t="shared" si="34"/>
        <v>269.67340993773422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5.9908424303095948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5.9908424303095948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6.6</v>
      </c>
      <c r="AI55" s="14">
        <f>IF('Données projet'!$A$62&gt;35,AI54+AH55-AQ54,IF(A55&lt;'Données projet'!$A$62,$AF$205^A55,IF(A55='Données projet'!$A$62,'Données projet'!$B$62,AI54+AH55-AQ54)))</f>
        <v>198.20000000000005</v>
      </c>
      <c r="AJ55" s="14">
        <f>AI55*VLOOKUP('Données projet'!$B$10,Paramètres!$A$1:$I$89,3,0)*VLOOKUP('Données projet'!$B$10,Paramètres!$A$1:$I$89,5,0)</f>
        <v>173.14752000000007</v>
      </c>
      <c r="AK55" s="14">
        <f t="shared" si="35"/>
        <v>43.794208927254068</v>
      </c>
      <c r="AL55" s="22">
        <f t="shared" si="4"/>
        <v>377.84017788163425</v>
      </c>
      <c r="AM55" s="62">
        <f t="shared" si="5"/>
        <v>671.17351121496756</v>
      </c>
      <c r="AN55" s="62">
        <f ca="1">AVERAGE(OFFSET($AM$3,0,0,'Données projet'!$E$10+1,1))-AVERAGE(OFFSET($H$3,0,0,'Données projet'!$E$10+1,1))</f>
        <v>354.24684313982857</v>
      </c>
      <c r="AO55" s="62">
        <f t="shared" si="36"/>
        <v>322.65043486962185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12.355603548078868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12.355603548078868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8.6</v>
      </c>
      <c r="BD55" s="13">
        <f>IF('Données projet'!$A$88&gt;35,BD54+BC55-BL54,IF(A55&lt;'Données projet'!$A$88,$BA$205^A55,IF(A55='Données projet'!$A$88,'Données projet'!$B$88,BD54+BC55-BL54)))</f>
        <v>239.20000000000019</v>
      </c>
      <c r="BE55" s="14">
        <f>BD55*VLOOKUP('Données projet'!$B$11,Paramètres!$A$1:$I$89,3,0)*VLOOKUP('Données projet'!$B$11,Paramètres!$A$1:$I$89,5,0)</f>
        <v>227.62272000000019</v>
      </c>
      <c r="BF55" s="14">
        <f t="shared" si="37"/>
        <v>55.768347604909572</v>
      </c>
      <c r="BG55" s="22">
        <f t="shared" si="7"/>
        <v>493.57277607855121</v>
      </c>
      <c r="BH55" s="62">
        <f t="shared" si="8"/>
        <v>786.90610941188447</v>
      </c>
      <c r="BI55" s="62">
        <f ca="1">AVERAGE(OFFSET($BH$3,0,0,'Données projet'!$E$11+1,1))-AVERAGE(OFFSET($H$3,0,0,'Données projet'!$E$11+1,1))</f>
        <v>460.77543902152325</v>
      </c>
      <c r="BJ55" s="62">
        <f t="shared" si="38"/>
        <v>341.4342976721104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9.8827548679791253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9.8827548679791253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17.995000000000005</v>
      </c>
      <c r="BY55" s="13">
        <f>IF('Données projet'!$A$114&gt;35,BY54+BX55-CG54,IF(A55&lt;'Données projet'!$A$114,$BV$205^A55,IF(A55='Données projet'!$A$114,'Données projet'!$B$114,BY54+BX55-CG54)))</f>
        <v>479.72000000000014</v>
      </c>
      <c r="BZ55" s="14">
        <f>BY55*VLOOKUP('Données projet'!$B$12,Paramètres!$A$1:$I$89,3,0)*VLOOKUP('Données projet'!$B$12,Paramètres!$A$1:$I$89,5,0)</f>
        <v>286.87256000000014</v>
      </c>
      <c r="CA55" s="14">
        <f t="shared" si="39"/>
        <v>68.41732235454451</v>
      </c>
      <c r="CB55" s="22">
        <f t="shared" si="10"/>
        <v>618.79654510083196</v>
      </c>
      <c r="CC55" s="62">
        <f t="shared" si="11"/>
        <v>912.12987843416522</v>
      </c>
      <c r="CD55" s="62">
        <f ca="1">AVERAGE(OFFSET($CC$3,0,0,'Données projet'!$E$12+1,1))-AVERAGE(OFFSET($H$3,0,0,'Données projet'!$E$12+1,1))</f>
        <v>438.68915237247444</v>
      </c>
      <c r="CE55" s="62">
        <f t="shared" si="40"/>
        <v>376.94419168335452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43.349113739843716</v>
      </c>
      <c r="CL55" s="23">
        <f>EXP(-LN(2)/25)*CL54+(1-EXP(-LN(2)/25))/(LN(2)/25)*Calculateur!CG55*Calculateur!CI55*VLOOKUP('Données projet'!$B$12,Paramètres!$A$1:$I$89,3,0)*0.475*44/12</f>
        <v>16.27599292811205</v>
      </c>
      <c r="CM55" s="23">
        <f>EXP(-LN(2)/2)*CM54+(1-EXP(-LN(2)/2))/(LN(2)/2)*CG55*CJ55*VLOOKUP('Données projet'!$B$12,Paramètres!$A$1:$I$89,3,0)*0.475*44/12</f>
        <v>1.0668991031358259</v>
      </c>
      <c r="CN55" s="24">
        <f t="shared" si="12"/>
        <v>60.692005771091587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13.224999999999994</v>
      </c>
      <c r="CT55" s="13">
        <f>IF('Données projet'!$A$140&gt;35,CT54+CS55-DB54,IF(A55&lt;'Données projet'!$A$140,$CQ$205^A55,IF(A55='Données projet'!$A$140,'Données projet'!$B$140,CT54+CS55-DB54)))</f>
        <v>232.59499999999986</v>
      </c>
      <c r="CU55" s="18">
        <f>CT55*VLOOKUP('Données projet'!$B$13,Paramètres!$A$1:$I$89,3,0)*VLOOKUP('Données projet'!$B$13,Paramètres!$A$1:$I$89,5,0)</f>
        <v>108.85445999999993</v>
      </c>
      <c r="CV55" s="14">
        <f t="shared" si="41"/>
        <v>29.060922192338065</v>
      </c>
      <c r="CW55" s="22">
        <f t="shared" si="13"/>
        <v>240.20262398498866</v>
      </c>
      <c r="CX55" s="62">
        <f t="shared" si="14"/>
        <v>533.53595731832195</v>
      </c>
      <c r="CY55" s="62">
        <f ca="1">AVERAGE(OFFSET($CX$3,0,0,'Données projet'!$E$13+1,1))-AVERAGE(OFFSET($H$3,0,0,'Données projet'!$E$13+1,1))</f>
        <v>302.06513069580848</v>
      </c>
      <c r="CZ55" s="62">
        <f t="shared" si="42"/>
        <v>164.1450425611464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22.937886332314225</v>
      </c>
      <c r="DG55" s="23">
        <f>EXP(-LN(2)/25)*DG54+(1-EXP(-LN(2)/25))/(LN(2)/25)*Calculateur!DB55*Calculateur!DD55*VLOOKUP('Données projet'!$B$13,Paramètres!$A$1:$I$89,3,0)*0.475*44/12</f>
        <v>19.267200688368174</v>
      </c>
      <c r="DH55" s="23">
        <f>EXP(-LN(2)/2)*DH54+(1-EXP(-LN(2)/2))/(LN(2)/2)*DB55*DE55*VLOOKUP('Données projet'!$B$13,Paramètres!$A$1:$I$89,3,0)*0.475*44/12</f>
        <v>16.687723887942241</v>
      </c>
      <c r="DI55" s="24">
        <f t="shared" si="15"/>
        <v>58.892810908624639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9.5537500000000009</v>
      </c>
      <c r="N56" s="14">
        <f>IF('Données projet'!$A$36&gt;35,N55+M56-V55,IF(A56&lt;'Données projet'!$A$36,$K$205^A56,IF(A56='Données projet'!$A$36,'Données projet'!$B$36,N55+M56-V55)))</f>
        <v>188.10125000000016</v>
      </c>
      <c r="O56" s="14">
        <f>N56*VLOOKUP('Données projet'!$B$9,Paramètres!$A$1:$I$89,3,0)*VLOOKUP('Données projet'!$B$9,Paramètres!$A$1:$I$89,5,0)</f>
        <v>170.19401100000013</v>
      </c>
      <c r="P56" s="14">
        <f t="shared" si="33"/>
        <v>43.133472710542861</v>
      </c>
      <c r="Q56" s="22">
        <f t="shared" si="53"/>
        <v>371.54536746252899</v>
      </c>
      <c r="R56" s="62">
        <f t="shared" si="0"/>
        <v>664.8787007958623</v>
      </c>
      <c r="S56" s="62">
        <f ca="1">AVERAGE(OFFSET($R$3,0,0,'Données projet'!$E$9+1,1))-AVERAGE(OFFSET($H$3,0,0,'Données projet'!$E$9+1,1))</f>
        <v>581.88778927327667</v>
      </c>
      <c r="T56" s="62">
        <f t="shared" si="34"/>
        <v>269.67340993773422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5.8733656643042984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5.8733656643042984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6.6</v>
      </c>
      <c r="AI56" s="14">
        <f>IF('Données projet'!$A$62&gt;35,AI55+AH56-AQ55,IF(A56&lt;'Données projet'!$A$62,$AF$205^A56,IF(A56='Données projet'!$A$62,'Données projet'!$B$62,AI55+AH56-AQ55)))</f>
        <v>204.80000000000004</v>
      </c>
      <c r="AJ56" s="14">
        <f>AI56*VLOOKUP('Données projet'!$B$10,Paramètres!$A$1:$I$89,3,0)*VLOOKUP('Données projet'!$B$10,Paramètres!$A$1:$I$89,5,0)</f>
        <v>178.91328000000004</v>
      </c>
      <c r="AK56" s="14">
        <f t="shared" si="35"/>
        <v>45.080325843494848</v>
      </c>
      <c r="AL56" s="22">
        <f t="shared" si="4"/>
        <v>390.12219684408689</v>
      </c>
      <c r="AM56" s="62">
        <f t="shared" si="5"/>
        <v>683.4555301774202</v>
      </c>
      <c r="AN56" s="62">
        <f ca="1">AVERAGE(OFFSET($AM$3,0,0,'Données projet'!$E$10+1,1))-AVERAGE(OFFSET($H$3,0,0,'Données projet'!$E$10+1,1))</f>
        <v>354.24684313982857</v>
      </c>
      <c r="AO56" s="62">
        <f t="shared" si="36"/>
        <v>322.65043486962185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12.11331769867507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12.11331769867507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8.6</v>
      </c>
      <c r="BD56" s="13">
        <f>IF('Données projet'!$A$88&gt;35,BD55+BC56-BL55,IF(A56&lt;'Données projet'!$A$88,$BA$205^A56,IF(A56='Données projet'!$A$88,'Données projet'!$B$88,BD55+BC56-BL55)))</f>
        <v>247.80000000000018</v>
      </c>
      <c r="BE56" s="14">
        <f>BD56*VLOOKUP('Données projet'!$B$11,Paramètres!$A$1:$I$89,3,0)*VLOOKUP('Données projet'!$B$11,Paramètres!$A$1:$I$89,5,0)</f>
        <v>235.80648000000016</v>
      </c>
      <c r="BF56" s="14">
        <f t="shared" si="37"/>
        <v>57.536350673935857</v>
      </c>
      <c r="BG56" s="22">
        <f t="shared" si="7"/>
        <v>510.90543009043859</v>
      </c>
      <c r="BH56" s="62">
        <f t="shared" si="8"/>
        <v>804.23876342377184</v>
      </c>
      <c r="BI56" s="62">
        <f ca="1">AVERAGE(OFFSET($BH$3,0,0,'Données projet'!$E$11+1,1))-AVERAGE(OFFSET($H$3,0,0,'Données projet'!$E$11+1,1))</f>
        <v>460.77543902152325</v>
      </c>
      <c r="BJ56" s="62">
        <f t="shared" si="38"/>
        <v>341.4342976721104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9.6889600729033205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9.6889600729033205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17.995000000000005</v>
      </c>
      <c r="BY56" s="13">
        <f>IF('Données projet'!$A$114&gt;35,BY55+BX56-CG55,IF(A56&lt;'Données projet'!$A$114,$BV$205^A56,IF(A56='Données projet'!$A$114,'Données projet'!$B$114,BY55+BX56-CG55)))</f>
        <v>497.71500000000015</v>
      </c>
      <c r="BZ56" s="14">
        <f>BY56*VLOOKUP('Données projet'!$B$12,Paramètres!$A$1:$I$89,3,0)*VLOOKUP('Données projet'!$B$12,Paramètres!$A$1:$I$89,5,0)</f>
        <v>297.63357000000008</v>
      </c>
      <c r="CA56" s="14">
        <f t="shared" si="39"/>
        <v>70.680140429959067</v>
      </c>
      <c r="CB56" s="22">
        <f t="shared" si="10"/>
        <v>641.47971233217879</v>
      </c>
      <c r="CC56" s="62">
        <f t="shared" si="11"/>
        <v>934.81304566551216</v>
      </c>
      <c r="CD56" s="62">
        <f ca="1">AVERAGE(OFFSET($CC$3,0,0,'Données projet'!$E$12+1,1))-AVERAGE(OFFSET($H$3,0,0,'Données projet'!$E$12+1,1))</f>
        <v>438.68915237247444</v>
      </c>
      <c r="CE56" s="62">
        <f t="shared" si="40"/>
        <v>376.94419168335452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42.499064059753998</v>
      </c>
      <c r="CL56" s="23">
        <f>EXP(-LN(2)/25)*CL55+(1-EXP(-LN(2)/25))/(LN(2)/25)*Calculateur!CG56*Calculateur!CI56*VLOOKUP('Données projet'!$B$12,Paramètres!$A$1:$I$89,3,0)*0.475*44/12</f>
        <v>15.830925045575556</v>
      </c>
      <c r="CM56" s="23">
        <f>EXP(-LN(2)/2)*CM55+(1-EXP(-LN(2)/2))/(LN(2)/2)*CG56*CJ56*VLOOKUP('Données projet'!$B$12,Paramètres!$A$1:$I$89,3,0)*0.475*44/12</f>
        <v>0.75441159066918828</v>
      </c>
      <c r="CN56" s="24">
        <f t="shared" si="12"/>
        <v>59.084400695998738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13.224999999999994</v>
      </c>
      <c r="CT56" s="13">
        <f>IF('Données projet'!$A$140&gt;35,CT55+CS56-DB55,IF(A56&lt;'Données projet'!$A$140,$CQ$205^A56,IF(A56='Données projet'!$A$140,'Données projet'!$B$140,CT55+CS56-DB55)))</f>
        <v>245.81999999999985</v>
      </c>
      <c r="CU56" s="18">
        <f>CT56*VLOOKUP('Données projet'!$B$13,Paramètres!$A$1:$I$89,3,0)*VLOOKUP('Données projet'!$B$13,Paramètres!$A$1:$I$89,5,0)</f>
        <v>115.04375999999992</v>
      </c>
      <c r="CV56" s="14">
        <f t="shared" si="41"/>
        <v>30.516215365827268</v>
      </c>
      <c r="CW56" s="22">
        <f t="shared" si="13"/>
        <v>253.51695709548235</v>
      </c>
      <c r="CX56" s="62">
        <f t="shared" si="14"/>
        <v>546.8502904288157</v>
      </c>
      <c r="CY56" s="62">
        <f ca="1">AVERAGE(OFFSET($CX$3,0,0,'Données projet'!$E$13+1,1))-AVERAGE(OFFSET($H$3,0,0,'Données projet'!$E$13+1,1))</f>
        <v>302.06513069580848</v>
      </c>
      <c r="CZ56" s="62">
        <f t="shared" si="42"/>
        <v>164.1450425611464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22.488088372066734</v>
      </c>
      <c r="DG56" s="23">
        <f>EXP(-LN(2)/25)*DG55+(1-EXP(-LN(2)/25))/(LN(2)/25)*Calculateur!DB56*Calculateur!DD56*VLOOKUP('Données projet'!$B$13,Paramètres!$A$1:$I$89,3,0)*0.475*44/12</f>
        <v>18.740338072326697</v>
      </c>
      <c r="DH56" s="23">
        <f>EXP(-LN(2)/2)*DH55+(1-EXP(-LN(2)/2))/(LN(2)/2)*DB56*DE56*VLOOKUP('Données projet'!$B$13,Paramètres!$A$1:$I$89,3,0)*0.475*44/12</f>
        <v>11.800002723732696</v>
      </c>
      <c r="DI56" s="24">
        <f t="shared" si="15"/>
        <v>53.028429168126131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9.5537500000000009</v>
      </c>
      <c r="N57" s="14">
        <f>IF('Données projet'!$A$36&gt;35,N56+M57-V56,IF(A57&lt;'Données projet'!$A$36,$K$205^A57,IF(A57='Données projet'!$A$36,'Données projet'!$B$36,N56+M57-V56)))</f>
        <v>197.65500000000017</v>
      </c>
      <c r="O57" s="14">
        <f>N57*VLOOKUP('Données projet'!$B$9,Paramètres!$A$1:$I$89,3,0)*VLOOKUP('Données projet'!$B$9,Paramètres!$A$1:$I$89,5,0)</f>
        <v>178.83824400000015</v>
      </c>
      <c r="P57" s="14">
        <f t="shared" si="33"/>
        <v>45.06361953668285</v>
      </c>
      <c r="Q57" s="22">
        <f t="shared" si="53"/>
        <v>389.96241232638954</v>
      </c>
      <c r="R57" s="62">
        <f t="shared" si="0"/>
        <v>683.2957456597228</v>
      </c>
      <c r="S57" s="62">
        <f ca="1">AVERAGE(OFFSET($R$3,0,0,'Données projet'!$E$9+1,1))-AVERAGE(OFFSET($H$3,0,0,'Données projet'!$E$9+1,1))</f>
        <v>581.88778927327667</v>
      </c>
      <c r="T57" s="62">
        <f t="shared" si="34"/>
        <v>269.67340993773422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5.7581925460266135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5.7581925460266135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6.6</v>
      </c>
      <c r="AI57" s="14">
        <f>IF('Données projet'!$A$62&gt;35,AI56+AH57-AQ56,IF(A57&lt;'Données projet'!$A$62,$AF$205^A57,IF(A57='Données projet'!$A$62,'Données projet'!$B$62,AI56+AH57-AQ56)))</f>
        <v>211.40000000000003</v>
      </c>
      <c r="AJ57" s="14">
        <f>AI57*VLOOKUP('Données projet'!$B$10,Paramètres!$A$1:$I$89,3,0)*VLOOKUP('Données projet'!$B$10,Paramètres!$A$1:$I$89,5,0)</f>
        <v>184.67904000000004</v>
      </c>
      <c r="AK57" s="14">
        <f t="shared" si="35"/>
        <v>46.361626470742223</v>
      </c>
      <c r="AL57" s="22">
        <f t="shared" si="4"/>
        <v>402.39582743654279</v>
      </c>
      <c r="AM57" s="62">
        <f t="shared" si="5"/>
        <v>695.7291607698761</v>
      </c>
      <c r="AN57" s="62">
        <f ca="1">AVERAGE(OFFSET($AM$3,0,0,'Données projet'!$E$10+1,1))-AVERAGE(OFFSET($H$3,0,0,'Données projet'!$E$10+1,1))</f>
        <v>354.24684313982857</v>
      </c>
      <c r="AO57" s="62">
        <f t="shared" si="36"/>
        <v>322.65043486962185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11.875782926998305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11.875782926998305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8.6</v>
      </c>
      <c r="BD57" s="13">
        <f>IF('Données projet'!$A$88&gt;35,BD56+BC57-BL56,IF(A57&lt;'Données projet'!$A$88,$BA$205^A57,IF(A57='Données projet'!$A$88,'Données projet'!$B$88,BD56+BC57-BL56)))</f>
        <v>256.4000000000002</v>
      </c>
      <c r="BE57" s="14">
        <f>BD57*VLOOKUP('Données projet'!$B$11,Paramètres!$A$1:$I$89,3,0)*VLOOKUP('Données projet'!$B$11,Paramètres!$A$1:$I$89,5,0)</f>
        <v>243.99024000000017</v>
      </c>
      <c r="BF57" s="14">
        <f t="shared" si="37"/>
        <v>59.297224419257354</v>
      </c>
      <c r="BG57" s="22">
        <f t="shared" si="7"/>
        <v>528.22566719687347</v>
      </c>
      <c r="BH57" s="62">
        <f t="shared" si="8"/>
        <v>821.55900053020673</v>
      </c>
      <c r="BI57" s="62">
        <f ca="1">AVERAGE(OFFSET($BH$3,0,0,'Données projet'!$E$11+1,1))-AVERAGE(OFFSET($H$3,0,0,'Données projet'!$E$11+1,1))</f>
        <v>460.77543902152325</v>
      </c>
      <c r="BJ57" s="62">
        <f t="shared" si="38"/>
        <v>341.4342976721104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9.4989654755557975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9.4989654755557975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17.995000000000005</v>
      </c>
      <c r="BY57" s="13">
        <f>IF('Données projet'!$A$114&gt;35,BY56+BX57-CG56,IF(A57&lt;'Données projet'!$A$114,$BV$205^A57,IF(A57='Données projet'!$A$114,'Données projet'!$B$114,BY56+BX57-CG56)))</f>
        <v>515.71000000000015</v>
      </c>
      <c r="BZ57" s="14">
        <f>BY57*VLOOKUP('Données projet'!$B$12,Paramètres!$A$1:$I$89,3,0)*VLOOKUP('Données projet'!$B$12,Paramètres!$A$1:$I$89,5,0)</f>
        <v>308.39458000000013</v>
      </c>
      <c r="CA57" s="14">
        <f t="shared" si="39"/>
        <v>72.933453329394183</v>
      </c>
      <c r="CB57" s="22">
        <f t="shared" si="10"/>
        <v>664.14632471536174</v>
      </c>
      <c r="CC57" s="62">
        <f t="shared" si="11"/>
        <v>957.479658048695</v>
      </c>
      <c r="CD57" s="62">
        <f ca="1">AVERAGE(OFFSET($CC$3,0,0,'Données projet'!$E$12+1,1))-AVERAGE(OFFSET($H$3,0,0,'Données projet'!$E$12+1,1))</f>
        <v>438.68915237247444</v>
      </c>
      <c r="CE57" s="62">
        <f t="shared" si="40"/>
        <v>376.94419168335452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41.665683335411728</v>
      </c>
      <c r="CL57" s="23">
        <f>EXP(-LN(2)/25)*CL56+(1-EXP(-LN(2)/25))/(LN(2)/25)*Calculateur!CG57*Calculateur!CI57*VLOOKUP('Données projet'!$B$12,Paramètres!$A$1:$I$89,3,0)*0.475*44/12</f>
        <v>15.398027567692127</v>
      </c>
      <c r="CM57" s="23">
        <f>EXP(-LN(2)/2)*CM56+(1-EXP(-LN(2)/2))/(LN(2)/2)*CG57*CJ57*VLOOKUP('Données projet'!$B$12,Paramètres!$A$1:$I$89,3,0)*0.475*44/12</f>
        <v>0.53344955156791296</v>
      </c>
      <c r="CN57" s="24">
        <f t="shared" si="12"/>
        <v>57.597160454671766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13.224999999999994</v>
      </c>
      <c r="CT57" s="13">
        <f>IF('Données projet'!$A$140&gt;35,CT56+CS57-DB56,IF(A57&lt;'Données projet'!$A$140,$CQ$205^A57,IF(A57='Données projet'!$A$140,'Données projet'!$B$140,CT56+CS57-DB56)))</f>
        <v>259.04499999999985</v>
      </c>
      <c r="CU57" s="18">
        <f>CT57*VLOOKUP('Données projet'!$B$13,Paramètres!$A$1:$I$89,3,0)*VLOOKUP('Données projet'!$B$13,Paramètres!$A$1:$I$89,5,0)</f>
        <v>121.23305999999992</v>
      </c>
      <c r="CV57" s="14">
        <f t="shared" si="41"/>
        <v>31.962418954865921</v>
      </c>
      <c r="CW57" s="22">
        <f t="shared" si="13"/>
        <v>266.81545917972466</v>
      </c>
      <c r="CX57" s="62">
        <f t="shared" si="14"/>
        <v>560.14879251305797</v>
      </c>
      <c r="CY57" s="62">
        <f ca="1">AVERAGE(OFFSET($CX$3,0,0,'Données projet'!$E$13+1,1))-AVERAGE(OFFSET($H$3,0,0,'Données projet'!$E$13+1,1))</f>
        <v>302.06513069580848</v>
      </c>
      <c r="CZ57" s="62">
        <f t="shared" si="42"/>
        <v>164.1450425611464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22.047110675470034</v>
      </c>
      <c r="DG57" s="23">
        <f>EXP(-LN(2)/25)*DG56+(1-EXP(-LN(2)/25))/(LN(2)/25)*Calculateur!DB57*Calculateur!DD57*VLOOKUP('Données projet'!$B$13,Paramètres!$A$1:$I$89,3,0)*0.475*44/12</f>
        <v>18.227882542227377</v>
      </c>
      <c r="DH57" s="23">
        <f>EXP(-LN(2)/2)*DH56+(1-EXP(-LN(2)/2))/(LN(2)/2)*DB57*DE57*VLOOKUP('Données projet'!$B$13,Paramètres!$A$1:$I$89,3,0)*0.475*44/12</f>
        <v>8.3438619439711204</v>
      </c>
      <c r="DI57" s="24">
        <f t="shared" si="15"/>
        <v>48.618855161668534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9.5537500000000009</v>
      </c>
      <c r="N58" s="14">
        <f>IF('Données projet'!$A$36&gt;35,N57+M58-V57,IF(A58&lt;'Données projet'!$A$36,$K$205^A58,IF(A58='Données projet'!$A$36,'Données projet'!$B$36,N57+M58-V57)))</f>
        <v>207.20875000000018</v>
      </c>
      <c r="O58" s="14">
        <f>N58*VLOOKUP('Données projet'!$B$9,Paramètres!$A$1:$I$89,3,0)*VLOOKUP('Données projet'!$B$9,Paramètres!$A$1:$I$89,5,0)</f>
        <v>187.48247700000016</v>
      </c>
      <c r="P58" s="14">
        <f t="shared" si="33"/>
        <v>46.982932911694917</v>
      </c>
      <c r="Q58" s="22">
        <f t="shared" si="53"/>
        <v>408.3605889295356</v>
      </c>
      <c r="R58" s="62">
        <f t="shared" si="0"/>
        <v>701.69392226286891</v>
      </c>
      <c r="S58" s="62">
        <f ca="1">AVERAGE(OFFSET($R$3,0,0,'Données projet'!$E$9+1,1))-AVERAGE(OFFSET($H$3,0,0,'Données projet'!$E$9+1,1))</f>
        <v>581.88778927327667</v>
      </c>
      <c r="T58" s="62">
        <f t="shared" si="34"/>
        <v>269.67340993773422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5.6452779023496884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5.6452779023496884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6.6</v>
      </c>
      <c r="AH58" s="13">
        <f t="array" ref="AH58">INDEX(AG:AG,MIN(IF(ISNUMBER(AG58:AG254),ROW(AG58:AG254),"")))</f>
        <v>6.6</v>
      </c>
      <c r="AI58" s="14">
        <f>IF('Données projet'!$A$62&gt;35,AI57+AH58-AQ57,IF(A58&lt;'Données projet'!$A$62,$AF$205^A58,IF(A58='Données projet'!$A$62,'Données projet'!$B$62,AI57+AH58-AQ57)))</f>
        <v>218.00000000000003</v>
      </c>
      <c r="AJ58" s="14">
        <f>AI58*VLOOKUP('Données projet'!$B$10,Paramètres!$A$1:$I$89,3,0)*VLOOKUP('Données projet'!$B$10,Paramètres!$A$1:$I$89,5,0)</f>
        <v>190.44480000000004</v>
      </c>
      <c r="AK58" s="14">
        <f t="shared" si="35"/>
        <v>47.638278428909231</v>
      </c>
      <c r="AL58" s="22">
        <f t="shared" si="4"/>
        <v>414.66136159701699</v>
      </c>
      <c r="AM58" s="62">
        <f t="shared" si="5"/>
        <v>707.99469493035031</v>
      </c>
      <c r="AN58" s="62">
        <f ca="1">AVERAGE(OFFSET($AM$3,0,0,'Données projet'!$E$10+1,1))-AVERAGE(OFFSET($H$3,0,0,'Données projet'!$E$10+1,1))</f>
        <v>354.24684313982857</v>
      </c>
      <c r="AO58" s="62">
        <f t="shared" si="36"/>
        <v>322.65043486962185</v>
      </c>
      <c r="AP58" s="16">
        <f>IF(ISNA(VLOOKUP(A58,'Données projet'!$A$61:$I$81,3,0)),0,VLOOKUP(A58,'Données projet'!$A$61:$I$81,3,0))</f>
        <v>10</v>
      </c>
      <c r="AQ58" s="16">
        <f>IF(ISNA(VLOOKUP(A58,'Données projet'!$A$61:$I$81,4,0)),0,VLOOKUP(A58,'Données projet'!$A$61:$I$81,4,0))</f>
        <v>23</v>
      </c>
      <c r="AR58" s="17">
        <f>IF(ISNA(VLOOKUP(A58,'Données projet'!$A$61:$I$81,5,0)),0%,VLOOKUP(A58,'Données projet'!$A$61:$I$81,5,0)*VLOOKUP('Données projet'!$B$10,Paramètres!$A$1:$I$89,7,0))</f>
        <v>0.17200000000000001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15.463369248915519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15.463369248915519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265</v>
      </c>
      <c r="BB58" s="13">
        <f>VLOOKUP(A58,'Données projet'!$A$87:$I$107,9,0)</f>
        <v>8.6</v>
      </c>
      <c r="BC58" s="13">
        <f t="array" ref="BC58">INDEX(BB:BB,MIN(IF(ISNUMBER(BB58:BB254),ROW(BB58:BB254),"")))</f>
        <v>8.6</v>
      </c>
      <c r="BD58" s="13">
        <f>IF('Données projet'!$A$88&gt;35,BD57+BC58-BL57,IF(A58&lt;'Données projet'!$A$88,$BA$205^A58,IF(A58='Données projet'!$A$88,'Données projet'!$B$88,BD57+BC58-BL57)))</f>
        <v>265.00000000000023</v>
      </c>
      <c r="BE58" s="14">
        <f>BD58*VLOOKUP('Données projet'!$B$11,Paramètres!$A$1:$I$89,3,0)*VLOOKUP('Données projet'!$B$11,Paramètres!$A$1:$I$89,5,0)</f>
        <v>252.17400000000023</v>
      </c>
      <c r="BF58" s="14">
        <f t="shared" si="37"/>
        <v>61.051235383411992</v>
      </c>
      <c r="BG58" s="22">
        <f t="shared" si="7"/>
        <v>545.53395162610957</v>
      </c>
      <c r="BH58" s="62">
        <f t="shared" si="8"/>
        <v>838.86728495944294</v>
      </c>
      <c r="BI58" s="62">
        <f ca="1">AVERAGE(OFFSET($BH$3,0,0,'Données projet'!$E$11+1,1))-AVERAGE(OFFSET($H$3,0,0,'Données projet'!$E$11+1,1))</f>
        <v>460.77543902152325</v>
      </c>
      <c r="BJ58" s="62">
        <f t="shared" si="38"/>
        <v>341.4342976721104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32</v>
      </c>
      <c r="BM58" s="17">
        <f>IF(ISNA(VLOOKUP(A58,'Données projet'!$A$87:$I$107,5,0)),0%,VLOOKUP(A58,'Données projet'!$A$87:$I$107,5,0)*VLOOKUP('Données projet'!$B$11,Paramètres!$A$1:$I$89,7,0))</f>
        <v>0.17200000000000001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15.102715291229206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15.102715291229206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17.995000000000005</v>
      </c>
      <c r="BY58" s="13">
        <f>IF('Données projet'!$A$114&gt;35,BY57+BX58-CG57,IF(A58&lt;'Données projet'!$A$114,$BV$205^A58,IF(A58='Données projet'!$A$114,'Données projet'!$B$114,BY57+BX58-CG57)))</f>
        <v>533.70500000000015</v>
      </c>
      <c r="BZ58" s="14">
        <f>BY58*VLOOKUP('Données projet'!$B$12,Paramètres!$A$1:$I$89,3,0)*VLOOKUP('Données projet'!$B$12,Paramètres!$A$1:$I$89,5,0)</f>
        <v>319.15559000000013</v>
      </c>
      <c r="CA58" s="14">
        <f t="shared" si="39"/>
        <v>75.177630731012741</v>
      </c>
      <c r="CB58" s="22">
        <f t="shared" si="10"/>
        <v>686.79702610651418</v>
      </c>
      <c r="CC58" s="62">
        <f t="shared" si="11"/>
        <v>980.13035943984755</v>
      </c>
      <c r="CD58" s="62">
        <f ca="1">AVERAGE(OFFSET($CC$3,0,0,'Données projet'!$E$12+1,1))-AVERAGE(OFFSET($H$3,0,0,'Données projet'!$E$12+1,1))</f>
        <v>438.68915237247444</v>
      </c>
      <c r="CE58" s="62">
        <f t="shared" si="40"/>
        <v>376.94419168335452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40.84864469876176</v>
      </c>
      <c r="CL58" s="23">
        <f>EXP(-LN(2)/25)*CL57+(1-EXP(-LN(2)/25))/(LN(2)/25)*Calculateur!CG58*Calculateur!CI58*VLOOKUP('Données projet'!$B$12,Paramètres!$A$1:$I$89,3,0)*0.475*44/12</f>
        <v>14.976967694106509</v>
      </c>
      <c r="CM58" s="23">
        <f>EXP(-LN(2)/2)*CM57+(1-EXP(-LN(2)/2))/(LN(2)/2)*CG58*CJ58*VLOOKUP('Données projet'!$B$12,Paramètres!$A$1:$I$89,3,0)*0.475*44/12</f>
        <v>0.37720579533459414</v>
      </c>
      <c r="CN58" s="24">
        <f t="shared" si="12"/>
        <v>56.202818188202862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272.27</v>
      </c>
      <c r="CR58" s="13">
        <f>VLOOKUP(A58,'Données projet'!$A$139:$I$159,9,0)</f>
        <v>13.224999999999994</v>
      </c>
      <c r="CS58" s="13">
        <f t="array" ref="CS58">INDEX(CR:CR,MIN(IF(ISNUMBER(CR58:CR254),ROW(CR58:CR254),"")))</f>
        <v>13.224999999999994</v>
      </c>
      <c r="CT58" s="13">
        <f>IF('Données projet'!$A$140&gt;35,CT57+CS58-DB57,IF(A58&lt;'Données projet'!$A$140,$CQ$205^A58,IF(A58='Données projet'!$A$140,'Données projet'!$B$140,CT57+CS58-DB57)))</f>
        <v>272.26999999999987</v>
      </c>
      <c r="CU58" s="18">
        <f>CT58*VLOOKUP('Données projet'!$B$13,Paramètres!$A$1:$I$89,3,0)*VLOOKUP('Données projet'!$B$13,Paramètres!$A$1:$I$89,5,0)</f>
        <v>127.42235999999994</v>
      </c>
      <c r="CV58" s="14">
        <f t="shared" si="41"/>
        <v>33.40004994849896</v>
      </c>
      <c r="CW58" s="22">
        <f t="shared" si="13"/>
        <v>280.09903066030222</v>
      </c>
      <c r="CX58" s="62">
        <f t="shared" si="14"/>
        <v>573.43236399363559</v>
      </c>
      <c r="CY58" s="62">
        <f ca="1">AVERAGE(OFFSET($CX$3,0,0,'Données projet'!$E$13+1,1))-AVERAGE(OFFSET($H$3,0,0,'Données projet'!$E$13+1,1))</f>
        <v>302.06513069580848</v>
      </c>
      <c r="CZ58" s="62">
        <f t="shared" si="42"/>
        <v>164.1450425611464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21.614780282533758</v>
      </c>
      <c r="DG58" s="23">
        <f>EXP(-LN(2)/25)*DG57+(1-EXP(-LN(2)/25))/(LN(2)/25)*Calculateur!DB58*Calculateur!DD58*VLOOKUP('Données projet'!$B$13,Paramètres!$A$1:$I$89,3,0)*0.475*44/12</f>
        <v>17.729440135547488</v>
      </c>
      <c r="DH58" s="23">
        <f>EXP(-LN(2)/2)*DH57+(1-EXP(-LN(2)/2))/(LN(2)/2)*DB58*DE58*VLOOKUP('Données projet'!$B$13,Paramètres!$A$1:$I$89,3,0)*0.475*44/12</f>
        <v>5.900001361866348</v>
      </c>
      <c r="DI58" s="24">
        <f t="shared" si="15"/>
        <v>45.244221779947594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9.5537500000000009</v>
      </c>
      <c r="N59" s="14">
        <f>IF('Données projet'!$A$36&gt;35,N58+M59-V58,IF(A59&lt;'Données projet'!$A$36,$K$205^A59,IF(A59='Données projet'!$A$36,'Données projet'!$B$36,N58+M59-V58)))</f>
        <v>216.76250000000019</v>
      </c>
      <c r="O59" s="14">
        <f>N59*VLOOKUP('Données projet'!$B$9,Paramètres!$A$1:$I$89,3,0)*VLOOKUP('Données projet'!$B$9,Paramètres!$A$1:$I$89,5,0)</f>
        <v>196.12671000000017</v>
      </c>
      <c r="P59" s="14">
        <f t="shared" si="33"/>
        <v>48.891969383051702</v>
      </c>
      <c r="Q59" s="22">
        <f t="shared" si="53"/>
        <v>426.74086659214868</v>
      </c>
      <c r="R59" s="62">
        <f t="shared" si="0"/>
        <v>720.07419992548193</v>
      </c>
      <c r="S59" s="62">
        <f ca="1">AVERAGE(OFFSET($R$3,0,0,'Données projet'!$E$9+1,1))-AVERAGE(OFFSET($H$3,0,0,'Données projet'!$E$9+1,1))</f>
        <v>581.88778927327667</v>
      </c>
      <c r="T59" s="62">
        <f t="shared" si="34"/>
        <v>269.67340993773422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5.5345774459641355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5.5345774459641355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</v>
      </c>
      <c r="AI59" s="14">
        <f>IF('Données projet'!$A$62&gt;35,AI58+AH59-AQ58,IF(A59&lt;'Données projet'!$A$62,$AF$205^A59,IF(A59='Données projet'!$A$62,'Données projet'!$B$62,AI58+AH59-AQ58)))</f>
        <v>201.00000000000003</v>
      </c>
      <c r="AJ59" s="14">
        <f>AI59*VLOOKUP('Données projet'!$B$10,Paramètres!$A$1:$I$89,3,0)*VLOOKUP('Données projet'!$B$10,Paramètres!$A$1:$I$89,5,0)</f>
        <v>175.59360000000007</v>
      </c>
      <c r="AK59" s="14">
        <f t="shared" si="35"/>
        <v>44.340433728638573</v>
      </c>
      <c r="AL59" s="22">
        <f t="shared" si="4"/>
        <v>383.05177541071225</v>
      </c>
      <c r="AM59" s="62">
        <f t="shared" si="5"/>
        <v>676.38510874404551</v>
      </c>
      <c r="AN59" s="62">
        <f ca="1">AVERAGE(OFFSET($AM$3,0,0,'Données projet'!$E$10+1,1))-AVERAGE(OFFSET($H$3,0,0,'Données projet'!$E$10+1,1))</f>
        <v>354.24684313982857</v>
      </c>
      <c r="AO59" s="62">
        <f t="shared" si="36"/>
        <v>322.65043486962185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15.160142009668222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15.160142009668222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8.4</v>
      </c>
      <c r="BD59" s="13">
        <f>IF('Données projet'!$A$88&gt;35,BD58+BC59-BL58,IF(A59&lt;'Données projet'!$A$88,$BA$205^A59,IF(A59='Données projet'!$A$88,'Données projet'!$B$88,BD58+BC59-BL58)))</f>
        <v>241.4000000000002</v>
      </c>
      <c r="BE59" s="14">
        <f>BD59*VLOOKUP('Données projet'!$B$11,Paramètres!$A$1:$I$89,3,0)*VLOOKUP('Données projet'!$B$11,Paramètres!$A$1:$I$89,5,0)</f>
        <v>229.71624000000023</v>
      </c>
      <c r="BF59" s="14">
        <f t="shared" si="37"/>
        <v>56.22132157725698</v>
      </c>
      <c r="BG59" s="22">
        <f t="shared" si="7"/>
        <v>498.00791974705635</v>
      </c>
      <c r="BH59" s="62">
        <f t="shared" si="8"/>
        <v>791.34125308038961</v>
      </c>
      <c r="BI59" s="62">
        <f ca="1">AVERAGE(OFFSET($BH$3,0,0,'Données projet'!$E$11+1,1))-AVERAGE(OFFSET($H$3,0,0,'Données projet'!$E$11+1,1))</f>
        <v>460.77543902152325</v>
      </c>
      <c r="BJ59" s="62">
        <f t="shared" si="38"/>
        <v>341.4342976721104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14.806560256114944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14.806560256114944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>
        <f>VLOOKUP(A59,'Données projet'!$A$113:$I$133,2,0)</f>
        <v>551.70000000000005</v>
      </c>
      <c r="BW59" s="13">
        <f>VLOOKUP(A59,'Données projet'!$A$113:$I$133,9,0)</f>
        <v>17.995000000000005</v>
      </c>
      <c r="BX59" s="13">
        <f t="array" ref="BX59">INDEX(BW:BW,MIN(IF(ISNUMBER(BW59:BW255),ROW(BW59:BW255),"")))</f>
        <v>17.995000000000005</v>
      </c>
      <c r="BY59" s="13">
        <f>IF('Données projet'!$A$114&gt;35,BY58+BX59-CG58,IF(A59&lt;'Données projet'!$A$114,$BV$205^A59,IF(A59='Données projet'!$A$114,'Données projet'!$B$114,BY58+BX59-CG58)))</f>
        <v>551.70000000000016</v>
      </c>
      <c r="BZ59" s="14">
        <f>BY59*VLOOKUP('Données projet'!$B$12,Paramètres!$A$1:$I$89,3,0)*VLOOKUP('Données projet'!$B$12,Paramètres!$A$1:$I$89,5,0)</f>
        <v>329.91660000000013</v>
      </c>
      <c r="CA59" s="14">
        <f t="shared" si="39"/>
        <v>77.413015969653813</v>
      </c>
      <c r="CB59" s="22">
        <f t="shared" si="10"/>
        <v>709.43241448048059</v>
      </c>
      <c r="CC59" s="62">
        <f t="shared" si="11"/>
        <v>1002.765747813814</v>
      </c>
      <c r="CD59" s="62">
        <f ca="1">AVERAGE(OFFSET($CC$3,0,0,'Données projet'!$E$12+1,1))-AVERAGE(OFFSET($H$3,0,0,'Données projet'!$E$12+1,1))</f>
        <v>438.68915237247444</v>
      </c>
      <c r="CE59" s="62">
        <f t="shared" si="40"/>
        <v>376.94419168335452</v>
      </c>
      <c r="CF59" s="16">
        <f>IF(ISNA(VLOOKUP(A59,'Données projet'!$A$113:$I$133,3,0)),0,VLOOKUP(A59,'Données projet'!$A$113:$I$133,3,0))</f>
        <v>6</v>
      </c>
      <c r="CG59" s="16">
        <f>IF(ISNA(VLOOKUP(A59,'Données projet'!$A$113:$I$133,4,0)),0,VLOOKUP(A59,'Données projet'!$A$113:$I$133,4,0))</f>
        <v>77.37</v>
      </c>
      <c r="CH59" s="17">
        <f>IF(ISNA(VLOOKUP(A59,'Données projet'!$A$113:$I$133,5,0)),0%,VLOOKUP(A59,'Données projet'!$A$113:$I$133,5,0)*VLOOKUP('Données projet'!$B$12,Paramètres!$A$1:$I$89,7,0))</f>
        <v>0.36000000000000004</v>
      </c>
      <c r="CI59" s="17">
        <f>IF(ISNA(VLOOKUP(A59,'Données projet'!$A$113:$I$133,6,0)),0%,VLOOKUP(A59,'Données projet'!$A$113:$I$133,6,0)*VLOOKUP('Données projet'!$B$12,Paramètres!$A$1:$I$89,7,0))</f>
        <v>4.9500000000000002E-2</v>
      </c>
      <c r="CJ59" s="17">
        <f>IF(ISNA(VLOOKUP(A59,'Données projet'!$A$113:$I$133,7,0)),0%,VLOOKUP(A59,'Données projet'!$A$113:$I$133,7,0))</f>
        <v>0.09</v>
      </c>
      <c r="CK59" s="23">
        <f>EXP(-LN(2)/35)*CK58+(1-EXP(-LN(2)/35))/(LN(2)/35)*CG59*CH59*VLOOKUP('Données projet'!$B$12,Paramètres!$A$1:$I$89,3,0)*0.475*44/12</f>
        <v>62.143168615400803</v>
      </c>
      <c r="CL59" s="23">
        <f>EXP(-LN(2)/25)*CL58+(1-EXP(-LN(2)/25))/(LN(2)/25)*Calculateur!CG59*Calculateur!CI59*VLOOKUP('Données projet'!$B$12,Paramètres!$A$1:$I$89,3,0)*0.475*44/12</f>
        <v>17.593596299446524</v>
      </c>
      <c r="CM59" s="23">
        <f>EXP(-LN(2)/2)*CM58+(1-EXP(-LN(2)/2))/(LN(2)/2)*CG59*CJ59*VLOOKUP('Données projet'!$B$12,Paramètres!$A$1:$I$89,3,0)*0.475*44/12</f>
        <v>4.9814005238888486</v>
      </c>
      <c r="CN59" s="24">
        <f t="shared" si="12"/>
        <v>84.718165438736179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12.656666666666666</v>
      </c>
      <c r="CT59" s="13">
        <f>IF('Données projet'!$A$140&gt;35,CT58+CS59-DB58,IF(A59&lt;'Données projet'!$A$140,$CQ$205^A59,IF(A59='Données projet'!$A$140,'Données projet'!$B$140,CT58+CS59-DB58)))</f>
        <v>284.92666666666651</v>
      </c>
      <c r="CU59" s="18">
        <f>CT59*VLOOKUP('Données projet'!$B$13,Paramètres!$A$1:$I$89,3,0)*VLOOKUP('Données projet'!$B$13,Paramètres!$A$1:$I$89,5,0)</f>
        <v>133.34567999999993</v>
      </c>
      <c r="CV59" s="14">
        <f t="shared" si="41"/>
        <v>34.768300731125414</v>
      </c>
      <c r="CW59" s="22">
        <f t="shared" si="13"/>
        <v>292.79851644004327</v>
      </c>
      <c r="CX59" s="62">
        <f t="shared" si="14"/>
        <v>586.13184977337664</v>
      </c>
      <c r="CY59" s="62">
        <f ca="1">AVERAGE(OFFSET($CX$3,0,0,'Données projet'!$E$13+1,1))-AVERAGE(OFFSET($H$3,0,0,'Données projet'!$E$13+1,1))</f>
        <v>302.06513069580848</v>
      </c>
      <c r="CZ59" s="62">
        <f t="shared" si="42"/>
        <v>164.1450425611464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21.190927624907459</v>
      </c>
      <c r="DG59" s="23">
        <f>EXP(-LN(2)/25)*DG58+(1-EXP(-LN(2)/25))/(LN(2)/25)*Calculateur!DB59*Calculateur!DD59*VLOOKUP('Données projet'!$B$13,Paramètres!$A$1:$I$89,3,0)*0.475*44/12</f>
        <v>17.244627662690206</v>
      </c>
      <c r="DH59" s="23">
        <f>EXP(-LN(2)/2)*DH58+(1-EXP(-LN(2)/2))/(LN(2)/2)*DB59*DE59*VLOOKUP('Données projet'!$B$13,Paramètres!$A$1:$I$89,3,0)*0.475*44/12</f>
        <v>4.1719309719855602</v>
      </c>
      <c r="DI59" s="24">
        <f t="shared" si="15"/>
        <v>42.607486259583226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9.5537500000000009</v>
      </c>
      <c r="N60" s="14">
        <f>IF('Données projet'!$A$36&gt;35,N59+M60-V59,IF(A60&lt;'Données projet'!$A$36,$K$205^A60,IF(A60='Données projet'!$A$36,'Données projet'!$B$36,N59+M60-V59)))</f>
        <v>226.3162500000002</v>
      </c>
      <c r="O60" s="14">
        <f>N60*VLOOKUP('Données projet'!$B$9,Paramètres!$A$1:$I$89,3,0)*VLOOKUP('Données projet'!$B$9,Paramètres!$A$1:$I$89,5,0)</f>
        <v>204.77094300000016</v>
      </c>
      <c r="P60" s="14">
        <f t="shared" si="33"/>
        <v>50.791233664926693</v>
      </c>
      <c r="Q60" s="22">
        <f t="shared" si="53"/>
        <v>445.10412435808092</v>
      </c>
      <c r="R60" s="62">
        <f t="shared" si="0"/>
        <v>738.43745769141424</v>
      </c>
      <c r="S60" s="62">
        <f ca="1">AVERAGE(OFFSET($R$3,0,0,'Données projet'!$E$9+1,1))-AVERAGE(OFFSET($H$3,0,0,'Données projet'!$E$9+1,1))</f>
        <v>581.88778927327667</v>
      </c>
      <c r="T60" s="62">
        <f t="shared" si="34"/>
        <v>269.67340993773422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5.4260477580076927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5.4260477580076927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</v>
      </c>
      <c r="AI60" s="14">
        <f>IF('Données projet'!$A$62&gt;35,AI59+AH60-AQ59,IF(A60&lt;'Données projet'!$A$62,$AF$205^A60,IF(A60='Données projet'!$A$62,'Données projet'!$B$62,AI59+AH60-AQ59)))</f>
        <v>207.00000000000003</v>
      </c>
      <c r="AJ60" s="14">
        <f>AI60*VLOOKUP('Données projet'!$B$10,Paramètres!$A$1:$I$89,3,0)*VLOOKUP('Données projet'!$B$10,Paramètres!$A$1:$I$89,5,0)</f>
        <v>180.83520000000004</v>
      </c>
      <c r="AK60" s="14">
        <f t="shared" si="35"/>
        <v>45.507952685945142</v>
      </c>
      <c r="AL60" s="22">
        <f t="shared" si="4"/>
        <v>394.21432426135453</v>
      </c>
      <c r="AM60" s="62">
        <f t="shared" si="5"/>
        <v>687.54765759468785</v>
      </c>
      <c r="AN60" s="62">
        <f ca="1">AVERAGE(OFFSET($AM$3,0,0,'Données projet'!$E$10+1,1))-AVERAGE(OFFSET($H$3,0,0,'Données projet'!$E$10+1,1))</f>
        <v>354.24684313982857</v>
      </c>
      <c r="AO60" s="62">
        <f t="shared" si="36"/>
        <v>322.65043486962185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14.862860871632211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14.862860871632211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8.4</v>
      </c>
      <c r="BD60" s="13">
        <f>IF('Données projet'!$A$88&gt;35,BD59+BC60-BL59,IF(A60&lt;'Données projet'!$A$88,$BA$205^A60,IF(A60='Données projet'!$A$88,'Données projet'!$B$88,BD59+BC60-BL59)))</f>
        <v>249.80000000000021</v>
      </c>
      <c r="BE60" s="14">
        <f>BD60*VLOOKUP('Données projet'!$B$11,Paramètres!$A$1:$I$89,3,0)*VLOOKUP('Données projet'!$B$11,Paramètres!$A$1:$I$89,5,0)</f>
        <v>237.70968000000022</v>
      </c>
      <c r="BF60" s="14">
        <f t="shared" si="37"/>
        <v>57.946482312606783</v>
      </c>
      <c r="BG60" s="22">
        <f t="shared" si="7"/>
        <v>514.93448269445719</v>
      </c>
      <c r="BH60" s="62">
        <f t="shared" si="8"/>
        <v>808.26781602779056</v>
      </c>
      <c r="BI60" s="62">
        <f ca="1">AVERAGE(OFFSET($BH$3,0,0,'Données projet'!$E$11+1,1))-AVERAGE(OFFSET($H$3,0,0,'Données projet'!$E$11+1,1))</f>
        <v>460.77543902152325</v>
      </c>
      <c r="BJ60" s="62">
        <f t="shared" si="38"/>
        <v>341.4342976721104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14.516212640602538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14.516212640602538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15.806666666666652</v>
      </c>
      <c r="BY60" s="13">
        <f>IF('Données projet'!$A$114&gt;35,BY59+BX60-CG59,IF(A60&lt;'Données projet'!$A$114,$BV$205^A60,IF(A60='Données projet'!$A$114,'Données projet'!$B$114,BY59+BX60-CG59)))</f>
        <v>490.13666666666677</v>
      </c>
      <c r="BZ60" s="14">
        <f>BY60*VLOOKUP('Données projet'!$B$12,Paramètres!$A$1:$I$89,3,0)*VLOOKUP('Données projet'!$B$12,Paramètres!$A$1:$I$89,5,0)</f>
        <v>293.10172666666676</v>
      </c>
      <c r="CA60" s="14">
        <f t="shared" si="39"/>
        <v>69.72836833192143</v>
      </c>
      <c r="CB60" s="22">
        <f t="shared" si="10"/>
        <v>631.9290821225411</v>
      </c>
      <c r="CC60" s="62">
        <f t="shared" si="11"/>
        <v>925.26241545587436</v>
      </c>
      <c r="CD60" s="62">
        <f ca="1">AVERAGE(OFFSET($CC$3,0,0,'Données projet'!$E$12+1,1))-AVERAGE(OFFSET($H$3,0,0,'Données projet'!$E$12+1,1))</f>
        <v>438.68915237247444</v>
      </c>
      <c r="CE60" s="62">
        <f t="shared" si="40"/>
        <v>376.94419168335452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60.924578982442981</v>
      </c>
      <c r="CL60" s="23">
        <f>EXP(-LN(2)/25)*CL59+(1-EXP(-LN(2)/25))/(LN(2)/25)*Calculateur!CG60*Calculateur!CI60*VLOOKUP('Données projet'!$B$12,Paramètres!$A$1:$I$89,3,0)*0.475*44/12</f>
        <v>17.112498483431139</v>
      </c>
      <c r="CM60" s="23">
        <f>EXP(-LN(2)/2)*CM59+(1-EXP(-LN(2)/2))/(LN(2)/2)*CG60*CJ60*VLOOKUP('Données projet'!$B$12,Paramètres!$A$1:$I$89,3,0)*0.475*44/12</f>
        <v>3.5223820902480254</v>
      </c>
      <c r="CN60" s="24">
        <f t="shared" si="12"/>
        <v>81.55945955612215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12.656666666666666</v>
      </c>
      <c r="CT60" s="13">
        <f>IF('Données projet'!$A$140&gt;35,CT59+CS60-DB59,IF(A60&lt;'Données projet'!$A$140,$CQ$205^A60,IF(A60='Données projet'!$A$140,'Données projet'!$B$140,CT59+CS60-DB59)))</f>
        <v>297.58333333333314</v>
      </c>
      <c r="CU60" s="18">
        <f>CT60*VLOOKUP('Données projet'!$B$13,Paramètres!$A$1:$I$89,3,0)*VLOOKUP('Données projet'!$B$13,Paramètres!$A$1:$I$89,5,0)</f>
        <v>139.26899999999992</v>
      </c>
      <c r="CV60" s="14">
        <f t="shared" si="41"/>
        <v>36.12949267139296</v>
      </c>
      <c r="CW60" s="22">
        <f t="shared" si="13"/>
        <v>305.48570806934259</v>
      </c>
      <c r="CX60" s="62">
        <f t="shared" si="14"/>
        <v>598.81904140267591</v>
      </c>
      <c r="CY60" s="62">
        <f ca="1">AVERAGE(OFFSET($CX$3,0,0,'Données projet'!$E$13+1,1))-AVERAGE(OFFSET($H$3,0,0,'Données projet'!$E$13+1,1))</f>
        <v>302.06513069580848</v>
      </c>
      <c r="CZ60" s="62">
        <f t="shared" si="42"/>
        <v>164.1450425611464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20.775386459372619</v>
      </c>
      <c r="DG60" s="23">
        <f>EXP(-LN(2)/25)*DG59+(1-EXP(-LN(2)/25))/(LN(2)/25)*Calculateur!DB60*Calculateur!DD60*VLOOKUP('Données projet'!$B$13,Paramètres!$A$1:$I$89,3,0)*0.475*44/12</f>
        <v>16.773072412398388</v>
      </c>
      <c r="DH60" s="23">
        <f>EXP(-LN(2)/2)*DH59+(1-EXP(-LN(2)/2))/(LN(2)/2)*DB60*DE60*VLOOKUP('Données projet'!$B$13,Paramètres!$A$1:$I$89,3,0)*0.475*44/12</f>
        <v>2.950000680933174</v>
      </c>
      <c r="DI60" s="24">
        <f t="shared" si="15"/>
        <v>40.498459552704176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>
        <f>VLOOKUP(A61,'Données projet'!$A$35:$I$55,2,0)</f>
        <v>235.87</v>
      </c>
      <c r="L61" s="13">
        <f>VLOOKUP(A61,'Données projet'!$A$35:$I$55,9,0)</f>
        <v>9.5537500000000009</v>
      </c>
      <c r="M61" s="13">
        <f t="array" ref="M61">INDEX(L:L,MIN(IF(ISNUMBER(L61:L257),ROW(L61:L257),"")))</f>
        <v>9.5537500000000009</v>
      </c>
      <c r="N61" s="14">
        <f>IF('Données projet'!$A$36&gt;35,N60+M61-V60,IF(A61&lt;'Données projet'!$A$36,$K$205^A61,IF(A61='Données projet'!$A$36,'Données projet'!$B$36,N60+M61-V60)))</f>
        <v>235.8700000000002</v>
      </c>
      <c r="O61" s="14">
        <f>N61*VLOOKUP('Données projet'!$B$9,Paramètres!$A$1:$I$89,3,0)*VLOOKUP('Données projet'!$B$9,Paramètres!$A$1:$I$89,5,0)</f>
        <v>213.41517600000017</v>
      </c>
      <c r="P61" s="14">
        <f t="shared" si="33"/>
        <v>52.681185448853228</v>
      </c>
      <c r="Q61" s="22">
        <f t="shared" si="53"/>
        <v>463.45116285675294</v>
      </c>
      <c r="R61" s="62">
        <f t="shared" si="0"/>
        <v>756.7844961900862</v>
      </c>
      <c r="S61" s="62">
        <f ca="1">AVERAGE(OFFSET($R$3,0,0,'Données projet'!$E$9+1,1))-AVERAGE(OFFSET($H$3,0,0,'Données projet'!$E$9+1,1))</f>
        <v>581.88778927327667</v>
      </c>
      <c r="T61" s="62">
        <f t="shared" si="34"/>
        <v>269.67340993773422</v>
      </c>
      <c r="U61" s="16">
        <f>IF(ISNA(VLOOKUP(A61,'Données projet'!$A$35:$I$55,3,0)),0,VLOOKUP(A61,'Données projet'!$A$35:$I$55,3,0))</f>
        <v>3</v>
      </c>
      <c r="V61" s="16">
        <f>IF(ISNA(VLOOKUP(A61,'Données projet'!$A$35:$I$55,4,0)),0,VLOOKUP(A61,'Données projet'!$A$35:$I$55,4,0))</f>
        <v>44.93</v>
      </c>
      <c r="W61" s="17">
        <f>IF(ISNA(VLOOKUP(A61,'Données projet'!$A$35:$I$55,5,0)),0%,VLOOKUP(A61,'Données projet'!$A$35:$I$55,5,0)*VLOOKUP('Données projet'!$B$9,Paramètres!$A$1:$I$89,7,0))</f>
        <v>8.6000000000000007E-2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9.1845134385305762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9.1845134385305762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</v>
      </c>
      <c r="AI61" s="14">
        <f>IF('Données projet'!$A$62&gt;35,AI60+AH61-AQ60,IF(A61&lt;'Données projet'!$A$62,$AF$205^A61,IF(A61='Données projet'!$A$62,'Données projet'!$B$62,AI60+AH61-AQ60)))</f>
        <v>213.00000000000003</v>
      </c>
      <c r="AJ61" s="14">
        <f>AI61*VLOOKUP('Données projet'!$B$10,Paramètres!$A$1:$I$89,3,0)*VLOOKUP('Données projet'!$B$10,Paramètres!$A$1:$I$89,5,0)</f>
        <v>186.07680000000005</v>
      </c>
      <c r="AK61" s="14">
        <f t="shared" si="35"/>
        <v>46.671538591528673</v>
      </c>
      <c r="AL61" s="22">
        <f t="shared" si="4"/>
        <v>405.37002304691242</v>
      </c>
      <c r="AM61" s="62">
        <f t="shared" si="5"/>
        <v>698.70335638024574</v>
      </c>
      <c r="AN61" s="62">
        <f ca="1">AVERAGE(OFFSET($AM$3,0,0,'Données projet'!$E$10+1,1))-AVERAGE(OFFSET($H$3,0,0,'Données projet'!$E$10+1,1))</f>
        <v>354.24684313982857</v>
      </c>
      <c r="AO61" s="62">
        <f t="shared" si="36"/>
        <v>322.65043486962185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14.571409235389497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14.571409235389497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8.4</v>
      </c>
      <c r="BD61" s="13">
        <f>IF('Données projet'!$A$88&gt;35,BD60+BC61-BL60,IF(A61&lt;'Données projet'!$A$88,$BA$205^A61,IF(A61='Données projet'!$A$88,'Données projet'!$B$88,BD60+BC61-BL60)))</f>
        <v>258.20000000000022</v>
      </c>
      <c r="BE61" s="14">
        <f>BD61*VLOOKUP('Données projet'!$B$11,Paramètres!$A$1:$I$89,3,0)*VLOOKUP('Données projet'!$B$11,Paramètres!$A$1:$I$89,5,0)</f>
        <v>245.70312000000021</v>
      </c>
      <c r="BF61" s="14">
        <f t="shared" si="37"/>
        <v>59.664902329356664</v>
      </c>
      <c r="BG61" s="22">
        <f t="shared" si="7"/>
        <v>531.84930555696326</v>
      </c>
      <c r="BH61" s="62">
        <f t="shared" si="8"/>
        <v>825.18263889029663</v>
      </c>
      <c r="BI61" s="62">
        <f ca="1">AVERAGE(OFFSET($BH$3,0,0,'Données projet'!$E$11+1,1))-AVERAGE(OFFSET($H$3,0,0,'Données projet'!$E$11+1,1))</f>
        <v>460.77543902152325</v>
      </c>
      <c r="BJ61" s="62">
        <f t="shared" si="38"/>
        <v>341.4342976721104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14.231558564735771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14.231558564735771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15.806666666666652</v>
      </c>
      <c r="BY61" s="13">
        <f>IF('Données projet'!$A$114&gt;35,BY60+BX61-CG60,IF(A61&lt;'Données projet'!$A$114,$BV$205^A61,IF(A61='Données projet'!$A$114,'Données projet'!$B$114,BY60+BX61-CG60)))</f>
        <v>505.94333333333344</v>
      </c>
      <c r="BZ61" s="14">
        <f>BY61*VLOOKUP('Données projet'!$B$12,Paramètres!$A$1:$I$89,3,0)*VLOOKUP('Données projet'!$B$12,Paramètres!$A$1:$I$89,5,0)</f>
        <v>302.55411333333342</v>
      </c>
      <c r="CA61" s="14">
        <f t="shared" si="39"/>
        <v>71.711639262156737</v>
      </c>
      <c r="CB61" s="22">
        <f t="shared" si="10"/>
        <v>651.84618577047866</v>
      </c>
      <c r="CC61" s="62">
        <f t="shared" si="11"/>
        <v>945.17951910381203</v>
      </c>
      <c r="CD61" s="62">
        <f ca="1">AVERAGE(OFFSET($CC$3,0,0,'Données projet'!$E$12+1,1))-AVERAGE(OFFSET($H$3,0,0,'Données projet'!$E$12+1,1))</f>
        <v>438.68915237247444</v>
      </c>
      <c r="CE61" s="62">
        <f t="shared" si="40"/>
        <v>376.94419168335452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59.729885148921177</v>
      </c>
      <c r="CL61" s="23">
        <f>EXP(-LN(2)/25)*CL60+(1-EXP(-LN(2)/25))/(LN(2)/25)*Calculateur!CG61*Calculateur!CI61*VLOOKUP('Données projet'!$B$12,Paramètres!$A$1:$I$89,3,0)*0.475*44/12</f>
        <v>16.644556312494529</v>
      </c>
      <c r="CM61" s="23">
        <f>EXP(-LN(2)/2)*CM60+(1-EXP(-LN(2)/2))/(LN(2)/2)*CG61*CJ61*VLOOKUP('Données projet'!$B$12,Paramètres!$A$1:$I$89,3,0)*0.475*44/12</f>
        <v>2.4907002619444247</v>
      </c>
      <c r="CN61" s="24">
        <f t="shared" si="12"/>
        <v>78.865141723360125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12.656666666666666</v>
      </c>
      <c r="CT61" s="13">
        <f>IF('Données projet'!$A$140&gt;35,CT60+CS61-DB60,IF(A61&lt;'Données projet'!$A$140,$CQ$205^A61,IF(A61='Données projet'!$A$140,'Données projet'!$B$140,CT60+CS61-DB60)))</f>
        <v>310.23999999999978</v>
      </c>
      <c r="CU61" s="18">
        <f>CT61*VLOOKUP('Données projet'!$B$13,Paramètres!$A$1:$I$89,3,0)*VLOOKUP('Données projet'!$B$13,Paramètres!$A$1:$I$89,5,0)</f>
        <v>145.19231999999991</v>
      </c>
      <c r="CV61" s="14">
        <f t="shared" si="41"/>
        <v>37.48396031597408</v>
      </c>
      <c r="CW61" s="22">
        <f t="shared" si="13"/>
        <v>318.16118821698802</v>
      </c>
      <c r="CX61" s="62">
        <f t="shared" si="14"/>
        <v>611.49452155032134</v>
      </c>
      <c r="CY61" s="62">
        <f ca="1">AVERAGE(OFFSET($CX$3,0,0,'Données projet'!$E$13+1,1))-AVERAGE(OFFSET($H$3,0,0,'Données projet'!$E$13+1,1))</f>
        <v>302.06513069580848</v>
      </c>
      <c r="CZ61" s="62">
        <f t="shared" si="42"/>
        <v>164.1450425611464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20.367993802638832</v>
      </c>
      <c r="DG61" s="23">
        <f>EXP(-LN(2)/25)*DG60+(1-EXP(-LN(2)/25))/(LN(2)/25)*Calculateur!DB61*Calculateur!DD61*VLOOKUP('Données projet'!$B$13,Paramètres!$A$1:$I$89,3,0)*0.475*44/12</f>
        <v>16.314411865223811</v>
      </c>
      <c r="DH61" s="23">
        <f>EXP(-LN(2)/2)*DH60+(1-EXP(-LN(2)/2))/(LN(2)/2)*DB61*DE61*VLOOKUP('Données projet'!$B$13,Paramètres!$A$1:$I$89,3,0)*0.475*44/12</f>
        <v>2.0859654859927801</v>
      </c>
      <c r="DI61" s="24">
        <f t="shared" si="15"/>
        <v>38.768371153855419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9.2524999999999977</v>
      </c>
      <c r="N62" s="14">
        <f>IF('Données projet'!$A$36&gt;35,N61+M62-V61,IF(A62&lt;'Données projet'!$A$36,$K$205^A62,IF(A62='Données projet'!$A$36,'Données projet'!$B$36,N61+M62-V61)))</f>
        <v>200.19250000000019</v>
      </c>
      <c r="O62" s="14">
        <f>N62*VLOOKUP('Données projet'!$B$9,Paramètres!$A$1:$I$89,3,0)*VLOOKUP('Données projet'!$B$9,Paramètres!$A$1:$I$89,5,0)</f>
        <v>181.13417400000017</v>
      </c>
      <c r="P62" s="14">
        <f t="shared" si="33"/>
        <v>45.574426667354729</v>
      </c>
      <c r="Q62" s="22">
        <f t="shared" si="53"/>
        <v>394.85081282897653</v>
      </c>
      <c r="R62" s="62">
        <f t="shared" si="0"/>
        <v>688.18414616230984</v>
      </c>
      <c r="S62" s="62">
        <f ca="1">AVERAGE(OFFSET($R$3,0,0,'Données projet'!$E$9+1,1))-AVERAGE(OFFSET($H$3,0,0,'Données projet'!$E$9+1,1))</f>
        <v>581.88778927327667</v>
      </c>
      <c r="T62" s="62">
        <f t="shared" si="34"/>
        <v>269.67340993773422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9.0044107320010376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9.0044107320010376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</v>
      </c>
      <c r="AI62" s="14">
        <f>IF('Données projet'!$A$62&gt;35,AI61+AH62-AQ61,IF(A62&lt;'Données projet'!$A$62,$AF$205^A62,IF(A62='Données projet'!$A$62,'Données projet'!$B$62,AI61+AH62-AQ61)))</f>
        <v>219.00000000000003</v>
      </c>
      <c r="AJ62" s="14">
        <f>AI62*VLOOKUP('Données projet'!$B$10,Paramètres!$A$1:$I$89,3,0)*VLOOKUP('Données projet'!$B$10,Paramètres!$A$1:$I$89,5,0)</f>
        <v>191.31840000000005</v>
      </c>
      <c r="AK62" s="14">
        <f t="shared" si="35"/>
        <v>47.831314962098396</v>
      </c>
      <c r="AL62" s="22">
        <f t="shared" si="4"/>
        <v>416.51908689232141</v>
      </c>
      <c r="AM62" s="62">
        <f t="shared" si="5"/>
        <v>709.85242022565467</v>
      </c>
      <c r="AN62" s="62">
        <f ca="1">AVERAGE(OFFSET($AM$3,0,0,'Données projet'!$E$10+1,1))-AVERAGE(OFFSET($H$3,0,0,'Données projet'!$E$10+1,1))</f>
        <v>354.24684313982857</v>
      </c>
      <c r="AO62" s="62">
        <f t="shared" si="36"/>
        <v>322.65043486962185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14.285672787965558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14.285672787965558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8.4</v>
      </c>
      <c r="BD62" s="13">
        <f>IF('Données projet'!$A$88&gt;35,BD61+BC62-BL61,IF(A62&lt;'Données projet'!$A$88,$BA$205^A62,IF(A62='Données projet'!$A$88,'Données projet'!$B$88,BD61+BC62-BL61)))</f>
        <v>266.60000000000019</v>
      </c>
      <c r="BE62" s="14">
        <f>BD62*VLOOKUP('Données projet'!$B$11,Paramètres!$A$1:$I$89,3,0)*VLOOKUP('Données projet'!$B$11,Paramètres!$A$1:$I$89,5,0)</f>
        <v>253.6965600000002</v>
      </c>
      <c r="BF62" s="14">
        <f t="shared" si="37"/>
        <v>61.376826073320686</v>
      </c>
      <c r="BG62" s="22">
        <f t="shared" si="7"/>
        <v>548.75281407770046</v>
      </c>
      <c r="BH62" s="62">
        <f t="shared" si="8"/>
        <v>842.08614741103383</v>
      </c>
      <c r="BI62" s="62">
        <f ca="1">AVERAGE(OFFSET($BH$3,0,0,'Données projet'!$E$11+1,1))-AVERAGE(OFFSET($H$3,0,0,'Données projet'!$E$11+1,1))</f>
        <v>460.77543902152325</v>
      </c>
      <c r="BJ62" s="62">
        <f t="shared" si="38"/>
        <v>341.4342976721104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13.952486381674909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13.952486381674909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>
        <f>VLOOKUP(A62,'Données projet'!$A$113:$I$133,2,0)</f>
        <v>521.75</v>
      </c>
      <c r="BW62" s="13">
        <f>VLOOKUP(A62,'Données projet'!$A$113:$I$133,9,0)</f>
        <v>15.806666666666652</v>
      </c>
      <c r="BX62" s="13">
        <f t="array" ref="BX62">INDEX(BW:BW,MIN(IF(ISNUMBER(BW62:BW258),ROW(BW62:BW258),"")))</f>
        <v>15.806666666666652</v>
      </c>
      <c r="BY62" s="13">
        <f>IF('Données projet'!$A$114&gt;35,BY61+BX62-CG61,IF(A62&lt;'Données projet'!$A$114,$BV$205^A62,IF(A62='Données projet'!$A$114,'Données projet'!$B$114,BY61+BX62-CG61)))</f>
        <v>521.75000000000011</v>
      </c>
      <c r="BZ62" s="14">
        <f>BY62*VLOOKUP('Données projet'!$B$12,Paramètres!$A$1:$I$89,3,0)*VLOOKUP('Données projet'!$B$12,Paramètres!$A$1:$I$89,5,0)</f>
        <v>312.00650000000007</v>
      </c>
      <c r="CA62" s="14">
        <f t="shared" si="39"/>
        <v>73.687709758579885</v>
      </c>
      <c r="CB62" s="22">
        <f t="shared" si="10"/>
        <v>671.75074866286002</v>
      </c>
      <c r="CC62" s="62">
        <f t="shared" si="11"/>
        <v>965.08408199619339</v>
      </c>
      <c r="CD62" s="62">
        <f ca="1">AVERAGE(OFFSET($CC$3,0,0,'Données projet'!$E$12+1,1))-AVERAGE(OFFSET($H$3,0,0,'Données projet'!$E$12+1,1))</f>
        <v>438.68915237247444</v>
      </c>
      <c r="CE62" s="62">
        <f t="shared" si="40"/>
        <v>376.94419168335452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0.36000000000000004</v>
      </c>
      <c r="CI62" s="17">
        <f>IF(ISNA(VLOOKUP(A62,'Données projet'!$A$113:$I$133,6,0)),0%,VLOOKUP(A62,'Données projet'!$A$113:$I$133,6,0)*VLOOKUP('Données projet'!$B$12,Paramètres!$A$1:$I$89,7,0))</f>
        <v>4.9500000000000002E-2</v>
      </c>
      <c r="CJ62" s="17">
        <f>IF(ISNA(VLOOKUP(A62,'Données projet'!$A$113:$I$133,7,0)),0%,VLOOKUP(A62,'Données projet'!$A$113:$I$133,7,0))</f>
        <v>0.09</v>
      </c>
      <c r="CK62" s="23">
        <f>EXP(-LN(2)/35)*CK61+(1-EXP(-LN(2)/35))/(LN(2)/35)*CG62*CH62*VLOOKUP('Données projet'!$B$12,Paramètres!$A$1:$I$89,3,0)*0.475*44/12</f>
        <v>58.558618532783449</v>
      </c>
      <c r="CL62" s="23">
        <f>EXP(-LN(2)/25)*CL61+(1-EXP(-LN(2)/25))/(LN(2)/25)*Calculateur!CG62*Calculateur!CI62*VLOOKUP('Données projet'!$B$12,Paramètres!$A$1:$I$89,3,0)*0.475*44/12</f>
        <v>16.189410044830193</v>
      </c>
      <c r="CM62" s="23">
        <f>EXP(-LN(2)/2)*CM61+(1-EXP(-LN(2)/2))/(LN(2)/2)*CG62*CJ62*VLOOKUP('Données projet'!$B$12,Paramètres!$A$1:$I$89,3,0)*0.475*44/12</f>
        <v>1.7611910451240131</v>
      </c>
      <c r="CN62" s="24">
        <f t="shared" si="12"/>
        <v>76.509219622737646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12.656666666666666</v>
      </c>
      <c r="CT62" s="13">
        <f>IF('Données projet'!$A$140&gt;35,CT61+CS62-DB61,IF(A62&lt;'Données projet'!$A$140,$CQ$205^A62,IF(A62='Données projet'!$A$140,'Données projet'!$B$140,CT61+CS62-DB61)))</f>
        <v>322.89666666666642</v>
      </c>
      <c r="CU62" s="18">
        <f>CT62*VLOOKUP('Données projet'!$B$13,Paramètres!$A$1:$I$89,3,0)*VLOOKUP('Données projet'!$B$13,Paramètres!$A$1:$I$89,5,0)</f>
        <v>151.11563999999987</v>
      </c>
      <c r="CV62" s="14">
        <f t="shared" si="41"/>
        <v>38.832009370252678</v>
      </c>
      <c r="CW62" s="22">
        <f t="shared" si="13"/>
        <v>330.82548931985656</v>
      </c>
      <c r="CX62" s="62">
        <f t="shared" si="14"/>
        <v>624.15882265318987</v>
      </c>
      <c r="CY62" s="62">
        <f ca="1">AVERAGE(OFFSET($CX$3,0,0,'Données projet'!$E$13+1,1))-AVERAGE(OFFSET($H$3,0,0,'Données projet'!$E$13+1,1))</f>
        <v>302.06513069580848</v>
      </c>
      <c r="CZ62" s="62">
        <f t="shared" si="42"/>
        <v>164.1450425611464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19.968589867418611</v>
      </c>
      <c r="DG62" s="23">
        <f>EXP(-LN(2)/25)*DG61+(1-EXP(-LN(2)/25))/(LN(2)/25)*Calculateur!DB62*Calculateur!DD62*VLOOKUP('Données projet'!$B$13,Paramètres!$A$1:$I$89,3,0)*0.475*44/12</f>
        <v>15.868293414831633</v>
      </c>
      <c r="DH62" s="23">
        <f>EXP(-LN(2)/2)*DH61+(1-EXP(-LN(2)/2))/(LN(2)/2)*DB62*DE62*VLOOKUP('Données projet'!$B$13,Paramètres!$A$1:$I$89,3,0)*0.475*44/12</f>
        <v>1.475000340466587</v>
      </c>
      <c r="DI62" s="24">
        <f t="shared" si="15"/>
        <v>37.311883622716827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9.2524999999999977</v>
      </c>
      <c r="N63" s="14">
        <f>IF('Données projet'!$A$36&gt;35,N62+M63-V62,IF(A63&lt;'Données projet'!$A$36,$K$205^A63,IF(A63='Données projet'!$A$36,'Données projet'!$B$36,N62+M63-V62)))</f>
        <v>209.44500000000019</v>
      </c>
      <c r="O63" s="14">
        <f>N63*VLOOKUP('Données projet'!$B$9,Paramètres!$A$1:$I$89,3,0)*VLOOKUP('Données projet'!$B$9,Paramètres!$A$1:$I$89,5,0)</f>
        <v>189.50583600000016</v>
      </c>
      <c r="P63" s="14">
        <f t="shared" si="33"/>
        <v>47.430683653447495</v>
      </c>
      <c r="Q63" s="22">
        <f t="shared" si="53"/>
        <v>412.6644383964213</v>
      </c>
      <c r="R63" s="62">
        <f t="shared" si="0"/>
        <v>705.99777172975462</v>
      </c>
      <c r="S63" s="62">
        <f ca="1">AVERAGE(OFFSET($R$3,0,0,'Données projet'!$E$9+1,1))-AVERAGE(OFFSET($H$3,0,0,'Données projet'!$E$9+1,1))</f>
        <v>581.88778927327667</v>
      </c>
      <c r="T63" s="62">
        <f t="shared" si="34"/>
        <v>269.67340993773422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8.8278397296947393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8.8278397296947393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225</v>
      </c>
      <c r="AG63" s="13">
        <f>VLOOKUP(A63,'Données projet'!$A$61:$I$81,9,0)</f>
        <v>6</v>
      </c>
      <c r="AH63" s="13">
        <f t="array" ref="AH63">INDEX(AG:AG,MIN(IF(ISNUMBER(AG63:AG259),ROW(AG63:AG259),"")))</f>
        <v>6</v>
      </c>
      <c r="AI63" s="14">
        <f>IF('Données projet'!$A$62&gt;35,AI62+AH63-AQ62,IF(A63&lt;'Données projet'!$A$62,$AF$205^A63,IF(A63='Données projet'!$A$62,'Données projet'!$B$62,AI62+AH63-AQ62)))</f>
        <v>225.00000000000003</v>
      </c>
      <c r="AJ63" s="14">
        <f>AI63*VLOOKUP('Données projet'!$B$10,Paramètres!$A$1:$I$89,3,0)*VLOOKUP('Données projet'!$B$10,Paramètres!$A$1:$I$89,5,0)</f>
        <v>196.56000000000006</v>
      </c>
      <c r="AK63" s="14">
        <f t="shared" si="35"/>
        <v>48.987398161128134</v>
      </c>
      <c r="AL63" s="22">
        <f t="shared" si="4"/>
        <v>427.66171846396492</v>
      </c>
      <c r="AM63" s="62">
        <f t="shared" si="5"/>
        <v>720.99505179729817</v>
      </c>
      <c r="AN63" s="62">
        <f ca="1">AVERAGE(OFFSET($AM$3,0,0,'Données projet'!$E$10+1,1))-AVERAGE(OFFSET($H$3,0,0,'Données projet'!$E$10+1,1))</f>
        <v>354.24684313982857</v>
      </c>
      <c r="AO63" s="62">
        <f t="shared" si="36"/>
        <v>322.65043486962185</v>
      </c>
      <c r="AP63" s="16">
        <f>IF(ISNA(VLOOKUP(A63,'Données projet'!$A$61:$I$81,3,0)),0,VLOOKUP(A63,'Données projet'!$A$61:$I$81,3,0))</f>
        <v>11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0.215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18.365850697866911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18.365850697866911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275</v>
      </c>
      <c r="BB63" s="13">
        <f>VLOOKUP(A63,'Données projet'!$A$87:$I$107,9,0)</f>
        <v>8.4</v>
      </c>
      <c r="BC63" s="13">
        <f t="array" ref="BC63">INDEX(BB:BB,MIN(IF(ISNUMBER(BB63:BB259),ROW(BB63:BB259),"")))</f>
        <v>8.4</v>
      </c>
      <c r="BD63" s="13">
        <f>IF('Données projet'!$A$88&gt;35,BD62+BC63-BL62,IF(A63&lt;'Données projet'!$A$88,$BA$205^A63,IF(A63='Données projet'!$A$88,'Données projet'!$B$88,BD62+BC63-BL62)))</f>
        <v>275.00000000000017</v>
      </c>
      <c r="BE63" s="14">
        <f>BD63*VLOOKUP('Données projet'!$B$11,Paramètres!$A$1:$I$89,3,0)*VLOOKUP('Données projet'!$B$11,Paramètres!$A$1:$I$89,5,0)</f>
        <v>261.69000000000017</v>
      </c>
      <c r="BF63" s="14">
        <f t="shared" si="37"/>
        <v>63.0824817115464</v>
      </c>
      <c r="BG63" s="22">
        <f t="shared" si="7"/>
        <v>565.64540564761023</v>
      </c>
      <c r="BH63" s="62">
        <f t="shared" si="8"/>
        <v>858.97873898094349</v>
      </c>
      <c r="BI63" s="62">
        <f ca="1">AVERAGE(OFFSET($BH$3,0,0,'Données projet'!$E$11+1,1))-AVERAGE(OFFSET($H$3,0,0,'Données projet'!$E$11+1,1))</f>
        <v>460.77543902152325</v>
      </c>
      <c r="BJ63" s="62">
        <f t="shared" si="38"/>
        <v>341.4342976721104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32</v>
      </c>
      <c r="BM63" s="17">
        <f>IF(ISNA(VLOOKUP(A63,'Données projet'!$A$87:$I$107,5,0)),0%,VLOOKUP(A63,'Données projet'!$A$87:$I$107,5,0)*VLOOKUP('Données projet'!$B$11,Paramètres!$A$1:$I$89,7,0))</f>
        <v>0.17200000000000001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19.468905368758854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19.468905368758854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15.515714285714287</v>
      </c>
      <c r="BY63" s="13">
        <f>IF('Données projet'!$A$114&gt;35,BY62+BX63-CG62,IF(A63&lt;'Données projet'!$A$114,$BV$205^A63,IF(A63='Données projet'!$A$114,'Données projet'!$B$114,BY62+BX63-CG62)))</f>
        <v>537.26571428571435</v>
      </c>
      <c r="BZ63" s="14">
        <f>BY63*VLOOKUP('Données projet'!$B$12,Paramètres!$A$1:$I$89,3,0)*VLOOKUP('Données projet'!$B$12,Paramètres!$A$1:$I$89,5,0)</f>
        <v>321.28489714285718</v>
      </c>
      <c r="CA63" s="14">
        <f t="shared" si="39"/>
        <v>75.620639118286675</v>
      </c>
      <c r="CB63" s="22">
        <f t="shared" si="10"/>
        <v>691.27714232149219</v>
      </c>
      <c r="CC63" s="62">
        <f t="shared" si="11"/>
        <v>984.61047565482545</v>
      </c>
      <c r="CD63" s="62">
        <f ca="1">AVERAGE(OFFSET($CC$3,0,0,'Données projet'!$E$12+1,1))-AVERAGE(OFFSET($H$3,0,0,'Données projet'!$E$12+1,1))</f>
        <v>438.68915237247444</v>
      </c>
      <c r="CE63" s="62">
        <f t="shared" si="40"/>
        <v>376.94419168335452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57.41031974058609</v>
      </c>
      <c r="CL63" s="23">
        <f>EXP(-LN(2)/25)*CL62+(1-EXP(-LN(2)/25))/(LN(2)/25)*Calculateur!CG63*Calculateur!CI63*VLOOKUP('Données projet'!$B$12,Paramètres!$A$1:$I$89,3,0)*0.475*44/12</f>
        <v>15.746709775790238</v>
      </c>
      <c r="CM63" s="23">
        <f>EXP(-LN(2)/2)*CM62+(1-EXP(-LN(2)/2))/(LN(2)/2)*CG63*CJ63*VLOOKUP('Données projet'!$B$12,Paramètres!$A$1:$I$89,3,0)*0.475*44/12</f>
        <v>1.2453501309722126</v>
      </c>
      <c r="CN63" s="24">
        <f t="shared" si="12"/>
        <v>74.402379647348539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12.656666666666666</v>
      </c>
      <c r="CT63" s="13">
        <f>IF('Données projet'!$A$140&gt;35,CT62+CS63-DB62,IF(A63&lt;'Données projet'!$A$140,$CQ$205^A63,IF(A63='Données projet'!$A$140,'Données projet'!$B$140,CT62+CS63-DB62)))</f>
        <v>335.55333333333306</v>
      </c>
      <c r="CU63" s="18">
        <f>CT63*VLOOKUP('Données projet'!$B$13,Paramètres!$A$1:$I$89,3,0)*VLOOKUP('Données projet'!$B$13,Paramètres!$A$1:$I$89,5,0)</f>
        <v>157.03895999999986</v>
      </c>
      <c r="CV63" s="14">
        <f t="shared" si="41"/>
        <v>40.173920217108204</v>
      </c>
      <c r="CW63" s="22">
        <f t="shared" si="13"/>
        <v>343.47909971146322</v>
      </c>
      <c r="CX63" s="62">
        <f t="shared" si="14"/>
        <v>636.81243304479653</v>
      </c>
      <c r="CY63" s="62">
        <f ca="1">AVERAGE(OFFSET($CX$3,0,0,'Données projet'!$E$13+1,1))-AVERAGE(OFFSET($H$3,0,0,'Données projet'!$E$13+1,1))</f>
        <v>302.06513069580848</v>
      </c>
      <c r="CZ63" s="62">
        <f t="shared" si="42"/>
        <v>164.1450425611464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19.577017999755711</v>
      </c>
      <c r="DG63" s="23">
        <f>EXP(-LN(2)/25)*DG62+(1-EXP(-LN(2)/25))/(LN(2)/25)*Calculateur!DB63*Calculateur!DD63*VLOOKUP('Données projet'!$B$13,Paramètres!$A$1:$I$89,3,0)*0.475*44/12</f>
        <v>15.434374096925779</v>
      </c>
      <c r="DH63" s="23">
        <f>EXP(-LN(2)/2)*DH62+(1-EXP(-LN(2)/2))/(LN(2)/2)*DB63*DE63*VLOOKUP('Données projet'!$B$13,Paramètres!$A$1:$I$89,3,0)*0.475*44/12</f>
        <v>1.04298274299639</v>
      </c>
      <c r="DI63" s="24">
        <f t="shared" si="15"/>
        <v>36.054374839677877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9.2524999999999977</v>
      </c>
      <c r="N64" s="14">
        <f>IF('Données projet'!$A$36&gt;35,N63+M64-V63,IF(A64&lt;'Données projet'!$A$36,$K$205^A64,IF(A64='Données projet'!$A$36,'Données projet'!$B$36,N63+M64-V63)))</f>
        <v>218.69750000000019</v>
      </c>
      <c r="O64" s="14">
        <f>N64*VLOOKUP('Données projet'!$B$9,Paramètres!$A$1:$I$89,3,0)*VLOOKUP('Données projet'!$B$9,Paramètres!$A$1:$I$89,5,0)</f>
        <v>197.87749800000014</v>
      </c>
      <c r="P64" s="14">
        <f t="shared" si="33"/>
        <v>49.277416774103372</v>
      </c>
      <c r="Q64" s="22">
        <f t="shared" si="53"/>
        <v>430.46147656489694</v>
      </c>
      <c r="R64" s="62">
        <f t="shared" si="0"/>
        <v>723.79480989823026</v>
      </c>
      <c r="S64" s="62">
        <f ca="1">AVERAGE(OFFSET($R$3,0,0,'Données projet'!$E$9+1,1))-AVERAGE(OFFSET($H$3,0,0,'Données projet'!$E$9+1,1))</f>
        <v>581.88778927327667</v>
      </c>
      <c r="T64" s="62">
        <f t="shared" si="34"/>
        <v>269.67340993773422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8.6547311770459903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8.6547311770459903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5.6</v>
      </c>
      <c r="AI64" s="14">
        <f>IF('Données projet'!$A$62&gt;35,AI63+AH64-AQ63,IF(A64&lt;'Données projet'!$A$62,$AF$205^A64,IF(A64='Données projet'!$A$62,'Données projet'!$B$62,AI63+AH64-AQ63)))</f>
        <v>209.60000000000002</v>
      </c>
      <c r="AJ64" s="14">
        <f>AI64*VLOOKUP('Données projet'!$B$10,Paramètres!$A$1:$I$89,3,0)*VLOOKUP('Données projet'!$B$10,Paramètres!$A$1:$I$89,5,0)</f>
        <v>183.10656000000003</v>
      </c>
      <c r="AK64" s="14">
        <f t="shared" si="35"/>
        <v>46.012648718992089</v>
      </c>
      <c r="AL64" s="22">
        <f t="shared" si="4"/>
        <v>399.04928851891128</v>
      </c>
      <c r="AM64" s="62">
        <f t="shared" si="5"/>
        <v>692.3826218522446</v>
      </c>
      <c r="AN64" s="62">
        <f ca="1">AVERAGE(OFFSET($AM$3,0,0,'Données projet'!$E$10+1,1))-AVERAGE(OFFSET($H$3,0,0,'Données projet'!$E$10+1,1))</f>
        <v>354.24684313982857</v>
      </c>
      <c r="AO64" s="62">
        <f t="shared" si="36"/>
        <v>322.65043486962185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18.005707567744555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18.005707567744555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8.1999999999999993</v>
      </c>
      <c r="BD64" s="13">
        <f>IF('Données projet'!$A$88&gt;35,BD63+BC64-BL63,IF(A64&lt;'Données projet'!$A$88,$BA$205^A64,IF(A64='Données projet'!$A$88,'Données projet'!$B$88,BD63+BC64-BL63)))</f>
        <v>251.20000000000016</v>
      </c>
      <c r="BE64" s="14">
        <f>BD64*VLOOKUP('Données projet'!$B$11,Paramètres!$A$1:$I$89,3,0)*VLOOKUP('Données projet'!$B$11,Paramètres!$A$1:$I$89,5,0)</f>
        <v>239.04192000000015</v>
      </c>
      <c r="BF64" s="14">
        <f t="shared" si="37"/>
        <v>58.233346939347697</v>
      </c>
      <c r="BG64" s="22">
        <f t="shared" si="7"/>
        <v>517.75442325269739</v>
      </c>
      <c r="BH64" s="62">
        <f t="shared" si="8"/>
        <v>811.08775658603076</v>
      </c>
      <c r="BI64" s="62">
        <f ca="1">AVERAGE(OFFSET($BH$3,0,0,'Données projet'!$E$11+1,1))-AVERAGE(OFFSET($H$3,0,0,'Données projet'!$E$11+1,1))</f>
        <v>460.77543902152325</v>
      </c>
      <c r="BJ64" s="62">
        <f t="shared" si="38"/>
        <v>341.4342976721104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19.087132009337221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19.087132009337221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15.515714285714287</v>
      </c>
      <c r="BY64" s="13">
        <f>IF('Données projet'!$A$114&gt;35,BY63+BX64-CG63,IF(A64&lt;'Données projet'!$A$114,$BV$205^A64,IF(A64='Données projet'!$A$114,'Données projet'!$B$114,BY63+BX64-CG63)))</f>
        <v>552.78142857142859</v>
      </c>
      <c r="BZ64" s="14">
        <f>BY64*VLOOKUP('Données projet'!$B$12,Paramètres!$A$1:$I$89,3,0)*VLOOKUP('Données projet'!$B$12,Paramètres!$A$1:$I$89,5,0)</f>
        <v>330.56329428571433</v>
      </c>
      <c r="CA64" s="14">
        <f t="shared" si="39"/>
        <v>77.547080854167504</v>
      </c>
      <c r="CB64" s="22">
        <f t="shared" si="10"/>
        <v>710.79223670196086</v>
      </c>
      <c r="CC64" s="62">
        <f t="shared" si="11"/>
        <v>1004.1255700352942</v>
      </c>
      <c r="CD64" s="62">
        <f ca="1">AVERAGE(OFFSET($CC$3,0,0,'Données projet'!$E$12+1,1))-AVERAGE(OFFSET($H$3,0,0,'Données projet'!$E$12+1,1))</f>
        <v>438.68915237247444</v>
      </c>
      <c r="CE64" s="62">
        <f t="shared" si="40"/>
        <v>376.94419168335452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56.284538387310612</v>
      </c>
      <c r="CL64" s="23">
        <f>EXP(-LN(2)/25)*CL63+(1-EXP(-LN(2)/25))/(LN(2)/25)*Calculateur!CG64*Calculateur!CI64*VLOOKUP('Données projet'!$B$12,Paramètres!$A$1:$I$89,3,0)*0.475*44/12</f>
        <v>15.316115168887777</v>
      </c>
      <c r="CM64" s="23">
        <f>EXP(-LN(2)/2)*CM63+(1-EXP(-LN(2)/2))/(LN(2)/2)*CG64*CJ64*VLOOKUP('Données projet'!$B$12,Paramètres!$A$1:$I$89,3,0)*0.475*44/12</f>
        <v>0.88059552256200668</v>
      </c>
      <c r="CN64" s="24">
        <f t="shared" si="12"/>
        <v>72.481249078760385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>
        <f>VLOOKUP(A64,'Données projet'!$A$139:$I$159,2,0)</f>
        <v>348.21</v>
      </c>
      <c r="CR64" s="13">
        <f>VLOOKUP(A64,'Données projet'!$A$139:$I$159,9,0)</f>
        <v>12.656666666666666</v>
      </c>
      <c r="CS64" s="13">
        <f t="array" ref="CS64">INDEX(CR:CR,MIN(IF(ISNUMBER(CR64:CR260),ROW(CR64:CR260),"")))</f>
        <v>12.656666666666666</v>
      </c>
      <c r="CT64" s="13">
        <f>IF('Données projet'!$A$140&gt;35,CT63+CS64-DB63,IF(A64&lt;'Données projet'!$A$140,$CQ$205^A64,IF(A64='Données projet'!$A$140,'Données projet'!$B$140,CT63+CS64-DB63)))</f>
        <v>348.2099999999997</v>
      </c>
      <c r="CU64" s="18">
        <f>CT64*VLOOKUP('Données projet'!$B$13,Paramètres!$A$1:$I$89,3,0)*VLOOKUP('Données projet'!$B$13,Paramètres!$A$1:$I$89,5,0)</f>
        <v>162.96227999999985</v>
      </c>
      <c r="CV64" s="14">
        <f t="shared" si="41"/>
        <v>41.509950889873814</v>
      </c>
      <c r="CW64" s="22">
        <f t="shared" si="13"/>
        <v>356.12246879986333</v>
      </c>
      <c r="CX64" s="62">
        <f t="shared" si="14"/>
        <v>649.45580213319658</v>
      </c>
      <c r="CY64" s="62">
        <f ca="1">AVERAGE(OFFSET($CX$3,0,0,'Données projet'!$E$13+1,1))-AVERAGE(OFFSET($H$3,0,0,'Données projet'!$E$13+1,1))</f>
        <v>302.06513069580848</v>
      </c>
      <c r="CZ64" s="62">
        <f t="shared" si="42"/>
        <v>164.1450425611464</v>
      </c>
      <c r="DA64" s="16">
        <f>IF(ISNA(VLOOKUP(A64,'Données projet'!$A$139:$I$159,3,0)),0,VLOOKUP(A64,'Données projet'!$A$139:$I$159,3,0))</f>
        <v>2</v>
      </c>
      <c r="DB64" s="16">
        <f>IF(ISNA(VLOOKUP(A64,'Données projet'!$A$139:$I$159,4,0)),0,VLOOKUP(A64,'Données projet'!$A$139:$I$159,4,0))</f>
        <v>100.2</v>
      </c>
      <c r="DC64" s="17">
        <f>IF(ISNA(VLOOKUP(A64,'Données projet'!$A$139:$I$159,5,0)),0%,VLOOKUP(A64,'Données projet'!$A$139:$I$159,5,0)*VLOOKUP('Données projet'!$B$13,Paramètres!$A$1:$I$89,7,0))</f>
        <v>0.27500000000000002</v>
      </c>
      <c r="DD64" s="17">
        <f>IF(ISNA(VLOOKUP(A64,'Données projet'!$A$139:$I$159,6,0)),0%,VLOOKUP(A64,'Données projet'!$A$139:$I$159,6,0)*VLOOKUP('Données projet'!$B$13,Paramètres!$A$1:$I$89,7,0))</f>
        <v>0.15400000000000003</v>
      </c>
      <c r="DE64" s="17">
        <f>IF(ISNA(VLOOKUP(A64,'Données projet'!$A$139:$I$159,7,0)),0%,VLOOKUP(A64,'Données projet'!$A$139:$I$159,7,0))</f>
        <v>0.22</v>
      </c>
      <c r="DF64" s="23">
        <f>EXP(-LN(2)/35)*DF63+(1-EXP(-LN(2)/35))/(LN(2)/35)*DB64*DC64*VLOOKUP('Données projet'!$B$13,Paramètres!$A$1:$I$89,3,0)*0.475*44/12</f>
        <v>36.300154928172326</v>
      </c>
      <c r="DG64" s="23">
        <f>EXP(-LN(2)/25)*DG63+(1-EXP(-LN(2)/25))/(LN(2)/25)*Calculateur!DB64*Calculateur!DD64*VLOOKUP('Données projet'!$B$13,Paramètres!$A$1:$I$89,3,0)*0.475*44/12</f>
        <v>24.554537437408705</v>
      </c>
      <c r="DH64" s="23">
        <f>EXP(-LN(2)/2)*DH63+(1-EXP(-LN(2)/2))/(LN(2)/2)*DB64*DE64*VLOOKUP('Données projet'!$B$13,Paramètres!$A$1:$I$89,3,0)*0.475*44/12</f>
        <v>12.418278833036451</v>
      </c>
      <c r="DI64" s="24">
        <f t="shared" si="15"/>
        <v>73.272971198617483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9.2524999999999977</v>
      </c>
      <c r="N65" s="14">
        <f>IF('Données projet'!$A$36&gt;35,N64+M65-V64,IF(A65&lt;'Données projet'!$A$36,$K$205^A65,IF(A65='Données projet'!$A$36,'Données projet'!$B$36,N64+M65-V64)))</f>
        <v>227.95000000000019</v>
      </c>
      <c r="O65" s="14">
        <f>N65*VLOOKUP('Données projet'!$B$9,Paramètres!$A$1:$I$89,3,0)*VLOOKUP('Données projet'!$B$9,Paramètres!$A$1:$I$89,5,0)</f>
        <v>206.24916000000016</v>
      </c>
      <c r="P65" s="14">
        <f t="shared" si="33"/>
        <v>51.115075026737237</v>
      </c>
      <c r="Q65" s="22">
        <f t="shared" si="53"/>
        <v>448.24270933823431</v>
      </c>
      <c r="R65" s="62">
        <f t="shared" si="0"/>
        <v>741.57604267156762</v>
      </c>
      <c r="S65" s="62">
        <f ca="1">AVERAGE(OFFSET($R$3,0,0,'Données projet'!$E$9+1,1))-AVERAGE(OFFSET($H$3,0,0,'Données projet'!$E$9+1,1))</f>
        <v>581.88778927327667</v>
      </c>
      <c r="T65" s="62">
        <f t="shared" si="34"/>
        <v>269.67340993773422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8.4850171775288921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8.4850171775288921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5.6</v>
      </c>
      <c r="AI65" s="14">
        <f>IF('Données projet'!$A$62&gt;35,AI64+AH65-AQ64,IF(A65&lt;'Données projet'!$A$62,$AF$205^A65,IF(A65='Données projet'!$A$62,'Données projet'!$B$62,AI64+AH65-AQ64)))</f>
        <v>215.20000000000002</v>
      </c>
      <c r="AJ65" s="14">
        <f>AI65*VLOOKUP('Données projet'!$B$10,Paramètres!$A$1:$I$89,3,0)*VLOOKUP('Données projet'!$B$10,Paramètres!$A$1:$I$89,5,0)</f>
        <v>187.99872000000002</v>
      </c>
      <c r="AK65" s="14">
        <f t="shared" si="35"/>
        <v>47.097225953569499</v>
      </c>
      <c r="AL65" s="22">
        <f t="shared" si="4"/>
        <v>409.45877253580028</v>
      </c>
      <c r="AM65" s="62">
        <f t="shared" si="5"/>
        <v>702.79210586913359</v>
      </c>
      <c r="AN65" s="62">
        <f ca="1">AVERAGE(OFFSET($AM$3,0,0,'Données projet'!$E$10+1,1))-AVERAGE(OFFSET($H$3,0,0,'Données projet'!$E$10+1,1))</f>
        <v>354.24684313982857</v>
      </c>
      <c r="AO65" s="62">
        <f t="shared" si="36"/>
        <v>322.65043486962185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17.652626624738279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17.652626624738279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8.1999999999999993</v>
      </c>
      <c r="BD65" s="13">
        <f>IF('Données projet'!$A$88&gt;35,BD64+BC65-BL64,IF(A65&lt;'Données projet'!$A$88,$BA$205^A65,IF(A65='Données projet'!$A$88,'Données projet'!$B$88,BD64+BC65-BL64)))</f>
        <v>259.40000000000015</v>
      </c>
      <c r="BE65" s="14">
        <f>BD65*VLOOKUP('Données projet'!$B$11,Paramètres!$A$1:$I$89,3,0)*VLOOKUP('Données projet'!$B$11,Paramètres!$A$1:$I$89,5,0)</f>
        <v>246.84504000000015</v>
      </c>
      <c r="BF65" s="14">
        <f t="shared" si="37"/>
        <v>59.909855104873486</v>
      </c>
      <c r="BG65" s="22">
        <f t="shared" si="7"/>
        <v>534.2647756409882</v>
      </c>
      <c r="BH65" s="62">
        <f t="shared" si="8"/>
        <v>827.59810897432158</v>
      </c>
      <c r="BI65" s="62">
        <f ca="1">AVERAGE(OFFSET($BH$3,0,0,'Données projet'!$E$11+1,1))-AVERAGE(OFFSET($H$3,0,0,'Données projet'!$E$11+1,1))</f>
        <v>460.77543902152325</v>
      </c>
      <c r="BJ65" s="62">
        <f t="shared" si="38"/>
        <v>341.4342976721104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18.712844992635091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18.712844992635091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15.515714285714287</v>
      </c>
      <c r="BY65" s="13">
        <f>IF('Données projet'!$A$114&gt;35,BY64+BX65-CG64,IF(A65&lt;'Données projet'!$A$114,$BV$205^A65,IF(A65='Données projet'!$A$114,'Données projet'!$B$114,BY64+BX65-CG64)))</f>
        <v>568.29714285714283</v>
      </c>
      <c r="BZ65" s="14">
        <f>BY65*VLOOKUP('Données projet'!$B$12,Paramètres!$A$1:$I$89,3,0)*VLOOKUP('Données projet'!$B$12,Paramètres!$A$1:$I$89,5,0)</f>
        <v>339.84169142857149</v>
      </c>
      <c r="CA65" s="14">
        <f t="shared" si="39"/>
        <v>79.467237982145818</v>
      </c>
      <c r="CB65" s="22">
        <f t="shared" si="10"/>
        <v>730.2963853903326</v>
      </c>
      <c r="CC65" s="62">
        <f t="shared" si="11"/>
        <v>1023.629718723666</v>
      </c>
      <c r="CD65" s="62">
        <f ca="1">AVERAGE(OFFSET($CC$3,0,0,'Données projet'!$E$12+1,1))-AVERAGE(OFFSET($H$3,0,0,'Données projet'!$E$12+1,1))</f>
        <v>438.68915237247444</v>
      </c>
      <c r="CE65" s="62">
        <f t="shared" si="40"/>
        <v>376.94419168335452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55.180832919714042</v>
      </c>
      <c r="CL65" s="23">
        <f>EXP(-LN(2)/25)*CL64+(1-EXP(-LN(2)/25))/(LN(2)/25)*Calculateur!CG65*Calculateur!CI65*VLOOKUP('Données projet'!$B$12,Paramètres!$A$1:$I$89,3,0)*0.475*44/12</f>
        <v>14.897295194155049</v>
      </c>
      <c r="CM65" s="23">
        <f>EXP(-LN(2)/2)*CM64+(1-EXP(-LN(2)/2))/(LN(2)/2)*CG65*CJ65*VLOOKUP('Données projet'!$B$12,Paramètres!$A$1:$I$89,3,0)*0.475*44/12</f>
        <v>0.6226750654861064</v>
      </c>
      <c r="CN65" s="24">
        <f t="shared" si="12"/>
        <v>70.700803179355205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11.620000000000005</v>
      </c>
      <c r="CT65" s="13">
        <f>IF('Données projet'!$A$140&gt;35,CT64+CS65-DB64,IF(A65&lt;'Données projet'!$A$140,$CQ$205^A65,IF(A65='Données projet'!$A$140,'Données projet'!$B$140,CT64+CS65-DB64)))</f>
        <v>259.62999999999971</v>
      </c>
      <c r="CU65" s="18">
        <f>CT65*VLOOKUP('Données projet'!$B$13,Paramètres!$A$1:$I$89,3,0)*VLOOKUP('Données projet'!$B$13,Paramètres!$A$1:$I$89,5,0)</f>
        <v>121.50683999999987</v>
      </c>
      <c r="CV65" s="14">
        <f t="shared" si="41"/>
        <v>32.026189328661609</v>
      </c>
      <c r="CW65" s="22">
        <f t="shared" si="13"/>
        <v>267.4033594140854</v>
      </c>
      <c r="CX65" s="62">
        <f t="shared" si="14"/>
        <v>560.73669274741872</v>
      </c>
      <c r="CY65" s="62">
        <f ca="1">AVERAGE(OFFSET($CX$3,0,0,'Données projet'!$E$13+1,1))-AVERAGE(OFFSET($H$3,0,0,'Données projet'!$E$13+1,1))</f>
        <v>302.06513069580848</v>
      </c>
      <c r="CZ65" s="62">
        <f t="shared" si="42"/>
        <v>164.1450425611464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35.588331030939138</v>
      </c>
      <c r="DG65" s="23">
        <f>EXP(-LN(2)/25)*DG64+(1-EXP(-LN(2)/25))/(LN(2)/25)*Calculateur!DB65*Calculateur!DD65*VLOOKUP('Données projet'!$B$13,Paramètres!$A$1:$I$89,3,0)*0.475*44/12</f>
        <v>23.883092319915761</v>
      </c>
      <c r="DH65" s="23">
        <f>EXP(-LN(2)/2)*DH64+(1-EXP(-LN(2)/2))/(LN(2)/2)*DB65*DE65*VLOOKUP('Données projet'!$B$13,Paramètres!$A$1:$I$89,3,0)*0.475*44/12</f>
        <v>8.7810491735054406</v>
      </c>
      <c r="DI65" s="24">
        <f t="shared" si="15"/>
        <v>68.252472524360343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9.2524999999999977</v>
      </c>
      <c r="N66" s="14">
        <f>IF('Données projet'!$A$36&gt;35,N65+M66-V65,IF(A66&lt;'Données projet'!$A$36,$K$205^A66,IF(A66='Données projet'!$A$36,'Données projet'!$B$36,N65+M66-V65)))</f>
        <v>237.20250000000019</v>
      </c>
      <c r="O66" s="14">
        <f>N66*VLOOKUP('Données projet'!$B$9,Paramètres!$A$1:$I$89,3,0)*VLOOKUP('Données projet'!$B$9,Paramètres!$A$1:$I$89,5,0)</f>
        <v>214.62082200000015</v>
      </c>
      <c r="P66" s="14">
        <f t="shared" si="33"/>
        <v>52.944068896315315</v>
      </c>
      <c r="Q66" s="22">
        <f t="shared" si="53"/>
        <v>466.0088516444161</v>
      </c>
      <c r="R66" s="62">
        <f t="shared" si="0"/>
        <v>759.34218497774941</v>
      </c>
      <c r="S66" s="62">
        <f ca="1">AVERAGE(OFFSET($R$3,0,0,'Données projet'!$E$9+1,1))-AVERAGE(OFFSET($H$3,0,0,'Données projet'!$E$9+1,1))</f>
        <v>581.88778927327667</v>
      </c>
      <c r="T66" s="62">
        <f t="shared" si="34"/>
        <v>269.67340993773422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8.3186311660270054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8.3186311660270054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5.6</v>
      </c>
      <c r="AI66" s="14">
        <f>IF('Données projet'!$A$62&gt;35,AI65+AH66-AQ65,IF(A66&lt;'Données projet'!$A$62,$AF$205^A66,IF(A66='Données projet'!$A$62,'Données projet'!$B$62,AI65+AH66-AQ65)))</f>
        <v>220.8</v>
      </c>
      <c r="AJ66" s="14">
        <f>AI66*VLOOKUP('Données projet'!$B$10,Paramètres!$A$1:$I$89,3,0)*VLOOKUP('Données projet'!$B$10,Paramètres!$A$1:$I$89,5,0)</f>
        <v>192.89088000000004</v>
      </c>
      <c r="AK66" s="14">
        <f t="shared" si="35"/>
        <v>48.178522586846704</v>
      </c>
      <c r="AL66" s="22">
        <f t="shared" si="4"/>
        <v>419.86254283875809</v>
      </c>
      <c r="AM66" s="62">
        <f t="shared" si="5"/>
        <v>713.1958761720914</v>
      </c>
      <c r="AN66" s="62">
        <f ca="1">AVERAGE(OFFSET($AM$3,0,0,'Données projet'!$E$10+1,1))-AVERAGE(OFFSET($H$3,0,0,'Données projet'!$E$10+1,1))</f>
        <v>354.24684313982857</v>
      </c>
      <c r="AO66" s="62">
        <f t="shared" si="36"/>
        <v>322.65043486962185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17.306469383666244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17.306469383666244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8.1999999999999993</v>
      </c>
      <c r="BD66" s="13">
        <f>IF('Données projet'!$A$88&gt;35,BD65+BC66-BL65,IF(A66&lt;'Données projet'!$A$88,$BA$205^A66,IF(A66='Données projet'!$A$88,'Données projet'!$B$88,BD65+BC66-BL65)))</f>
        <v>267.60000000000014</v>
      </c>
      <c r="BE66" s="14">
        <f>BD66*VLOOKUP('Données projet'!$B$11,Paramètres!$A$1:$I$89,3,0)*VLOOKUP('Données projet'!$B$11,Paramètres!$A$1:$I$89,5,0)</f>
        <v>254.64816000000013</v>
      </c>
      <c r="BF66" s="14">
        <f t="shared" si="37"/>
        <v>61.580204695956198</v>
      </c>
      <c r="BG66" s="22">
        <f t="shared" si="7"/>
        <v>550.7644018454572</v>
      </c>
      <c r="BH66" s="62">
        <f t="shared" si="8"/>
        <v>844.09773517879057</v>
      </c>
      <c r="BI66" s="62">
        <f ca="1">AVERAGE(OFFSET($BH$3,0,0,'Données projet'!$E$11+1,1))-AVERAGE(OFFSET($H$3,0,0,'Données projet'!$E$11+1,1))</f>
        <v>460.77543902152325</v>
      </c>
      <c r="BJ66" s="62">
        <f t="shared" si="38"/>
        <v>341.4342976721104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18.345897516037951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18.345897516037951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15.515714285714287</v>
      </c>
      <c r="BY66" s="13">
        <f>IF('Données projet'!$A$114&gt;35,BY65+BX66-CG65,IF(A66&lt;'Données projet'!$A$114,$BV$205^A66,IF(A66='Données projet'!$A$114,'Données projet'!$B$114,BY65+BX66-CG65)))</f>
        <v>583.81285714285707</v>
      </c>
      <c r="BZ66" s="14">
        <f>BY66*VLOOKUP('Données projet'!$B$12,Paramètres!$A$1:$I$89,3,0)*VLOOKUP('Données projet'!$B$12,Paramètres!$A$1:$I$89,5,0)</f>
        <v>349.12008857142854</v>
      </c>
      <c r="CA66" s="14">
        <f t="shared" si="39"/>
        <v>81.381301801660527</v>
      </c>
      <c r="CB66" s="22">
        <f t="shared" si="10"/>
        <v>749.78992156646348</v>
      </c>
      <c r="CC66" s="62">
        <f t="shared" si="11"/>
        <v>1043.1232548997968</v>
      </c>
      <c r="CD66" s="62">
        <f ca="1">AVERAGE(OFFSET($CC$3,0,0,'Données projet'!$E$12+1,1))-AVERAGE(OFFSET($H$3,0,0,'Données projet'!$E$12+1,1))</f>
        <v>438.68915237247444</v>
      </c>
      <c r="CE66" s="62">
        <f t="shared" si="40"/>
        <v>376.94419168335452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54.098770443143181</v>
      </c>
      <c r="CL66" s="23">
        <f>EXP(-LN(2)/25)*CL65+(1-EXP(-LN(2)/25))/(LN(2)/25)*Calculateur!CG66*Calculateur!CI66*VLOOKUP('Données projet'!$B$12,Paramètres!$A$1:$I$89,3,0)*0.475*44/12</f>
        <v>14.489927873656173</v>
      </c>
      <c r="CM66" s="23">
        <f>EXP(-LN(2)/2)*CM65+(1-EXP(-LN(2)/2))/(LN(2)/2)*CG66*CJ66*VLOOKUP('Données projet'!$B$12,Paramètres!$A$1:$I$89,3,0)*0.475*44/12</f>
        <v>0.4402977612810034</v>
      </c>
      <c r="CN66" s="24">
        <f t="shared" si="12"/>
        <v>69.028996078080354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11.620000000000005</v>
      </c>
      <c r="CT66" s="13">
        <f>IF('Données projet'!$A$140&gt;35,CT65+CS66-DB65,IF(A66&lt;'Données projet'!$A$140,$CQ$205^A66,IF(A66='Données projet'!$A$140,'Données projet'!$B$140,CT65+CS66-DB65)))</f>
        <v>271.24999999999972</v>
      </c>
      <c r="CU66" s="18">
        <f>CT66*VLOOKUP('Données projet'!$B$13,Paramètres!$A$1:$I$89,3,0)*VLOOKUP('Données projet'!$B$13,Paramètres!$A$1:$I$89,5,0)</f>
        <v>126.94499999999987</v>
      </c>
      <c r="CV66" s="14">
        <f t="shared" si="41"/>
        <v>33.289464491608804</v>
      </c>
      <c r="CW66" s="22">
        <f t="shared" si="13"/>
        <v>279.07502565621843</v>
      </c>
      <c r="CX66" s="62">
        <f t="shared" si="14"/>
        <v>572.40835898955174</v>
      </c>
      <c r="CY66" s="62">
        <f ca="1">AVERAGE(OFFSET($CX$3,0,0,'Données projet'!$E$13+1,1))-AVERAGE(OFFSET($H$3,0,0,'Données projet'!$E$13+1,1))</f>
        <v>302.06513069580848</v>
      </c>
      <c r="CZ66" s="62">
        <f t="shared" si="42"/>
        <v>164.1450425611464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34.890465566160991</v>
      </c>
      <c r="DG66" s="23">
        <f>EXP(-LN(2)/25)*DG65+(1-EXP(-LN(2)/25))/(LN(2)/25)*Calculateur!DB66*Calculateur!DD66*VLOOKUP('Données projet'!$B$13,Paramètres!$A$1:$I$89,3,0)*0.475*44/12</f>
        <v>23.230007904470426</v>
      </c>
      <c r="DH66" s="23">
        <f>EXP(-LN(2)/2)*DH65+(1-EXP(-LN(2)/2))/(LN(2)/2)*DB66*DE66*VLOOKUP('Données projet'!$B$13,Paramètres!$A$1:$I$89,3,0)*0.475*44/12</f>
        <v>6.2091394165182257</v>
      </c>
      <c r="DI66" s="24">
        <f t="shared" si="15"/>
        <v>64.329612887149636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9.2524999999999977</v>
      </c>
      <c r="N67" s="14">
        <f>IF('Données projet'!$A$36&gt;35,N66+M67-V66,IF(A67&lt;'Données projet'!$A$36,$K$205^A67,IF(A67='Données projet'!$A$36,'Données projet'!$B$36,N66+M67-V66)))</f>
        <v>246.45500000000018</v>
      </c>
      <c r="O67" s="14">
        <f>N67*VLOOKUP('Données projet'!$B$9,Paramètres!$A$1:$I$89,3,0)*VLOOKUP('Données projet'!$B$9,Paramètres!$A$1:$I$89,5,0)</f>
        <v>222.99248400000016</v>
      </c>
      <c r="P67" s="14">
        <f t="shared" si="33"/>
        <v>54.764775031234961</v>
      </c>
      <c r="Q67" s="22">
        <f t="shared" ref="Q67:Q98" si="54">(O67+P67)*0.475*44/12</f>
        <v>483.76055947940108</v>
      </c>
      <c r="R67" s="62">
        <f t="shared" ref="R67:R130" si="55">Q67+(I67+J67)*44/12</f>
        <v>777.09389281273434</v>
      </c>
      <c r="S67" s="62">
        <f ca="1">AVERAGE(OFFSET($R$3,0,0,'Données projet'!$E$9+1,1))-AVERAGE(OFFSET($H$3,0,0,'Données projet'!$E$9+1,1))</f>
        <v>581.88778927327667</v>
      </c>
      <c r="T67" s="62">
        <f t="shared" si="34"/>
        <v>269.67340993773422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8.1555078827252245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8.1555078827252245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5.6</v>
      </c>
      <c r="AI67" s="14">
        <f>IF('Données projet'!$A$62&gt;35,AI66+AH67-AQ66,IF(A67&lt;'Données projet'!$A$62,$AF$205^A67,IF(A67='Données projet'!$A$62,'Données projet'!$B$62,AI66+AH67-AQ66)))</f>
        <v>226.4</v>
      </c>
      <c r="AJ67" s="14">
        <f>AI67*VLOOKUP('Données projet'!$B$10,Paramètres!$A$1:$I$89,3,0)*VLOOKUP('Données projet'!$B$10,Paramètres!$A$1:$I$89,5,0)</f>
        <v>197.78304000000003</v>
      </c>
      <c r="AK67" s="14">
        <f t="shared" si="35"/>
        <v>49.256631390532817</v>
      </c>
      <c r="AL67" s="22">
        <f t="shared" si="4"/>
        <v>430.26076100517804</v>
      </c>
      <c r="AM67" s="62">
        <f t="shared" si="5"/>
        <v>723.59409433851135</v>
      </c>
      <c r="AN67" s="62">
        <f ca="1">AVERAGE(OFFSET($AM$3,0,0,'Données projet'!$E$10+1,1))-AVERAGE(OFFSET($H$3,0,0,'Données projet'!$E$10+1,1))</f>
        <v>354.24684313982857</v>
      </c>
      <c r="AO67" s="62">
        <f t="shared" si="36"/>
        <v>322.65043486962185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16.967100074956562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16.967100074956562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8.1999999999999993</v>
      </c>
      <c r="BD67" s="13">
        <f>IF('Données projet'!$A$88&gt;35,BD66+BC67-BL66,IF(A67&lt;'Données projet'!$A$88,$BA$205^A67,IF(A67='Données projet'!$A$88,'Données projet'!$B$88,BD66+BC67-BL66)))</f>
        <v>275.80000000000013</v>
      </c>
      <c r="BE67" s="14">
        <f>BD67*VLOOKUP('Données projet'!$B$11,Paramètres!$A$1:$I$89,3,0)*VLOOKUP('Données projet'!$B$11,Paramètres!$A$1:$I$89,5,0)</f>
        <v>262.45128000000017</v>
      </c>
      <c r="BF67" s="14">
        <f t="shared" si="37"/>
        <v>63.244606086255928</v>
      </c>
      <c r="BG67" s="22">
        <f t="shared" si="7"/>
        <v>567.25366826689606</v>
      </c>
      <c r="BH67" s="62">
        <f t="shared" si="8"/>
        <v>860.58700160022931</v>
      </c>
      <c r="BI67" s="62">
        <f ca="1">AVERAGE(OFFSET($BH$3,0,0,'Données projet'!$E$11+1,1))-AVERAGE(OFFSET($H$3,0,0,'Données projet'!$E$11+1,1))</f>
        <v>460.77543902152325</v>
      </c>
      <c r="BJ67" s="62">
        <f t="shared" si="38"/>
        <v>341.4342976721104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17.986145655641021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17.986145655641021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15.515714285714287</v>
      </c>
      <c r="BY67" s="13">
        <f>IF('Données projet'!$A$114&gt;35,BY66+BX67-CG66,IF(A67&lt;'Données projet'!$A$114,$BV$205^A67,IF(A67='Données projet'!$A$114,'Données projet'!$B$114,BY66+BX67-CG66)))</f>
        <v>599.32857142857131</v>
      </c>
      <c r="BZ67" s="14">
        <f>BY67*VLOOKUP('Données projet'!$B$12,Paramètres!$A$1:$I$89,3,0)*VLOOKUP('Données projet'!$B$12,Paramètres!$A$1:$I$89,5,0)</f>
        <v>358.3984857142857</v>
      </c>
      <c r="CA67" s="14">
        <f t="shared" si="39"/>
        <v>83.289452865023264</v>
      </c>
      <c r="CB67" s="22">
        <f t="shared" si="10"/>
        <v>769.2731596922963</v>
      </c>
      <c r="CC67" s="62">
        <f t="shared" si="11"/>
        <v>1062.6064930256296</v>
      </c>
      <c r="CD67" s="62">
        <f ca="1">AVERAGE(OFFSET($CC$3,0,0,'Données projet'!$E$12+1,1))-AVERAGE(OFFSET($H$3,0,0,'Données projet'!$E$12+1,1))</f>
        <v>438.68915237247444</v>
      </c>
      <c r="CE67" s="62">
        <f t="shared" si="40"/>
        <v>376.94419168335452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53.037926551744931</v>
      </c>
      <c r="CL67" s="23">
        <f>EXP(-LN(2)/25)*CL66+(1-EXP(-LN(2)/25))/(LN(2)/25)*Calculateur!CG67*Calculateur!CI67*VLOOKUP('Données projet'!$B$12,Paramètres!$A$1:$I$89,3,0)*0.475*44/12</f>
        <v>14.093700033958855</v>
      </c>
      <c r="CM67" s="23">
        <f>EXP(-LN(2)/2)*CM66+(1-EXP(-LN(2)/2))/(LN(2)/2)*CG67*CJ67*VLOOKUP('Données projet'!$B$12,Paramètres!$A$1:$I$89,3,0)*0.475*44/12</f>
        <v>0.3113375327430532</v>
      </c>
      <c r="CN67" s="24">
        <f t="shared" si="12"/>
        <v>67.442964118446838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11.620000000000005</v>
      </c>
      <c r="CT67" s="13">
        <f>IF('Données projet'!$A$140&gt;35,CT66+CS67-DB66,IF(A67&lt;'Données projet'!$A$140,$CQ$205^A67,IF(A67='Données projet'!$A$140,'Données projet'!$B$140,CT66+CS67-DB66)))</f>
        <v>282.86999999999972</v>
      </c>
      <c r="CU67" s="18">
        <f>CT67*VLOOKUP('Données projet'!$B$13,Paramètres!$A$1:$I$89,3,0)*VLOOKUP('Données projet'!$B$13,Paramètres!$A$1:$I$89,5,0)</f>
        <v>132.38315999999986</v>
      </c>
      <c r="CV67" s="14">
        <f t="shared" si="41"/>
        <v>34.546454075700026</v>
      </c>
      <c r="CW67" s="22">
        <f t="shared" si="13"/>
        <v>290.73574451517726</v>
      </c>
      <c r="CX67" s="62">
        <f t="shared" si="14"/>
        <v>584.06907784851057</v>
      </c>
      <c r="CY67" s="62">
        <f ca="1">AVERAGE(OFFSET($CX$3,0,0,'Données projet'!$E$13+1,1))-AVERAGE(OFFSET($H$3,0,0,'Données projet'!$E$13+1,1))</f>
        <v>302.06513069580848</v>
      </c>
      <c r="CZ67" s="62">
        <f t="shared" si="42"/>
        <v>164.1450425611464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34.206284817491238</v>
      </c>
      <c r="DG67" s="23">
        <f>EXP(-LN(2)/25)*DG66+(1-EXP(-LN(2)/25))/(LN(2)/25)*Calculateur!DB67*Calculateur!DD67*VLOOKUP('Données projet'!$B$13,Paramètres!$A$1:$I$89,3,0)*0.475*44/12</f>
        <v>22.594782116709659</v>
      </c>
      <c r="DH67" s="23">
        <f>EXP(-LN(2)/2)*DH66+(1-EXP(-LN(2)/2))/(LN(2)/2)*DB67*DE67*VLOOKUP('Données projet'!$B$13,Paramètres!$A$1:$I$89,3,0)*0.475*44/12</f>
        <v>4.3905245867527203</v>
      </c>
      <c r="DI67" s="24">
        <f t="shared" si="15"/>
        <v>61.191591520953615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9.2524999999999977</v>
      </c>
      <c r="N68" s="14">
        <f>IF('Données projet'!$A$36&gt;35,N67+M68-V67,IF(A68&lt;'Données projet'!$A$36,$K$205^A68,IF(A68='Données projet'!$A$36,'Données projet'!$B$36,N67+M68-V67)))</f>
        <v>255.70750000000018</v>
      </c>
      <c r="O68" s="14">
        <f>N68*VLOOKUP('Données projet'!$B$9,Paramètres!$A$1:$I$89,3,0)*VLOOKUP('Données projet'!$B$9,Paramètres!$A$1:$I$89,5,0)</f>
        <v>231.36414600000015</v>
      </c>
      <c r="P68" s="14">
        <f t="shared" si="33"/>
        <v>56.57754019728695</v>
      </c>
      <c r="Q68" s="22">
        <f t="shared" si="54"/>
        <v>501.49843679360833</v>
      </c>
      <c r="R68" s="62">
        <f t="shared" si="55"/>
        <v>794.83177012694159</v>
      </c>
      <c r="S68" s="62">
        <f ca="1">AVERAGE(OFFSET($R$3,0,0,'Données projet'!$E$9+1,1))-AVERAGE(OFFSET($H$3,0,0,'Données projet'!$E$9+1,1))</f>
        <v>581.88778927327667</v>
      </c>
      <c r="T68" s="62">
        <f t="shared" si="34"/>
        <v>269.67340993773422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7.9955833475136133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7.9955833475136133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232</v>
      </c>
      <c r="AG68" s="13">
        <f>VLOOKUP(A68,'Données projet'!$A$61:$I$81,9,0)</f>
        <v>5.6</v>
      </c>
      <c r="AH68" s="13">
        <f t="array" ref="AH68">INDEX(AG:AG,MIN(IF(ISNUMBER(AG68:AG264),ROW(AG68:AG264),"")))</f>
        <v>5.6</v>
      </c>
      <c r="AI68" s="14">
        <f>IF('Données projet'!$A$62&gt;35,AI67+AH68-AQ67,IF(A68&lt;'Données projet'!$A$62,$AF$205^A68,IF(A68='Données projet'!$A$62,'Données projet'!$B$62,AI67+AH68-AQ67)))</f>
        <v>232</v>
      </c>
      <c r="AJ68" s="14">
        <f>AI68*VLOOKUP('Données projet'!$B$10,Paramètres!$A$1:$I$89,3,0)*VLOOKUP('Données projet'!$B$10,Paramètres!$A$1:$I$89,5,0)</f>
        <v>202.67520000000002</v>
      </c>
      <c r="AK68" s="14">
        <f t="shared" si="35"/>
        <v>50.331640285313689</v>
      </c>
      <c r="AL68" s="22">
        <f t="shared" ref="AL68:AL131" si="58">(AJ68+AK68)*0.475*44/12</f>
        <v>440.653580163588</v>
      </c>
      <c r="AM68" s="62">
        <f t="shared" ref="AM68:AM131" si="59">AL68+(AD68+AE68)*44/12</f>
        <v>733.98691349692126</v>
      </c>
      <c r="AN68" s="62">
        <f ca="1">AVERAGE(OFFSET($AM$3,0,0,'Données projet'!$E$10+1,1))-AVERAGE(OFFSET($H$3,0,0,'Données projet'!$E$10+1,1))</f>
        <v>354.24684313982857</v>
      </c>
      <c r="AO68" s="62">
        <f t="shared" si="36"/>
        <v>322.65043486962185</v>
      </c>
      <c r="AP68" s="16">
        <f>IF(ISNA(VLOOKUP(A68,'Données projet'!$A$61:$I$81,3,0)),0,VLOOKUP(A68,'Données projet'!$A$61:$I$81,3,0))</f>
        <v>12</v>
      </c>
      <c r="AQ68" s="16">
        <f>IF(ISNA(VLOOKUP(A68,'Données projet'!$A$61:$I$81,4,0)),0,VLOOKUP(A68,'Données projet'!$A$61:$I$81,4,0))</f>
        <v>20</v>
      </c>
      <c r="AR68" s="17">
        <f>IF(ISNA(VLOOKUP(A68,'Données projet'!$A$61:$I$81,5,0)),0%,VLOOKUP(A68,'Données projet'!$A$61:$I$81,5,0)*VLOOKUP('Données projet'!$B$10,Paramètres!$A$1:$I$89,7,0))</f>
        <v>0.215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20.787062962703779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20.787062962703779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284</v>
      </c>
      <c r="BB68" s="13">
        <f>VLOOKUP(A68,'Données projet'!$A$87:$I$107,9,0)</f>
        <v>8.1999999999999993</v>
      </c>
      <c r="BC68" s="13">
        <f t="array" ref="BC68">INDEX(BB:BB,MIN(IF(ISNUMBER(BB68:BB264),ROW(BB68:BB264),"")))</f>
        <v>8.1999999999999993</v>
      </c>
      <c r="BD68" s="13">
        <f>IF('Données projet'!$A$88&gt;35,BD67+BC68-BL67,IF(A68&lt;'Données projet'!$A$88,$BA$205^A68,IF(A68='Données projet'!$A$88,'Données projet'!$B$88,BD67+BC68-BL67)))</f>
        <v>284.00000000000011</v>
      </c>
      <c r="BE68" s="14">
        <f>BD68*VLOOKUP('Données projet'!$B$11,Paramètres!$A$1:$I$89,3,0)*VLOOKUP('Données projet'!$B$11,Paramètres!$A$1:$I$89,5,0)</f>
        <v>270.25440000000009</v>
      </c>
      <c r="BF68" s="14">
        <f t="shared" si="37"/>
        <v>64.903256428828314</v>
      </c>
      <c r="BG68" s="22">
        <f t="shared" ref="BG68:BG131" si="61">(BE68+BF68)*0.475*44/12</f>
        <v>583.73291828020945</v>
      </c>
      <c r="BH68" s="62">
        <f t="shared" ref="BH68:BH131" si="62">BG68+(AY68+AZ68)*44/12</f>
        <v>877.06625161354282</v>
      </c>
      <c r="BI68" s="62">
        <f ca="1">AVERAGE(OFFSET($BH$3,0,0,'Données projet'!$E$11+1,1))-AVERAGE(OFFSET($H$3,0,0,'Données projet'!$E$11+1,1))</f>
        <v>460.77543902152325</v>
      </c>
      <c r="BJ68" s="62">
        <f t="shared" si="38"/>
        <v>341.4342976721104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32</v>
      </c>
      <c r="BM68" s="17">
        <f>IF(ISNA(VLOOKUP(A68,'Données projet'!$A$87:$I$107,5,0)),0%,VLOOKUP(A68,'Données projet'!$A$87:$I$107,5,0)*VLOOKUP('Données projet'!$B$11,Paramètres!$A$1:$I$89,7,0))</f>
        <v>0.215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24.870971728364768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24.870971728364768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15.515714285714287</v>
      </c>
      <c r="BY68" s="13">
        <f>IF('Données projet'!$A$114&gt;35,BY67+BX68-CG67,IF(A68&lt;'Données projet'!$A$114,$BV$205^A68,IF(A68='Données projet'!$A$114,'Données projet'!$B$114,BY67+BX68-CG67)))</f>
        <v>614.84428571428555</v>
      </c>
      <c r="BZ68" s="14">
        <f>BY68*VLOOKUP('Données projet'!$B$12,Paramètres!$A$1:$I$89,3,0)*VLOOKUP('Données projet'!$B$12,Paramètres!$A$1:$I$89,5,0)</f>
        <v>367.6768828571428</v>
      </c>
      <c r="CA68" s="14">
        <f t="shared" si="39"/>
        <v>85.191861843570578</v>
      </c>
      <c r="CB68" s="22">
        <f t="shared" ref="CB68:CB131" si="64">(BZ68+CA68)*0.475*44/12</f>
        <v>788.74639702040906</v>
      </c>
      <c r="CC68" s="62">
        <f t="shared" ref="CC68:CC131" si="65">CB68+(BT68+BU68)*44/12</f>
        <v>1082.0797303537424</v>
      </c>
      <c r="CD68" s="62">
        <f ca="1">AVERAGE(OFFSET($CC$3,0,0,'Données projet'!$E$12+1,1))-AVERAGE(OFFSET($H$3,0,0,'Données projet'!$E$12+1,1))</f>
        <v>438.68915237247444</v>
      </c>
      <c r="CE68" s="62">
        <f t="shared" si="40"/>
        <v>376.94419168335452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51.997885162006121</v>
      </c>
      <c r="CL68" s="23">
        <f>EXP(-LN(2)/25)*CL67+(1-EXP(-LN(2)/25))/(LN(2)/25)*Calculateur!CG68*Calculateur!CI68*VLOOKUP('Données projet'!$B$12,Paramètres!$A$1:$I$89,3,0)*0.475*44/12</f>
        <v>13.708307065374777</v>
      </c>
      <c r="CM68" s="23">
        <f>EXP(-LN(2)/2)*CM67+(1-EXP(-LN(2)/2))/(LN(2)/2)*CG68*CJ68*VLOOKUP('Données projet'!$B$12,Paramètres!$A$1:$I$89,3,0)*0.475*44/12</f>
        <v>0.2201488806405017</v>
      </c>
      <c r="CN68" s="24">
        <f t="shared" ref="CN68:CN131" si="66">SUM(CK68:CM68)</f>
        <v>65.926341108021404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294.49</v>
      </c>
      <c r="CR68" s="13">
        <f>VLOOKUP(A68,'Données projet'!$A$139:$I$159,9,0)</f>
        <v>11.620000000000005</v>
      </c>
      <c r="CS68" s="13">
        <f t="array" ref="CS68">INDEX(CR:CR,MIN(IF(ISNUMBER(CR68:CR264),ROW(CR68:CR264),"")))</f>
        <v>11.620000000000005</v>
      </c>
      <c r="CT68" s="13">
        <f>IF('Données projet'!$A$140&gt;35,CT67+CS68-DB67,IF(A68&lt;'Données projet'!$A$140,$CQ$205^A68,IF(A68='Données projet'!$A$140,'Données projet'!$B$140,CT67+CS68-DB67)))</f>
        <v>294.48999999999972</v>
      </c>
      <c r="CU68" s="18">
        <f>CT68*VLOOKUP('Données projet'!$B$13,Paramètres!$A$1:$I$89,3,0)*VLOOKUP('Données projet'!$B$13,Paramètres!$A$1:$I$89,5,0)</f>
        <v>137.82131999999987</v>
      </c>
      <c r="CV68" s="14">
        <f t="shared" si="41"/>
        <v>35.79744581783897</v>
      </c>
      <c r="CW68" s="22">
        <f t="shared" ref="CW68:CW131" si="67">(CU68+CV68)*0.475*44/12</f>
        <v>302.38601713273596</v>
      </c>
      <c r="CX68" s="62">
        <f t="shared" ref="CX68:CX131" si="68">CW68+(CO68+CP68)*44/12</f>
        <v>595.71935046606927</v>
      </c>
      <c r="CY68" s="62">
        <f ca="1">AVERAGE(OFFSET($CX$3,0,0,'Données projet'!$E$13+1,1))-AVERAGE(OFFSET($H$3,0,0,'Données projet'!$E$13+1,1))</f>
        <v>302.06513069580848</v>
      </c>
      <c r="CZ68" s="62">
        <f t="shared" si="42"/>
        <v>164.1450425611464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33.535520435993845</v>
      </c>
      <c r="DG68" s="23">
        <f>EXP(-LN(2)/25)*DG67+(1-EXP(-LN(2)/25))/(LN(2)/25)*Calculateur!DB68*Calculateur!DD68*VLOOKUP('Données projet'!$B$13,Paramètres!$A$1:$I$89,3,0)*0.475*44/12</f>
        <v>21.976926611520284</v>
      </c>
      <c r="DH68" s="23">
        <f>EXP(-LN(2)/2)*DH67+(1-EXP(-LN(2)/2))/(LN(2)/2)*DB68*DE68*VLOOKUP('Données projet'!$B$13,Paramètres!$A$1:$I$89,3,0)*0.475*44/12</f>
        <v>3.1045697082591128</v>
      </c>
      <c r="DI68" s="24">
        <f t="shared" ref="DI68:DI131" si="69">SUM(DF68:DH68)</f>
        <v>58.617016755773243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264.95999999999998</v>
      </c>
      <c r="L69" s="13">
        <f>VLOOKUP(A69,'Données projet'!$A$35:$I$55,9,0)</f>
        <v>9.2524999999999977</v>
      </c>
      <c r="M69" s="13">
        <f t="array" ref="M69">INDEX(L:L,MIN(IF(ISNUMBER(L69:L265),ROW(L69:L265),"")))</f>
        <v>9.2524999999999977</v>
      </c>
      <c r="N69" s="14">
        <f>IF('Données projet'!$A$36&gt;35,N68+M69-V68,IF(A69&lt;'Données projet'!$A$36,$K$205^A69,IF(A69='Données projet'!$A$36,'Données projet'!$B$36,N68+M69-V68)))</f>
        <v>264.96000000000015</v>
      </c>
      <c r="O69" s="14">
        <f>N69*VLOOKUP('Données projet'!$B$9,Paramètres!$A$1:$I$89,3,0)*VLOOKUP('Données projet'!$B$9,Paramètres!$A$1:$I$89,5,0)</f>
        <v>239.73580800000011</v>
      </c>
      <c r="P69" s="14">
        <f t="shared" ref="P69:P132" si="87">EXP(-1.0587+0.8836*LN(O69)+0.284)</f>
        <v>58.38268464325516</v>
      </c>
      <c r="Q69" s="22">
        <f t="shared" si="54"/>
        <v>519.22304135366949</v>
      </c>
      <c r="R69" s="62">
        <f t="shared" si="55"/>
        <v>812.55637468700274</v>
      </c>
      <c r="S69" s="62">
        <f ca="1">AVERAGE(OFFSET($R$3,0,0,'Données projet'!$E$9+1,1))-AVERAGE(OFFSET($H$3,0,0,'Données projet'!$E$9+1,1))</f>
        <v>581.88778927327667</v>
      </c>
      <c r="T69" s="62">
        <f t="shared" ref="T69:T132" si="88">$T$3</f>
        <v>269.67340993773422</v>
      </c>
      <c r="U69" s="16">
        <f>IF(ISNA(VLOOKUP(A69,'Données projet'!$A$35:$I$55,3,0)),0,VLOOKUP(A69,'Données projet'!$A$35:$I$55,3,0))</f>
        <v>4</v>
      </c>
      <c r="V69" s="16">
        <f>IF(ISNA(VLOOKUP(A69,'Données projet'!$A$35:$I$55,4,0)),0,VLOOKUP(A69,'Données projet'!$A$35:$I$55,4,0))</f>
        <v>49.91</v>
      </c>
      <c r="W69" s="17">
        <f>IF(ISNA(VLOOKUP(A69,'Données projet'!$A$35:$I$55,5,0)),0%,VLOOKUP(A69,'Données projet'!$A$35:$I$55,5,0)*VLOOKUP('Données projet'!$B$9,Paramètres!$A$1:$I$89,7,0))</f>
        <v>0.129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14.278663085383233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14.278663085383233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</v>
      </c>
      <c r="AI69" s="14">
        <f>IF('Données projet'!$A$62&gt;35,AI68+AH69-AQ68,IF(A69&lt;'Données projet'!$A$62,$AF$205^A69,IF(A69='Données projet'!$A$62,'Données projet'!$B$62,AI68+AH69-AQ68)))</f>
        <v>217</v>
      </c>
      <c r="AJ69" s="14">
        <f>AI69*VLOOKUP('Données projet'!$B$10,Paramètres!$A$1:$I$89,3,0)*VLOOKUP('Données projet'!$B$10,Paramètres!$A$1:$I$89,5,0)</f>
        <v>189.57120000000003</v>
      </c>
      <c r="AK69" s="14">
        <f t="shared" ref="AK69:AK132" si="89">EXP(-1.0587+0.8836*LN(AJ69)+0.284)</f>
        <v>47.44513879693244</v>
      </c>
      <c r="AL69" s="22">
        <f t="shared" si="58"/>
        <v>412.8034567379907</v>
      </c>
      <c r="AM69" s="62">
        <f t="shared" si="59"/>
        <v>706.13679007132396</v>
      </c>
      <c r="AN69" s="62">
        <f ca="1">AVERAGE(OFFSET($AM$3,0,0,'Données projet'!$E$10+1,1))-AVERAGE(OFFSET($H$3,0,0,'Données projet'!$E$10+1,1))</f>
        <v>354.24684313982857</v>
      </c>
      <c r="AO69" s="62">
        <f t="shared" ref="AO69:AO132" si="90">$AO$3</f>
        <v>322.65043486962185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20.379441336861632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20.379441336861632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7.6</v>
      </c>
      <c r="BD69" s="13">
        <f>IF('Données projet'!$A$88&gt;35,BD68+BC69-BL68,IF(A69&lt;'Données projet'!$A$88,$BA$205^A69,IF(A69='Données projet'!$A$88,'Données projet'!$B$88,BD68+BC69-BL68)))</f>
        <v>259.60000000000014</v>
      </c>
      <c r="BE69" s="14">
        <f>BD69*VLOOKUP('Données projet'!$B$11,Paramètres!$A$1:$I$89,3,0)*VLOOKUP('Données projet'!$B$11,Paramètres!$A$1:$I$89,5,0)</f>
        <v>247.03536000000014</v>
      </c>
      <c r="BF69" s="14">
        <f t="shared" ref="BF69:BF132" si="91">EXP(-1.0587+0.8836*LN(BE69)+0.284)</f>
        <v>59.950667728813833</v>
      </c>
      <c r="BG69" s="22">
        <f t="shared" si="61"/>
        <v>534.66733162768435</v>
      </c>
      <c r="BH69" s="62">
        <f t="shared" si="62"/>
        <v>828.00066496101772</v>
      </c>
      <c r="BI69" s="62">
        <f ca="1">AVERAGE(OFFSET($BH$3,0,0,'Données projet'!$E$11+1,1))-AVERAGE(OFFSET($H$3,0,0,'Données projet'!$E$11+1,1))</f>
        <v>460.77543902152325</v>
      </c>
      <c r="BJ69" s="62">
        <f t="shared" ref="BJ69:BJ132" si="92">$BJ$3</f>
        <v>341.4342976721104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24.383267142566396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24.383267142566396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>
        <f>VLOOKUP(A69,'Données projet'!$A$113:$I$133,2,0)</f>
        <v>630.36</v>
      </c>
      <c r="BW69" s="13">
        <f>VLOOKUP(A69,'Données projet'!$A$113:$I$133,9,0)</f>
        <v>15.515714285714287</v>
      </c>
      <c r="BX69" s="13">
        <f t="array" ref="BX69">INDEX(BW:BW,MIN(IF(ISNUMBER(BW69:BW265),ROW(BW69:BW265),"")))</f>
        <v>15.515714285714287</v>
      </c>
      <c r="BY69" s="13">
        <f>IF('Données projet'!$A$114&gt;35,BY68+BX69-CG68,IF(A69&lt;'Données projet'!$A$114,$BV$205^A69,IF(A69='Données projet'!$A$114,'Données projet'!$B$114,BY68+BX69-CG68)))</f>
        <v>630.35999999999979</v>
      </c>
      <c r="BZ69" s="14">
        <f>BY69*VLOOKUP('Données projet'!$B$12,Paramètres!$A$1:$I$89,3,0)*VLOOKUP('Données projet'!$B$12,Paramètres!$A$1:$I$89,5,0)</f>
        <v>376.95527999999996</v>
      </c>
      <c r="CA69" s="14">
        <f t="shared" ref="CA69:CA132" si="93">EXP(-1.0587+0.8836*LN(BZ69)+0.284)</f>
        <v>87.088690303924849</v>
      </c>
      <c r="CB69" s="22">
        <f t="shared" si="64"/>
        <v>808.20991494600241</v>
      </c>
      <c r="CC69" s="62">
        <f t="shared" si="65"/>
        <v>1101.5432482793358</v>
      </c>
      <c r="CD69" s="62">
        <f ca="1">AVERAGE(OFFSET($CC$3,0,0,'Données projet'!$E$12+1,1))-AVERAGE(OFFSET($H$3,0,0,'Données projet'!$E$12+1,1))</f>
        <v>438.68915237247444</v>
      </c>
      <c r="CE69" s="62">
        <f t="shared" ref="CE69:CE132" si="94">$CE$3</f>
        <v>376.94419168335452</v>
      </c>
      <c r="CF69" s="16">
        <f>IF(ISNA(VLOOKUP(A69,'Données projet'!$A$113:$I$133,3,0)),0,VLOOKUP(A69,'Données projet'!$A$113:$I$133,3,0))</f>
        <v>7</v>
      </c>
      <c r="CG69" s="16">
        <f>IF(ISNA(VLOOKUP(A69,'Données projet'!$A$113:$I$133,4,0)),0,VLOOKUP(A69,'Données projet'!$A$113:$I$133,4,0))</f>
        <v>87.84</v>
      </c>
      <c r="CH69" s="17">
        <f>IF(ISNA(VLOOKUP(A69,'Données projet'!$A$113:$I$133,5,0)),0%,VLOOKUP(A69,'Données projet'!$A$113:$I$133,5,0)*VLOOKUP('Données projet'!$B$12,Paramètres!$A$1:$I$89,7,0))</f>
        <v>0.36000000000000004</v>
      </c>
      <c r="CI69" s="17">
        <f>IF(ISNA(VLOOKUP(A69,'Données projet'!$A$113:$I$133,6,0)),0%,VLOOKUP(A69,'Données projet'!$A$113:$I$133,6,0)*VLOOKUP('Données projet'!$B$12,Paramètres!$A$1:$I$89,7,0))</f>
        <v>4.9500000000000002E-2</v>
      </c>
      <c r="CJ69" s="17">
        <f>IF(ISNA(VLOOKUP(A69,'Données projet'!$A$113:$I$133,7,0)),0%,VLOOKUP(A69,'Données projet'!$A$113:$I$133,7,0))</f>
        <v>0.09</v>
      </c>
      <c r="CK69" s="23">
        <f>EXP(-LN(2)/35)*CK68+(1-EXP(-LN(2)/35))/(LN(2)/35)*CG69*CH69*VLOOKUP('Données projet'!$B$12,Paramètres!$A$1:$I$89,3,0)*0.475*44/12</f>
        <v>76.063831147300888</v>
      </c>
      <c r="CL69" s="23">
        <f>EXP(-LN(2)/25)*CL68+(1-EXP(-LN(2)/25))/(LN(2)/25)*Calculateur!CG69*Calculateur!CI69*VLOOKUP('Données projet'!$B$12,Paramètres!$A$1:$I$89,3,0)*0.475*44/12</f>
        <v>16.769140611107606</v>
      </c>
      <c r="CM69" s="23">
        <f>EXP(-LN(2)/2)*CM68+(1-EXP(-LN(2)/2))/(LN(2)/2)*CG69*CJ69*VLOOKUP('Données projet'!$B$12,Paramètres!$A$1:$I$89,3,0)*0.475*44/12</f>
        <v>5.5083522058640142</v>
      </c>
      <c r="CN69" s="24">
        <f t="shared" si="66"/>
        <v>98.341323964272505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11.9925</v>
      </c>
      <c r="CT69" s="13">
        <f>IF('Données projet'!$A$140&gt;35,CT68+CS69-DB68,IF(A69&lt;'Données projet'!$A$140,$CQ$205^A69,IF(A69='Données projet'!$A$140,'Données projet'!$B$140,CT68+CS69-DB68)))</f>
        <v>306.48249999999973</v>
      </c>
      <c r="CU69" s="18">
        <f>CT69*VLOOKUP('Données projet'!$B$13,Paramètres!$A$1:$I$89,3,0)*VLOOKUP('Données projet'!$B$13,Paramètres!$A$1:$I$89,5,0)</f>
        <v>143.43380999999988</v>
      </c>
      <c r="CV69" s="14">
        <f t="shared" ref="CV69:CV132" si="95">EXP(-1.0587+0.8836*LN(CU69)+0.284)</f>
        <v>37.08253035255936</v>
      </c>
      <c r="CW69" s="22">
        <f t="shared" si="67"/>
        <v>314.39929278070736</v>
      </c>
      <c r="CX69" s="62">
        <f t="shared" si="68"/>
        <v>607.73262611404061</v>
      </c>
      <c r="CY69" s="62">
        <f ca="1">AVERAGE(OFFSET($CX$3,0,0,'Données projet'!$E$13+1,1))-AVERAGE(OFFSET($H$3,0,0,'Données projet'!$E$13+1,1))</f>
        <v>302.06513069580848</v>
      </c>
      <c r="CZ69" s="62">
        <f t="shared" ref="CZ69:CZ132" si="96">$CZ$3</f>
        <v>164.1450425611464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32.87790933489174</v>
      </c>
      <c r="DG69" s="23">
        <f>EXP(-LN(2)/25)*DG68+(1-EXP(-LN(2)/25))/(LN(2)/25)*Calculateur!DB69*Calculateur!DD69*VLOOKUP('Données projet'!$B$13,Paramètres!$A$1:$I$89,3,0)*0.475*44/12</f>
        <v>21.375966397611919</v>
      </c>
      <c r="DH69" s="23">
        <f>EXP(-LN(2)/2)*DH68+(1-EXP(-LN(2)/2))/(LN(2)/2)*DB69*DE69*VLOOKUP('Données projet'!$B$13,Paramètres!$A$1:$I$89,3,0)*0.475*44/12</f>
        <v>2.1952622933763601</v>
      </c>
      <c r="DI69" s="24">
        <f t="shared" si="69"/>
        <v>56.449138025880018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8.8662500000000044</v>
      </c>
      <c r="N70" s="14">
        <f>IF('Données projet'!$A$36&gt;35,N69+M70-V69,IF(A70&lt;'Données projet'!$A$36,$K$205^A70,IF(A70='Données projet'!$A$36,'Données projet'!$B$36,N69+M70-V69)))</f>
        <v>223.91625000000013</v>
      </c>
      <c r="O70" s="14">
        <f>N70*VLOOKUP('Données projet'!$B$9,Paramètres!$A$1:$I$89,3,0)*VLOOKUP('Données projet'!$B$9,Paramètres!$A$1:$I$89,5,0)</f>
        <v>202.59942300000012</v>
      </c>
      <c r="P70" s="14">
        <f t="shared" si="87"/>
        <v>50.315012169520465</v>
      </c>
      <c r="Q70" s="22">
        <f t="shared" si="54"/>
        <v>440.49264125358167</v>
      </c>
      <c r="R70" s="62">
        <f t="shared" si="55"/>
        <v>733.82597458691498</v>
      </c>
      <c r="S70" s="62">
        <f ca="1">AVERAGE(OFFSET($R$3,0,0,'Données projet'!$E$9+1,1))-AVERAGE(OFFSET($H$3,0,0,'Données projet'!$E$9+1,1))</f>
        <v>581.88778927327667</v>
      </c>
      <c r="T70" s="62">
        <f t="shared" si="88"/>
        <v>269.67340993773422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13.998667211403395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13.998667211403395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</v>
      </c>
      <c r="AI70" s="14">
        <f>IF('Données projet'!$A$62&gt;35,AI69+AH70-AQ69,IF(A70&lt;'Données projet'!$A$62,$AF$205^A70,IF(A70='Données projet'!$A$62,'Données projet'!$B$62,AI69+AH70-AQ69)))</f>
        <v>222</v>
      </c>
      <c r="AJ70" s="14">
        <f>AI70*VLOOKUP('Données projet'!$B$10,Paramètres!$A$1:$I$89,3,0)*VLOOKUP('Données projet'!$B$10,Paramètres!$A$1:$I$89,5,0)</f>
        <v>193.93920000000003</v>
      </c>
      <c r="AK70" s="14">
        <f t="shared" si="89"/>
        <v>48.409811198069384</v>
      </c>
      <c r="AL70" s="22">
        <f t="shared" si="58"/>
        <v>422.09119450330417</v>
      </c>
      <c r="AM70" s="62">
        <f t="shared" si="59"/>
        <v>715.42452783663748</v>
      </c>
      <c r="AN70" s="62">
        <f ca="1">AVERAGE(OFFSET($AM$3,0,0,'Données projet'!$E$10+1,1))-AVERAGE(OFFSET($H$3,0,0,'Données projet'!$E$10+1,1))</f>
        <v>354.24684313982857</v>
      </c>
      <c r="AO70" s="62">
        <f t="shared" si="90"/>
        <v>322.65043486962185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19.979812922477606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19.979812922477606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7.6</v>
      </c>
      <c r="BD70" s="13">
        <f>IF('Données projet'!$A$88&gt;35,BD69+BC70-BL69,IF(A70&lt;'Données projet'!$A$88,$BA$205^A70,IF(A70='Données projet'!$A$88,'Données projet'!$B$88,BD69+BC70-BL69)))</f>
        <v>267.20000000000016</v>
      </c>
      <c r="BE70" s="14">
        <f>BD70*VLOOKUP('Données projet'!$B$11,Paramètres!$A$1:$I$89,3,0)*VLOOKUP('Données projet'!$B$11,Paramètres!$A$1:$I$89,5,0)</f>
        <v>254.26752000000016</v>
      </c>
      <c r="BF70" s="14">
        <f t="shared" si="91"/>
        <v>61.49886388111625</v>
      </c>
      <c r="BG70" s="22">
        <f t="shared" si="61"/>
        <v>549.95978525961118</v>
      </c>
      <c r="BH70" s="62">
        <f t="shared" si="62"/>
        <v>843.29311859294444</v>
      </c>
      <c r="BI70" s="62">
        <f ca="1">AVERAGE(OFFSET($BH$3,0,0,'Données projet'!$E$11+1,1))-AVERAGE(OFFSET($H$3,0,0,'Données projet'!$E$11+1,1))</f>
        <v>460.77543902152325</v>
      </c>
      <c r="BJ70" s="62">
        <f t="shared" si="92"/>
        <v>341.4342976721104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23.905126146225108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23.905126146225108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12.970000000000027</v>
      </c>
      <c r="BY70" s="13">
        <f>IF('Données projet'!$A$114&gt;35,BY69+BX70-CG69,IF(A70&lt;'Données projet'!$A$114,$BV$205^A70,IF(A70='Données projet'!$A$114,'Données projet'!$B$114,BY69+BX70-CG69)))</f>
        <v>555.48999999999978</v>
      </c>
      <c r="BZ70" s="14">
        <f>BY70*VLOOKUP('Données projet'!$B$12,Paramètres!$A$1:$I$89,3,0)*VLOOKUP('Données projet'!$B$12,Paramètres!$A$1:$I$89,5,0)</f>
        <v>332.18301999999989</v>
      </c>
      <c r="CA70" s="14">
        <f t="shared" si="93"/>
        <v>77.882729089738774</v>
      </c>
      <c r="CB70" s="22">
        <f t="shared" si="64"/>
        <v>714.19784633129484</v>
      </c>
      <c r="CC70" s="62">
        <f t="shared" si="65"/>
        <v>1007.5311796646281</v>
      </c>
      <c r="CD70" s="62">
        <f ca="1">AVERAGE(OFFSET($CC$3,0,0,'Données projet'!$E$12+1,1))-AVERAGE(OFFSET($H$3,0,0,'Données projet'!$E$12+1,1))</f>
        <v>438.68915237247444</v>
      </c>
      <c r="CE70" s="62">
        <f t="shared" si="94"/>
        <v>376.94419168335452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74.572265812858262</v>
      </c>
      <c r="CL70" s="23">
        <f>EXP(-LN(2)/25)*CL69+(1-EXP(-LN(2)/25))/(LN(2)/25)*Calculateur!CG70*Calculateur!CI70*VLOOKUP('Données projet'!$B$12,Paramètres!$A$1:$I$89,3,0)*0.475*44/12</f>
        <v>16.310587579246089</v>
      </c>
      <c r="CM70" s="23">
        <f>EXP(-LN(2)/2)*CM69+(1-EXP(-LN(2)/2))/(LN(2)/2)*CG70*CJ70*VLOOKUP('Données projet'!$B$12,Paramètres!$A$1:$I$89,3,0)*0.475*44/12</f>
        <v>3.8949931979303223</v>
      </c>
      <c r="CN70" s="24">
        <f t="shared" si="66"/>
        <v>94.77784659003467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11.9925</v>
      </c>
      <c r="CT70" s="13">
        <f>IF('Données projet'!$A$140&gt;35,CT69+CS70-DB69,IF(A70&lt;'Données projet'!$A$140,$CQ$205^A70,IF(A70='Données projet'!$A$140,'Données projet'!$B$140,CT69+CS70-DB69)))</f>
        <v>318.47499999999974</v>
      </c>
      <c r="CU70" s="18">
        <f>CT70*VLOOKUP('Données projet'!$B$13,Paramètres!$A$1:$I$89,3,0)*VLOOKUP('Données projet'!$B$13,Paramètres!$A$1:$I$89,5,0)</f>
        <v>149.04629999999986</v>
      </c>
      <c r="CV70" s="14">
        <f t="shared" si="95"/>
        <v>38.361773484776549</v>
      </c>
      <c r="CW70" s="22">
        <f t="shared" si="67"/>
        <v>326.40239465265228</v>
      </c>
      <c r="CX70" s="62">
        <f t="shared" si="68"/>
        <v>619.73572798598559</v>
      </c>
      <c r="CY70" s="62">
        <f ca="1">AVERAGE(OFFSET($CX$3,0,0,'Données projet'!$E$13+1,1))-AVERAGE(OFFSET($H$3,0,0,'Données projet'!$E$13+1,1))</f>
        <v>302.06513069580848</v>
      </c>
      <c r="CZ70" s="62">
        <f t="shared" si="96"/>
        <v>164.1450425611464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32.233193586379087</v>
      </c>
      <c r="DG70" s="23">
        <f>EXP(-LN(2)/25)*DG69+(1-EXP(-LN(2)/25))/(LN(2)/25)*Calculateur!DB70*Calculateur!DD70*VLOOKUP('Données projet'!$B$13,Paramètres!$A$1:$I$89,3,0)*0.475*44/12</f>
        <v>20.791439472356004</v>
      </c>
      <c r="DH70" s="23">
        <f>EXP(-LN(2)/2)*DH69+(1-EXP(-LN(2)/2))/(LN(2)/2)*DB70*DE70*VLOOKUP('Données projet'!$B$13,Paramètres!$A$1:$I$89,3,0)*0.475*44/12</f>
        <v>1.5522848541295564</v>
      </c>
      <c r="DI70" s="24">
        <f t="shared" si="69"/>
        <v>54.576917912864644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8.8662500000000044</v>
      </c>
      <c r="N71" s="14">
        <f>IF('Données projet'!$A$36&gt;35,N70+M71-V70,IF(A71&lt;'Données projet'!$A$36,$K$205^A71,IF(A71='Données projet'!$A$36,'Données projet'!$B$36,N70+M71-V70)))</f>
        <v>232.78250000000014</v>
      </c>
      <c r="O71" s="14">
        <f>N71*VLOOKUP('Données projet'!$B$9,Paramètres!$A$1:$I$89,3,0)*VLOOKUP('Données projet'!$B$9,Paramètres!$A$1:$I$89,5,0)</f>
        <v>210.62160600000013</v>
      </c>
      <c r="P71" s="14">
        <f t="shared" si="87"/>
        <v>52.071398873356536</v>
      </c>
      <c r="Q71" s="22">
        <f t="shared" si="54"/>
        <v>457.5236501544295</v>
      </c>
      <c r="R71" s="62">
        <f t="shared" si="55"/>
        <v>750.85698348776282</v>
      </c>
      <c r="S71" s="62">
        <f ca="1">AVERAGE(OFFSET($R$3,0,0,'Données projet'!$E$9+1,1))-AVERAGE(OFFSET($H$3,0,0,'Données projet'!$E$9+1,1))</f>
        <v>581.88778927327667</v>
      </c>
      <c r="T71" s="62">
        <f t="shared" si="88"/>
        <v>269.67340993773422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13.724161885731682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13.724161885731682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</v>
      </c>
      <c r="AI71" s="14">
        <f>IF('Données projet'!$A$62&gt;35,AI70+AH71-AQ70,IF(A71&lt;'Données projet'!$A$62,$AF$205^A71,IF(A71='Données projet'!$A$62,'Données projet'!$B$62,AI70+AH71-AQ70)))</f>
        <v>227</v>
      </c>
      <c r="AJ71" s="14">
        <f>AI71*VLOOKUP('Données projet'!$B$10,Paramètres!$A$1:$I$89,3,0)*VLOOKUP('Données projet'!$B$10,Paramètres!$A$1:$I$89,5,0)</f>
        <v>198.30720000000002</v>
      </c>
      <c r="AK71" s="14">
        <f t="shared" si="89"/>
        <v>49.371957679623371</v>
      </c>
      <c r="AL71" s="22">
        <f t="shared" si="58"/>
        <v>431.37453295867743</v>
      </c>
      <c r="AM71" s="62">
        <f t="shared" si="59"/>
        <v>724.70786629201075</v>
      </c>
      <c r="AN71" s="62">
        <f ca="1">AVERAGE(OFFSET($AM$3,0,0,'Données projet'!$E$10+1,1))-AVERAGE(OFFSET($H$3,0,0,'Données projet'!$E$10+1,1))</f>
        <v>354.24684313982857</v>
      </c>
      <c r="AO71" s="62">
        <f t="shared" si="90"/>
        <v>322.65043486962185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19.588020977550389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19.588020977550389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7.6</v>
      </c>
      <c r="BD71" s="13">
        <f>IF('Données projet'!$A$88&gt;35,BD70+BC71-BL70,IF(A71&lt;'Données projet'!$A$88,$BA$205^A71,IF(A71='Données projet'!$A$88,'Données projet'!$B$88,BD70+BC71-BL70)))</f>
        <v>274.80000000000018</v>
      </c>
      <c r="BE71" s="14">
        <f>BD71*VLOOKUP('Données projet'!$B$11,Paramètres!$A$1:$I$89,3,0)*VLOOKUP('Données projet'!$B$11,Paramètres!$A$1:$I$89,5,0)</f>
        <v>261.49968000000018</v>
      </c>
      <c r="BF71" s="14">
        <f t="shared" si="91"/>
        <v>63.041942045518894</v>
      </c>
      <c r="BG71" s="22">
        <f t="shared" si="61"/>
        <v>565.24332506261237</v>
      </c>
      <c r="BH71" s="62">
        <f t="shared" si="62"/>
        <v>858.57665839594574</v>
      </c>
      <c r="BI71" s="62">
        <f ca="1">AVERAGE(OFFSET($BH$3,0,0,'Données projet'!$E$11+1,1))-AVERAGE(OFFSET($H$3,0,0,'Données projet'!$E$11+1,1))</f>
        <v>460.77543902152325</v>
      </c>
      <c r="BJ71" s="62">
        <f t="shared" si="92"/>
        <v>341.4342976721104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23.436361203184859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23.436361203184859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>
        <f>VLOOKUP(A71,'Données projet'!$A$113:$I$133,2,0)</f>
        <v>568.46</v>
      </c>
      <c r="BW71" s="13">
        <f>VLOOKUP(A71,'Données projet'!$A$113:$I$133,9,0)</f>
        <v>12.970000000000027</v>
      </c>
      <c r="BX71" s="13">
        <f t="array" ref="BX71">INDEX(BW:BW,MIN(IF(ISNUMBER(BW71:BW267),ROW(BW71:BW267),"")))</f>
        <v>12.970000000000027</v>
      </c>
      <c r="BY71" s="13">
        <f>IF('Données projet'!$A$114&gt;35,BY70+BX71-CG70,IF(A71&lt;'Données projet'!$A$114,$BV$205^A71,IF(A71='Données projet'!$A$114,'Données projet'!$B$114,BY70+BX71-CG70)))</f>
        <v>568.45999999999981</v>
      </c>
      <c r="BZ71" s="14">
        <f>BY71*VLOOKUP('Données projet'!$B$12,Paramètres!$A$1:$I$89,3,0)*VLOOKUP('Données projet'!$B$12,Paramètres!$A$1:$I$89,5,0)</f>
        <v>339.93907999999993</v>
      </c>
      <c r="CA71" s="14">
        <f t="shared" si="93"/>
        <v>79.487359832828432</v>
      </c>
      <c r="CB71" s="22">
        <f t="shared" si="64"/>
        <v>730.5010493755093</v>
      </c>
      <c r="CC71" s="62">
        <f t="shared" si="65"/>
        <v>1023.8343827088427</v>
      </c>
      <c r="CD71" s="62">
        <f ca="1">AVERAGE(OFFSET($CC$3,0,0,'Données projet'!$E$12+1,1))-AVERAGE(OFFSET($H$3,0,0,'Données projet'!$E$12+1,1))</f>
        <v>438.68915237247444</v>
      </c>
      <c r="CE71" s="62">
        <f t="shared" si="94"/>
        <v>376.94419168335452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0.36000000000000004</v>
      </c>
      <c r="CI71" s="17">
        <f>IF(ISNA(VLOOKUP(A71,'Données projet'!$A$113:$I$133,6,0)),0%,VLOOKUP(A71,'Données projet'!$A$113:$I$133,6,0)*VLOOKUP('Données projet'!$B$12,Paramètres!$A$1:$I$89,7,0))</f>
        <v>4.9500000000000002E-2</v>
      </c>
      <c r="CJ71" s="17">
        <f>IF(ISNA(VLOOKUP(A71,'Données projet'!$A$113:$I$133,7,0)),0%,VLOOKUP(A71,'Données projet'!$A$113:$I$133,7,0))</f>
        <v>0.09</v>
      </c>
      <c r="CK71" s="23">
        <f>EXP(-LN(2)/35)*CK70+(1-EXP(-LN(2)/35))/(LN(2)/35)*CG71*CH71*VLOOKUP('Données projet'!$B$12,Paramètres!$A$1:$I$89,3,0)*0.475*44/12</f>
        <v>73.109949164859032</v>
      </c>
      <c r="CL71" s="23">
        <f>EXP(-LN(2)/25)*CL70+(1-EXP(-LN(2)/25))/(LN(2)/25)*Calculateur!CG71*Calculateur!CI71*VLOOKUP('Données projet'!$B$12,Paramètres!$A$1:$I$89,3,0)*0.475*44/12</f>
        <v>15.864573704155083</v>
      </c>
      <c r="CM71" s="23">
        <f>EXP(-LN(2)/2)*CM70+(1-EXP(-LN(2)/2))/(LN(2)/2)*CG71*CJ71*VLOOKUP('Données projet'!$B$12,Paramètres!$A$1:$I$89,3,0)*0.475*44/12</f>
        <v>2.7541761029320075</v>
      </c>
      <c r="CN71" s="24">
        <f t="shared" si="66"/>
        <v>91.728698971946116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11.9925</v>
      </c>
      <c r="CT71" s="13">
        <f>IF('Données projet'!$A$140&gt;35,CT70+CS71-DB70,IF(A71&lt;'Données projet'!$A$140,$CQ$205^A71,IF(A71='Données projet'!$A$140,'Données projet'!$B$140,CT70+CS71-DB70)))</f>
        <v>330.46749999999975</v>
      </c>
      <c r="CU71" s="18">
        <f>CT71*VLOOKUP('Données projet'!$B$13,Paramètres!$A$1:$I$89,3,0)*VLOOKUP('Données projet'!$B$13,Paramètres!$A$1:$I$89,5,0)</f>
        <v>154.65878999999987</v>
      </c>
      <c r="CV71" s="14">
        <f t="shared" si="95"/>
        <v>39.635420362777175</v>
      </c>
      <c r="CW71" s="22">
        <f t="shared" si="67"/>
        <v>338.39574971516998</v>
      </c>
      <c r="CX71" s="62">
        <f t="shared" si="68"/>
        <v>631.7290830485033</v>
      </c>
      <c r="CY71" s="62">
        <f ca="1">AVERAGE(OFFSET($CX$3,0,0,'Données projet'!$E$13+1,1))-AVERAGE(OFFSET($H$3,0,0,'Données projet'!$E$13+1,1))</f>
        <v>302.06513069580848</v>
      </c>
      <c r="CZ71" s="62">
        <f t="shared" si="96"/>
        <v>164.1450425611464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31.601120320456989</v>
      </c>
      <c r="DG71" s="23">
        <f>EXP(-LN(2)/25)*DG70+(1-EXP(-LN(2)/25))/(LN(2)/25)*Calculateur!DB71*Calculateur!DD71*VLOOKUP('Données projet'!$B$13,Paramètres!$A$1:$I$89,3,0)*0.475*44/12</f>
        <v>20.222896466610145</v>
      </c>
      <c r="DH71" s="23">
        <f>EXP(-LN(2)/2)*DH70+(1-EXP(-LN(2)/2))/(LN(2)/2)*DB71*DE71*VLOOKUP('Données projet'!$B$13,Paramètres!$A$1:$I$89,3,0)*0.475*44/12</f>
        <v>1.0976311466881801</v>
      </c>
      <c r="DI71" s="24">
        <f t="shared" si="69"/>
        <v>52.921647933755317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8.8662500000000044</v>
      </c>
      <c r="N72" s="14">
        <f>IF('Données projet'!$A$36&gt;35,N71+M72-V71,IF(A72&lt;'Données projet'!$A$36,$K$205^A72,IF(A72='Données projet'!$A$36,'Données projet'!$B$36,N71+M72-V71)))</f>
        <v>241.64875000000015</v>
      </c>
      <c r="O72" s="14">
        <f>N72*VLOOKUP('Données projet'!$B$9,Paramètres!$A$1:$I$89,3,0)*VLOOKUP('Données projet'!$B$9,Paramètres!$A$1:$I$89,5,0)</f>
        <v>218.64378900000014</v>
      </c>
      <c r="P72" s="14">
        <f t="shared" si="87"/>
        <v>53.820013961218514</v>
      </c>
      <c r="Q72" s="22">
        <f t="shared" si="54"/>
        <v>474.54112349078923</v>
      </c>
      <c r="R72" s="62">
        <f t="shared" si="55"/>
        <v>767.87445682412249</v>
      </c>
      <c r="S72" s="62">
        <f ca="1">AVERAGE(OFFSET($R$3,0,0,'Données projet'!$E$9+1,1))-AVERAGE(OFFSET($H$3,0,0,'Données projet'!$E$9+1,1))</f>
        <v>581.88778927327667</v>
      </c>
      <c r="T72" s="62">
        <f t="shared" si="88"/>
        <v>269.67340993773422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13.455039442064676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13.455039442064676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</v>
      </c>
      <c r="AI72" s="14">
        <f>IF('Données projet'!$A$62&gt;35,AI71+AH72-AQ71,IF(A72&lt;'Données projet'!$A$62,$AF$205^A72,IF(A72='Données projet'!$A$62,'Données projet'!$B$62,AI71+AH72-AQ71)))</f>
        <v>232</v>
      </c>
      <c r="AJ72" s="14">
        <f>AI72*VLOOKUP('Données projet'!$B$10,Paramètres!$A$1:$I$89,3,0)*VLOOKUP('Données projet'!$B$10,Paramètres!$A$1:$I$89,5,0)</f>
        <v>202.67520000000002</v>
      </c>
      <c r="AK72" s="14">
        <f t="shared" si="89"/>
        <v>50.331640285313689</v>
      </c>
      <c r="AL72" s="22">
        <f t="shared" si="58"/>
        <v>440.653580163588</v>
      </c>
      <c r="AM72" s="62">
        <f t="shared" si="59"/>
        <v>733.98691349692126</v>
      </c>
      <c r="AN72" s="62">
        <f ca="1">AVERAGE(OFFSET($AM$3,0,0,'Données projet'!$E$10+1,1))-AVERAGE(OFFSET($H$3,0,0,'Données projet'!$E$10+1,1))</f>
        <v>354.24684313982857</v>
      </c>
      <c r="AO72" s="62">
        <f t="shared" si="90"/>
        <v>322.65043486962185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19.203911833693702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19.203911833693702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7.6</v>
      </c>
      <c r="BD72" s="13">
        <f>IF('Données projet'!$A$88&gt;35,BD71+BC72-BL71,IF(A72&lt;'Données projet'!$A$88,$BA$205^A72,IF(A72='Données projet'!$A$88,'Données projet'!$B$88,BD71+BC72-BL71)))</f>
        <v>282.4000000000002</v>
      </c>
      <c r="BE72" s="14">
        <f>BD72*VLOOKUP('Données projet'!$B$11,Paramètres!$A$1:$I$89,3,0)*VLOOKUP('Données projet'!$B$11,Paramètres!$A$1:$I$89,5,0)</f>
        <v>268.7318400000002</v>
      </c>
      <c r="BF72" s="14">
        <f t="shared" si="91"/>
        <v>64.580060030106694</v>
      </c>
      <c r="BG72" s="22">
        <f t="shared" si="61"/>
        <v>580.51822588576954</v>
      </c>
      <c r="BH72" s="62">
        <f t="shared" si="62"/>
        <v>873.85155921910291</v>
      </c>
      <c r="BI72" s="62">
        <f ca="1">AVERAGE(OFFSET($BH$3,0,0,'Données projet'!$E$11+1,1))-AVERAGE(OFFSET($H$3,0,0,'Données projet'!$E$11+1,1))</f>
        <v>460.77543902152325</v>
      </c>
      <c r="BJ72" s="62">
        <f t="shared" si="92"/>
        <v>341.4342976721104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22.976788454759248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22.976788454759248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12.888750000000002</v>
      </c>
      <c r="BY72" s="13">
        <f>IF('Données projet'!$A$114&gt;35,BY71+BX72-CG71,IF(A72&lt;'Données projet'!$A$114,$BV$205^A72,IF(A72='Données projet'!$A$114,'Données projet'!$B$114,BY71+BX72-CG71)))</f>
        <v>581.34874999999977</v>
      </c>
      <c r="BZ72" s="14">
        <f>BY72*VLOOKUP('Données projet'!$B$12,Paramètres!$A$1:$I$89,3,0)*VLOOKUP('Données projet'!$B$12,Paramètres!$A$1:$I$89,5,0)</f>
        <v>347.64655249999987</v>
      </c>
      <c r="CA72" s="14">
        <f t="shared" si="93"/>
        <v>81.077721834442457</v>
      </c>
      <c r="CB72" s="22">
        <f t="shared" si="64"/>
        <v>746.69477779915371</v>
      </c>
      <c r="CC72" s="62">
        <f t="shared" si="65"/>
        <v>1040.0281111324871</v>
      </c>
      <c r="CD72" s="62">
        <f ca="1">AVERAGE(OFFSET($CC$3,0,0,'Données projet'!$E$12+1,1))-AVERAGE(OFFSET($H$3,0,0,'Données projet'!$E$12+1,1))</f>
        <v>438.68915237247444</v>
      </c>
      <c r="CE72" s="62">
        <f t="shared" si="94"/>
        <v>376.94419168335452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71.676307654401981</v>
      </c>
      <c r="CL72" s="23">
        <f>EXP(-LN(2)/25)*CL71+(1-EXP(-LN(2)/25))/(LN(2)/25)*Calculateur!CG72*Calculateur!CI72*VLOOKUP('Données projet'!$B$12,Paramètres!$A$1:$I$89,3,0)*0.475*44/12</f>
        <v>15.430756101933289</v>
      </c>
      <c r="CM72" s="23">
        <f>EXP(-LN(2)/2)*CM71+(1-EXP(-LN(2)/2))/(LN(2)/2)*CG72*CJ72*VLOOKUP('Données projet'!$B$12,Paramètres!$A$1:$I$89,3,0)*0.475*44/12</f>
        <v>1.9474965989651614</v>
      </c>
      <c r="CN72" s="24">
        <f t="shared" si="66"/>
        <v>89.054560355300424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11.9925</v>
      </c>
      <c r="CT72" s="13">
        <f>IF('Données projet'!$A$140&gt;35,CT71+CS72-DB71,IF(A72&lt;'Données projet'!$A$140,$CQ$205^A72,IF(A72='Données projet'!$A$140,'Données projet'!$B$140,CT71+CS72-DB71)))</f>
        <v>342.45999999999975</v>
      </c>
      <c r="CU72" s="18">
        <f>CT72*VLOOKUP('Données projet'!$B$13,Paramètres!$A$1:$I$89,3,0)*VLOOKUP('Données projet'!$B$13,Paramètres!$A$1:$I$89,5,0)</f>
        <v>160.27127999999988</v>
      </c>
      <c r="CV72" s="14">
        <f t="shared" si="95"/>
        <v>40.90369733382321</v>
      </c>
      <c r="CW72" s="22">
        <f t="shared" si="67"/>
        <v>350.37975218974185</v>
      </c>
      <c r="CX72" s="62">
        <f t="shared" si="68"/>
        <v>643.71308552307516</v>
      </c>
      <c r="CY72" s="62">
        <f ca="1">AVERAGE(OFFSET($CX$3,0,0,'Données projet'!$E$13+1,1))-AVERAGE(OFFSET($H$3,0,0,'Données projet'!$E$13+1,1))</f>
        <v>302.06513069580848</v>
      </c>
      <c r="CZ72" s="62">
        <f t="shared" si="96"/>
        <v>164.1450425611464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30.981441625752996</v>
      </c>
      <c r="DG72" s="23">
        <f>EXP(-LN(2)/25)*DG71+(1-EXP(-LN(2)/25))/(LN(2)/25)*Calculateur!DB72*Calculateur!DD72*VLOOKUP('Données projet'!$B$13,Paramètres!$A$1:$I$89,3,0)*0.475*44/12</f>
        <v>19.669900299254785</v>
      </c>
      <c r="DH72" s="23">
        <f>EXP(-LN(2)/2)*DH71+(1-EXP(-LN(2)/2))/(LN(2)/2)*DB72*DE72*VLOOKUP('Données projet'!$B$13,Paramètres!$A$1:$I$89,3,0)*0.475*44/12</f>
        <v>0.77614242706477821</v>
      </c>
      <c r="DI72" s="24">
        <f t="shared" si="69"/>
        <v>51.427484352072561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8.8662500000000044</v>
      </c>
      <c r="N73" s="14">
        <f>IF('Données projet'!$A$36&gt;35,N72+M73-V72,IF(A73&lt;'Données projet'!$A$36,$K$205^A73,IF(A73='Données projet'!$A$36,'Données projet'!$B$36,N72+M73-V72)))</f>
        <v>250.51500000000016</v>
      </c>
      <c r="O73" s="14">
        <f>N73*VLOOKUP('Données projet'!$B$9,Paramètres!$A$1:$I$89,3,0)*VLOOKUP('Données projet'!$B$9,Paramètres!$A$1:$I$89,5,0)</f>
        <v>226.66597200000012</v>
      </c>
      <c r="P73" s="14">
        <f t="shared" si="87"/>
        <v>55.561175235972904</v>
      </c>
      <c r="Q73" s="22">
        <f t="shared" si="54"/>
        <v>491.54561476931968</v>
      </c>
      <c r="R73" s="62">
        <f t="shared" si="55"/>
        <v>784.878948102653</v>
      </c>
      <c r="S73" s="62">
        <f ca="1">AVERAGE(OFFSET($R$3,0,0,'Données projet'!$E$9+1,1))-AVERAGE(OFFSET($H$3,0,0,'Données projet'!$E$9+1,1))</f>
        <v>581.88778927327667</v>
      </c>
      <c r="T73" s="62">
        <f t="shared" si="88"/>
        <v>269.67340993773422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13.191194325369496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13.191194325369496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237</v>
      </c>
      <c r="AG73" s="13">
        <f>VLOOKUP(A73,'Données projet'!$A$61:$I$81,9,0)</f>
        <v>5</v>
      </c>
      <c r="AH73" s="13">
        <f t="array" ref="AH73">INDEX(AG:AG,MIN(IF(ISNUMBER(AG73:AG269),ROW(AG73:AG269),"")))</f>
        <v>5</v>
      </c>
      <c r="AI73" s="14">
        <f>IF('Données projet'!$A$62&gt;35,AI72+AH73-AQ72,IF(A73&lt;'Données projet'!$A$62,$AF$205^A73,IF(A73='Données projet'!$A$62,'Données projet'!$B$62,AI72+AH73-AQ72)))</f>
        <v>237</v>
      </c>
      <c r="AJ73" s="14">
        <f>AI73*VLOOKUP('Données projet'!$B$10,Paramètres!$A$1:$I$89,3,0)*VLOOKUP('Données projet'!$B$10,Paramètres!$A$1:$I$89,5,0)</f>
        <v>207.04320000000001</v>
      </c>
      <c r="AK73" s="14">
        <f t="shared" si="89"/>
        <v>51.288918231806321</v>
      </c>
      <c r="AL73" s="22">
        <f t="shared" si="58"/>
        <v>449.92843925372944</v>
      </c>
      <c r="AM73" s="62">
        <f t="shared" si="59"/>
        <v>743.26177258706275</v>
      </c>
      <c r="AN73" s="62">
        <f ca="1">AVERAGE(OFFSET($AM$3,0,0,'Données projet'!$E$10+1,1))-AVERAGE(OFFSET($H$3,0,0,'Données projet'!$E$10+1,1))</f>
        <v>354.24684313982857</v>
      </c>
      <c r="AO73" s="62">
        <f t="shared" si="90"/>
        <v>322.65043486962185</v>
      </c>
      <c r="AP73" s="16">
        <f>IF(ISNA(VLOOKUP(A73,'Données projet'!$A$61:$I$81,3,0)),0,VLOOKUP(A73,'Données projet'!$A$61:$I$81,3,0))</f>
        <v>13</v>
      </c>
      <c r="AQ73" s="16">
        <f>IF(ISNA(VLOOKUP(A73,'Données projet'!$A$61:$I$81,4,0)),0,VLOOKUP(A73,'Données projet'!$A$61:$I$81,4,0))</f>
        <v>18</v>
      </c>
      <c r="AR73" s="17">
        <f>IF(ISNA(VLOOKUP(A73,'Données projet'!$A$61:$I$81,5,0)),0%,VLOOKUP(A73,'Données projet'!$A$61:$I$81,5,0)*VLOOKUP('Données projet'!$B$10,Paramètres!$A$1:$I$89,7,0))</f>
        <v>0.25800000000000001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23.312226396877172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23.312226396877172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290</v>
      </c>
      <c r="BB73" s="13">
        <f>VLOOKUP(A73,'Données projet'!$A$87:$I$107,9,0)</f>
        <v>7.6</v>
      </c>
      <c r="BC73" s="13">
        <f t="array" ref="BC73">INDEX(BB:BB,MIN(IF(ISNUMBER(BB73:BB269),ROW(BB73:BB269),"")))</f>
        <v>7.6</v>
      </c>
      <c r="BD73" s="13">
        <f>IF('Données projet'!$A$88&gt;35,BD72+BC73-BL72,IF(A73&lt;'Données projet'!$A$88,$BA$205^A73,IF(A73='Données projet'!$A$88,'Données projet'!$B$88,BD72+BC73-BL72)))</f>
        <v>290.00000000000023</v>
      </c>
      <c r="BE73" s="14">
        <f>BD73*VLOOKUP('Données projet'!$B$11,Paramètres!$A$1:$I$89,3,0)*VLOOKUP('Données projet'!$B$11,Paramètres!$A$1:$I$89,5,0)</f>
        <v>275.96400000000023</v>
      </c>
      <c r="BF73" s="14">
        <f t="shared" si="91"/>
        <v>66.113366665488911</v>
      </c>
      <c r="BG73" s="22">
        <f t="shared" si="61"/>
        <v>595.78474694239355</v>
      </c>
      <c r="BH73" s="62">
        <f t="shared" si="62"/>
        <v>889.11808027572692</v>
      </c>
      <c r="BI73" s="62">
        <f ca="1">AVERAGE(OFFSET($BH$3,0,0,'Données projet'!$E$11+1,1))-AVERAGE(OFFSET($H$3,0,0,'Données projet'!$E$11+1,1))</f>
        <v>460.77543902152325</v>
      </c>
      <c r="BJ73" s="62">
        <f t="shared" si="92"/>
        <v>341.4342976721104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32</v>
      </c>
      <c r="BM73" s="17">
        <f>IF(ISNA(VLOOKUP(A73,'Données projet'!$A$87:$I$107,5,0)),0%,VLOOKUP(A73,'Données projet'!$A$87:$I$107,5,0)*VLOOKUP('Données projet'!$B$11,Paramètres!$A$1:$I$89,7,0))</f>
        <v>0.215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29.763751066183826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29.763751066183826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12.888750000000002</v>
      </c>
      <c r="BY73" s="13">
        <f>IF('Données projet'!$A$114&gt;35,BY72+BX73-CG72,IF(A73&lt;'Données projet'!$A$114,$BV$205^A73,IF(A73='Données projet'!$A$114,'Données projet'!$B$114,BY72+BX73-CG72)))</f>
        <v>594.23749999999973</v>
      </c>
      <c r="BZ73" s="14">
        <f>BY73*VLOOKUP('Données projet'!$B$12,Paramètres!$A$1:$I$89,3,0)*VLOOKUP('Données projet'!$B$12,Paramètres!$A$1:$I$89,5,0)</f>
        <v>355.35402499999987</v>
      </c>
      <c r="CA73" s="14">
        <f t="shared" si="93"/>
        <v>82.66398462408759</v>
      </c>
      <c r="CB73" s="22">
        <f t="shared" si="64"/>
        <v>762.88136676195211</v>
      </c>
      <c r="CC73" s="62">
        <f t="shared" si="65"/>
        <v>1056.2147000952855</v>
      </c>
      <c r="CD73" s="62">
        <f ca="1">AVERAGE(OFFSET($CC$3,0,0,'Données projet'!$E$12+1,1))-AVERAGE(OFFSET($H$3,0,0,'Données projet'!$E$12+1,1))</f>
        <v>438.68915237247444</v>
      </c>
      <c r="CE73" s="62">
        <f t="shared" si="94"/>
        <v>376.94419168335452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70.270778979530007</v>
      </c>
      <c r="CL73" s="23">
        <f>EXP(-LN(2)/25)*CL72+(1-EXP(-LN(2)/25))/(LN(2)/25)*Calculateur!CG73*Calculateur!CI73*VLOOKUP('Données projet'!$B$12,Paramètres!$A$1:$I$89,3,0)*0.475*44/12</f>
        <v>15.008801264857727</v>
      </c>
      <c r="CM73" s="23">
        <f>EXP(-LN(2)/2)*CM72+(1-EXP(-LN(2)/2))/(LN(2)/2)*CG73*CJ73*VLOOKUP('Données projet'!$B$12,Paramètres!$A$1:$I$89,3,0)*0.475*44/12</f>
        <v>1.377088051466004</v>
      </c>
      <c r="CN73" s="24">
        <f t="shared" si="66"/>
        <v>86.656668295853734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11.9925</v>
      </c>
      <c r="CT73" s="13">
        <f>IF('Données projet'!$A$140&gt;35,CT72+CS73-DB72,IF(A73&lt;'Données projet'!$A$140,$CQ$205^A73,IF(A73='Données projet'!$A$140,'Données projet'!$B$140,CT72+CS73-DB72)))</f>
        <v>354.45249999999976</v>
      </c>
      <c r="CU73" s="18">
        <f>CT73*VLOOKUP('Données projet'!$B$13,Paramètres!$A$1:$I$89,3,0)*VLOOKUP('Données projet'!$B$13,Paramètres!$A$1:$I$89,5,0)</f>
        <v>165.88376999999988</v>
      </c>
      <c r="CV73" s="14">
        <f t="shared" si="95"/>
        <v>42.166813993490919</v>
      </c>
      <c r="CW73" s="22">
        <f t="shared" si="67"/>
        <v>362.35476712199647</v>
      </c>
      <c r="CX73" s="62">
        <f t="shared" si="68"/>
        <v>655.68810045532973</v>
      </c>
      <c r="CY73" s="62">
        <f ca="1">AVERAGE(OFFSET($CX$3,0,0,'Données projet'!$E$13+1,1))-AVERAGE(OFFSET($H$3,0,0,'Données projet'!$E$13+1,1))</f>
        <v>302.06513069580848</v>
      </c>
      <c r="CZ73" s="62">
        <f t="shared" si="96"/>
        <v>164.1450425611464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30.373914452285465</v>
      </c>
      <c r="DG73" s="23">
        <f>EXP(-LN(2)/25)*DG72+(1-EXP(-LN(2)/25))/(LN(2)/25)*Calculateur!DB73*Calculateur!DD73*VLOOKUP('Données projet'!$B$13,Paramètres!$A$1:$I$89,3,0)*0.475*44/12</f>
        <v>19.132025841176564</v>
      </c>
      <c r="DH73" s="23">
        <f>EXP(-LN(2)/2)*DH72+(1-EXP(-LN(2)/2))/(LN(2)/2)*DB73*DE73*VLOOKUP('Données projet'!$B$13,Paramètres!$A$1:$I$89,3,0)*0.475*44/12</f>
        <v>0.54881557334409004</v>
      </c>
      <c r="DI73" s="24">
        <f t="shared" si="69"/>
        <v>50.054755866806126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8.8662500000000044</v>
      </c>
      <c r="N74" s="14">
        <f>IF('Données projet'!$A$36&gt;35,N73+M74-V73,IF(A74&lt;'Données projet'!$A$36,$K$205^A74,IF(A74='Données projet'!$A$36,'Données projet'!$B$36,N73+M74-V73)))</f>
        <v>259.38125000000014</v>
      </c>
      <c r="O74" s="14">
        <f>N74*VLOOKUP('Données projet'!$B$9,Paramètres!$A$1:$I$89,3,0)*VLOOKUP('Données projet'!$B$9,Paramètres!$A$1:$I$89,5,0)</f>
        <v>234.68815500000011</v>
      </c>
      <c r="P74" s="14">
        <f t="shared" si="87"/>
        <v>57.295176729679312</v>
      </c>
      <c r="Q74" s="22">
        <f t="shared" si="54"/>
        <v>508.53763609585832</v>
      </c>
      <c r="R74" s="62">
        <f t="shared" si="55"/>
        <v>801.87096942919163</v>
      </c>
      <c r="S74" s="62">
        <f ca="1">AVERAGE(OFFSET($R$3,0,0,'Données projet'!$E$9+1,1))-AVERAGE(OFFSET($H$3,0,0,'Données projet'!$E$9+1,1))</f>
        <v>581.88778927327667</v>
      </c>
      <c r="T74" s="62">
        <f t="shared" si="88"/>
        <v>269.67340993773422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12.932523050483079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12.932523050483079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4.4000000000000004</v>
      </c>
      <c r="AI74" s="14">
        <f>IF('Données projet'!$A$62&gt;35,AI73+AH74-AQ73,IF(A74&lt;'Données projet'!$A$62,$AF$205^A74,IF(A74='Données projet'!$A$62,'Données projet'!$B$62,AI73+AH74-AQ73)))</f>
        <v>223.4</v>
      </c>
      <c r="AJ74" s="14">
        <f>AI74*VLOOKUP('Données projet'!$B$10,Paramètres!$A$1:$I$89,3,0)*VLOOKUP('Données projet'!$B$10,Paramètres!$A$1:$I$89,5,0)</f>
        <v>195.16224000000003</v>
      </c>
      <c r="AK74" s="14">
        <f t="shared" si="89"/>
        <v>48.67946410296608</v>
      </c>
      <c r="AL74" s="22">
        <f t="shared" si="58"/>
        <v>424.69096797933258</v>
      </c>
      <c r="AM74" s="62">
        <f t="shared" si="59"/>
        <v>718.0243013126659</v>
      </c>
      <c r="AN74" s="62">
        <f ca="1">AVERAGE(OFFSET($AM$3,0,0,'Données projet'!$E$10+1,1))-AVERAGE(OFFSET($H$3,0,0,'Données projet'!$E$10+1,1))</f>
        <v>354.24684313982857</v>
      </c>
      <c r="AO74" s="62">
        <f t="shared" si="90"/>
        <v>322.65043486962185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22.855087856288499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22.855087856288499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265.60000000000025</v>
      </c>
      <c r="BE74" s="14">
        <f>BD74*VLOOKUP('Données projet'!$B$11,Paramètres!$A$1:$I$89,3,0)*VLOOKUP('Données projet'!$B$11,Paramètres!$A$1:$I$89,5,0)</f>
        <v>252.74496000000025</v>
      </c>
      <c r="BF74" s="14">
        <f t="shared" si="91"/>
        <v>61.173358634109078</v>
      </c>
      <c r="BG74" s="22">
        <f t="shared" si="61"/>
        <v>546.74107162107373</v>
      </c>
      <c r="BH74" s="62">
        <f t="shared" si="62"/>
        <v>840.0744049544071</v>
      </c>
      <c r="BI74" s="62">
        <f ca="1">AVERAGE(OFFSET($BH$3,0,0,'Données projet'!$E$11+1,1))-AVERAGE(OFFSET($H$3,0,0,'Données projet'!$E$11+1,1))</f>
        <v>460.77543902152325</v>
      </c>
      <c r="BJ74" s="62">
        <f t="shared" si="92"/>
        <v>341.4342976721104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29.180102061871544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29.180102061871544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12.888750000000002</v>
      </c>
      <c r="BY74" s="13">
        <f>IF('Données projet'!$A$114&gt;35,BY73+BX74-CG73,IF(A74&lt;'Données projet'!$A$114,$BV$205^A74,IF(A74='Données projet'!$A$114,'Données projet'!$B$114,BY73+BX74-CG73)))</f>
        <v>607.12624999999969</v>
      </c>
      <c r="BZ74" s="14">
        <f>BY74*VLOOKUP('Données projet'!$B$12,Paramètres!$A$1:$I$89,3,0)*VLOOKUP('Données projet'!$B$12,Paramètres!$A$1:$I$89,5,0)</f>
        <v>363.06149749999986</v>
      </c>
      <c r="CA74" s="14">
        <f t="shared" si="93"/>
        <v>84.246247351514029</v>
      </c>
      <c r="CB74" s="22">
        <f t="shared" si="64"/>
        <v>779.06098894972001</v>
      </c>
      <c r="CC74" s="62">
        <f t="shared" si="65"/>
        <v>1072.3943222830533</v>
      </c>
      <c r="CD74" s="62">
        <f ca="1">AVERAGE(OFFSET($CC$3,0,0,'Données projet'!$E$12+1,1))-AVERAGE(OFFSET($H$3,0,0,'Données projet'!$E$12+1,1))</f>
        <v>438.68915237247444</v>
      </c>
      <c r="CE74" s="62">
        <f t="shared" si="94"/>
        <v>376.94419168335452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68.892811864684433</v>
      </c>
      <c r="CL74" s="23">
        <f>EXP(-LN(2)/25)*CL73+(1-EXP(-LN(2)/25))/(LN(2)/25)*Calculateur!CG74*Calculateur!CI74*VLOOKUP('Données projet'!$B$12,Paramètres!$A$1:$I$89,3,0)*0.475*44/12</f>
        <v>14.598384804991637</v>
      </c>
      <c r="CM74" s="23">
        <f>EXP(-LN(2)/2)*CM73+(1-EXP(-LN(2)/2))/(LN(2)/2)*CG74*CJ74*VLOOKUP('Données projet'!$B$12,Paramètres!$A$1:$I$89,3,0)*0.475*44/12</f>
        <v>0.97374829948258079</v>
      </c>
      <c r="CN74" s="24">
        <f t="shared" si="66"/>
        <v>84.464944969158651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11.9925</v>
      </c>
      <c r="CT74" s="13">
        <f>IF('Données projet'!$A$140&gt;35,CT73+CS74-DB73,IF(A74&lt;'Données projet'!$A$140,$CQ$205^A74,IF(A74='Données projet'!$A$140,'Données projet'!$B$140,CT73+CS74-DB73)))</f>
        <v>366.44499999999977</v>
      </c>
      <c r="CU74" s="18">
        <f>CT74*VLOOKUP('Données projet'!$B$13,Paramètres!$A$1:$I$89,3,0)*VLOOKUP('Données projet'!$B$13,Paramètres!$A$1:$I$89,5,0)</f>
        <v>171.49625999999989</v>
      </c>
      <c r="CV74" s="14">
        <f t="shared" si="95"/>
        <v>43.424964949869974</v>
      </c>
      <c r="CW74" s="22">
        <f t="shared" si="67"/>
        <v>374.32113345435664</v>
      </c>
      <c r="CX74" s="62">
        <f t="shared" si="68"/>
        <v>667.6544667876899</v>
      </c>
      <c r="CY74" s="62">
        <f ca="1">AVERAGE(OFFSET($CX$3,0,0,'Données projet'!$E$13+1,1))-AVERAGE(OFFSET($H$3,0,0,'Données projet'!$E$13+1,1))</f>
        <v>302.06513069580848</v>
      </c>
      <c r="CZ74" s="62">
        <f t="shared" si="96"/>
        <v>164.1450425611464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29.778300516134646</v>
      </c>
      <c r="DG74" s="23">
        <f>EXP(-LN(2)/25)*DG73+(1-EXP(-LN(2)/25))/(LN(2)/25)*Calculateur!DB74*Calculateur!DD74*VLOOKUP('Données projet'!$B$13,Paramètres!$A$1:$I$89,3,0)*0.475*44/12</f>
        <v>18.60885958844008</v>
      </c>
      <c r="DH74" s="23">
        <f>EXP(-LN(2)/2)*DH73+(1-EXP(-LN(2)/2))/(LN(2)/2)*DB74*DE74*VLOOKUP('Données projet'!$B$13,Paramètres!$A$1:$I$89,3,0)*0.475*44/12</f>
        <v>0.3880712135323891</v>
      </c>
      <c r="DI74" s="24">
        <f t="shared" si="69"/>
        <v>48.775231318107117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8.8662500000000044</v>
      </c>
      <c r="N75" s="14">
        <f>IF('Données projet'!$A$36&gt;35,N74+M75-V74,IF(A75&lt;'Données projet'!$A$36,$K$205^A75,IF(A75='Données projet'!$A$36,'Données projet'!$B$36,N74+M75-V74)))</f>
        <v>268.24750000000012</v>
      </c>
      <c r="O75" s="14">
        <f>N75*VLOOKUP('Données projet'!$B$9,Paramètres!$A$1:$I$89,3,0)*VLOOKUP('Données projet'!$B$9,Paramètres!$A$1:$I$89,5,0)</f>
        <v>242.71033800000009</v>
      </c>
      <c r="P75" s="14">
        <f t="shared" si="87"/>
        <v>59.022291232778812</v>
      </c>
      <c r="Q75" s="22">
        <f t="shared" si="54"/>
        <v>525.51766258042323</v>
      </c>
      <c r="R75" s="62">
        <f t="shared" si="55"/>
        <v>818.85099591375661</v>
      </c>
      <c r="S75" s="62">
        <f ca="1">AVERAGE(OFFSET($R$3,0,0,'Données projet'!$E$9+1,1))-AVERAGE(OFFSET($H$3,0,0,'Données projet'!$E$9+1,1))</f>
        <v>581.88778927327667</v>
      </c>
      <c r="T75" s="62">
        <f t="shared" si="88"/>
        <v>269.67340993773422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12.678924161523286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12.678924161523286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4.4000000000000004</v>
      </c>
      <c r="AI75" s="14">
        <f>IF('Données projet'!$A$62&gt;35,AI74+AH75-AQ74,IF(A75&lt;'Données projet'!$A$62,$AF$205^A75,IF(A75='Données projet'!$A$62,'Données projet'!$B$62,AI74+AH75-AQ74)))</f>
        <v>227.8</v>
      </c>
      <c r="AJ75" s="14">
        <f>AI75*VLOOKUP('Données projet'!$B$10,Paramètres!$A$1:$I$89,3,0)*VLOOKUP('Données projet'!$B$10,Paramètres!$A$1:$I$89,5,0)</f>
        <v>199.00608000000003</v>
      </c>
      <c r="AK75" s="14">
        <f t="shared" si="89"/>
        <v>49.525670897515027</v>
      </c>
      <c r="AL75" s="22">
        <f t="shared" si="58"/>
        <v>432.85946614650538</v>
      </c>
      <c r="AM75" s="62">
        <f t="shared" si="59"/>
        <v>726.19279947983864</v>
      </c>
      <c r="AN75" s="62">
        <f ca="1">AVERAGE(OFFSET($AM$3,0,0,'Données projet'!$E$10+1,1))-AVERAGE(OFFSET($H$3,0,0,'Données projet'!$E$10+1,1))</f>
        <v>354.24684313982857</v>
      </c>
      <c r="AO75" s="62">
        <f t="shared" si="90"/>
        <v>322.65043486962185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22.406913523653792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22.406913523653792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273.20000000000027</v>
      </c>
      <c r="BE75" s="14">
        <f>BD75*VLOOKUP('Données projet'!$B$11,Paramètres!$A$1:$I$89,3,0)*VLOOKUP('Données projet'!$B$11,Paramètres!$A$1:$I$89,5,0)</f>
        <v>259.97712000000024</v>
      </c>
      <c r="BF75" s="14">
        <f t="shared" si="91"/>
        <v>62.717500839785174</v>
      </c>
      <c r="BG75" s="22">
        <f t="shared" si="61"/>
        <v>562.02646462929295</v>
      </c>
      <c r="BH75" s="62">
        <f t="shared" si="62"/>
        <v>855.35979796262632</v>
      </c>
      <c r="BI75" s="62">
        <f ca="1">AVERAGE(OFFSET($BH$3,0,0,'Données projet'!$E$11+1,1))-AVERAGE(OFFSET($H$3,0,0,'Données projet'!$E$11+1,1))</f>
        <v>460.77543902152325</v>
      </c>
      <c r="BJ75" s="62">
        <f t="shared" si="92"/>
        <v>341.4342976721104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28.607898058543086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28.607898058543086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12.888750000000002</v>
      </c>
      <c r="BY75" s="13">
        <f>IF('Données projet'!$A$114&gt;35,BY74+BX75-CG74,IF(A75&lt;'Données projet'!$A$114,$BV$205^A75,IF(A75='Données projet'!$A$114,'Données projet'!$B$114,BY74+BX75-CG74)))</f>
        <v>620.01499999999965</v>
      </c>
      <c r="BZ75" s="14">
        <f>BY75*VLOOKUP('Données projet'!$B$12,Paramètres!$A$1:$I$89,3,0)*VLOOKUP('Données projet'!$B$12,Paramètres!$A$1:$I$89,5,0)</f>
        <v>370.7689699999998</v>
      </c>
      <c r="CA75" s="14">
        <f t="shared" si="93"/>
        <v>85.824604716239875</v>
      </c>
      <c r="CB75" s="22">
        <f t="shared" si="64"/>
        <v>795.23380929745065</v>
      </c>
      <c r="CC75" s="62">
        <f t="shared" si="65"/>
        <v>1088.567142630784</v>
      </c>
      <c r="CD75" s="62">
        <f ca="1">AVERAGE(OFFSET($CC$3,0,0,'Données projet'!$E$12+1,1))-AVERAGE(OFFSET($H$3,0,0,'Données projet'!$E$12+1,1))</f>
        <v>438.68915237247444</v>
      </c>
      <c r="CE75" s="62">
        <f t="shared" si="94"/>
        <v>376.94419168335452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67.541865844484036</v>
      </c>
      <c r="CL75" s="23">
        <f>EXP(-LN(2)/25)*CL74+(1-EXP(-LN(2)/25))/(LN(2)/25)*Calculateur!CG75*Calculateur!CI75*VLOOKUP('Données projet'!$B$12,Paramètres!$A$1:$I$89,3,0)*0.475*44/12</f>
        <v>14.19919120480345</v>
      </c>
      <c r="CM75" s="23">
        <f>EXP(-LN(2)/2)*CM74+(1-EXP(-LN(2)/2))/(LN(2)/2)*CG75*CJ75*VLOOKUP('Données projet'!$B$12,Paramètres!$A$1:$I$89,3,0)*0.475*44/12</f>
        <v>0.688544025733002</v>
      </c>
      <c r="CN75" s="24">
        <f t="shared" si="66"/>
        <v>82.4296010750205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11.9925</v>
      </c>
      <c r="CT75" s="13">
        <f>IF('Données projet'!$A$140&gt;35,CT74+CS75-DB74,IF(A75&lt;'Données projet'!$A$140,$CQ$205^A75,IF(A75='Données projet'!$A$140,'Données projet'!$B$140,CT74+CS75-DB74)))</f>
        <v>378.43749999999977</v>
      </c>
      <c r="CU75" s="18">
        <f>CT75*VLOOKUP('Données projet'!$B$13,Paramètres!$A$1:$I$89,3,0)*VLOOKUP('Données projet'!$B$13,Paramètres!$A$1:$I$89,5,0)</f>
        <v>177.1087499999999</v>
      </c>
      <c r="CV75" s="14">
        <f t="shared" si="95"/>
        <v>44.678331350330126</v>
      </c>
      <c r="CW75" s="22">
        <f t="shared" si="67"/>
        <v>386.27916668515809</v>
      </c>
      <c r="CX75" s="62">
        <f t="shared" si="68"/>
        <v>679.61250001849135</v>
      </c>
      <c r="CY75" s="62">
        <f ca="1">AVERAGE(OFFSET($CX$3,0,0,'Données projet'!$E$13+1,1))-AVERAGE(OFFSET($H$3,0,0,'Données projet'!$E$13+1,1))</f>
        <v>302.06513069580848</v>
      </c>
      <c r="CZ75" s="62">
        <f t="shared" si="96"/>
        <v>164.1450425611464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29.194366205983115</v>
      </c>
      <c r="DG75" s="23">
        <f>EXP(-LN(2)/25)*DG74+(1-EXP(-LN(2)/25))/(LN(2)/25)*Calculateur!DB75*Calculateur!DD75*VLOOKUP('Données projet'!$B$13,Paramètres!$A$1:$I$89,3,0)*0.475*44/12</f>
        <v>18.099999344396792</v>
      </c>
      <c r="DH75" s="23">
        <f>EXP(-LN(2)/2)*DH74+(1-EXP(-LN(2)/2))/(LN(2)/2)*DB75*DE75*VLOOKUP('Données projet'!$B$13,Paramètres!$A$1:$I$89,3,0)*0.475*44/12</f>
        <v>0.27440778667204502</v>
      </c>
      <c r="DI75" s="24">
        <f t="shared" si="69"/>
        <v>47.568773337051951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8.8662500000000044</v>
      </c>
      <c r="N76" s="14">
        <f>IF('Données projet'!$A$36&gt;35,N75+M76-V75,IF(A76&lt;'Données projet'!$A$36,$K$205^A76,IF(A76='Données projet'!$A$36,'Données projet'!$B$36,N75+M76-V75)))</f>
        <v>277.1137500000001</v>
      </c>
      <c r="O76" s="14">
        <f>N76*VLOOKUP('Données projet'!$B$9,Paramètres!$A$1:$I$89,3,0)*VLOOKUP('Données projet'!$B$9,Paramètres!$A$1:$I$89,5,0)</f>
        <v>250.73252100000005</v>
      </c>
      <c r="P76" s="14">
        <f t="shared" si="87"/>
        <v>60.74277247950485</v>
      </c>
      <c r="Q76" s="22">
        <f t="shared" si="54"/>
        <v>542.48613614347107</v>
      </c>
      <c r="R76" s="62">
        <f t="shared" si="55"/>
        <v>835.81946947680444</v>
      </c>
      <c r="S76" s="62">
        <f ca="1">AVERAGE(OFFSET($R$3,0,0,'Données projet'!$E$9+1,1))-AVERAGE(OFFSET($H$3,0,0,'Données projet'!$E$9+1,1))</f>
        <v>581.88778927327667</v>
      </c>
      <c r="T76" s="62">
        <f t="shared" si="88"/>
        <v>269.67340993773422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12.430298192095945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12.430298192095945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4.4000000000000004</v>
      </c>
      <c r="AI76" s="14">
        <f>IF('Données projet'!$A$62&gt;35,AI75+AH76-AQ75,IF(A76&lt;'Données projet'!$A$62,$AF$205^A76,IF(A76='Données projet'!$A$62,'Données projet'!$B$62,AI75+AH76-AQ75)))</f>
        <v>232.20000000000002</v>
      </c>
      <c r="AJ76" s="14">
        <f>AI76*VLOOKUP('Données projet'!$B$10,Paramètres!$A$1:$I$89,3,0)*VLOOKUP('Données projet'!$B$10,Paramètres!$A$1:$I$89,5,0)</f>
        <v>202.84992000000003</v>
      </c>
      <c r="AK76" s="14">
        <f t="shared" si="89"/>
        <v>50.369977187686075</v>
      </c>
      <c r="AL76" s="22">
        <f t="shared" si="58"/>
        <v>441.02465426855332</v>
      </c>
      <c r="AM76" s="62">
        <f t="shared" si="59"/>
        <v>734.35798760188663</v>
      </c>
      <c r="AN76" s="62">
        <f ca="1">AVERAGE(OFFSET($AM$3,0,0,'Données projet'!$E$10+1,1))-AVERAGE(OFFSET($H$3,0,0,'Données projet'!$E$10+1,1))</f>
        <v>354.24684313982857</v>
      </c>
      <c r="AO76" s="62">
        <f t="shared" si="90"/>
        <v>322.65043486962185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21.967527616322698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21.967527616322698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280.8000000000003</v>
      </c>
      <c r="BE76" s="14">
        <f>BD76*VLOOKUP('Données projet'!$B$11,Paramètres!$A$1:$I$89,3,0)*VLOOKUP('Données projet'!$B$11,Paramètres!$A$1:$I$89,5,0)</f>
        <v>267.20928000000032</v>
      </c>
      <c r="BF76" s="14">
        <f t="shared" si="91"/>
        <v>64.256650415058189</v>
      </c>
      <c r="BG76" s="22">
        <f t="shared" si="61"/>
        <v>577.30316213956019</v>
      </c>
      <c r="BH76" s="62">
        <f t="shared" si="62"/>
        <v>870.63649547289356</v>
      </c>
      <c r="BI76" s="62">
        <f ca="1">AVERAGE(OFFSET($BH$3,0,0,'Données projet'!$E$11+1,1))-AVERAGE(OFFSET($H$3,0,0,'Données projet'!$E$11+1,1))</f>
        <v>460.77543902152325</v>
      </c>
      <c r="BJ76" s="62">
        <f t="shared" si="92"/>
        <v>341.4342976721104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28.046914626709917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28.046914626709917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12.888750000000002</v>
      </c>
      <c r="BY76" s="13">
        <f>IF('Données projet'!$A$114&gt;35,BY75+BX76-CG75,IF(A76&lt;'Données projet'!$A$114,$BV$205^A76,IF(A76='Données projet'!$A$114,'Données projet'!$B$114,BY75+BX76-CG75)))</f>
        <v>632.9037499999996</v>
      </c>
      <c r="BZ76" s="14">
        <f>BY76*VLOOKUP('Données projet'!$B$12,Paramètres!$A$1:$I$89,3,0)*VLOOKUP('Données projet'!$B$12,Paramètres!$A$1:$I$89,5,0)</f>
        <v>378.47644249999979</v>
      </c>
      <c r="CA76" s="14">
        <f t="shared" si="93"/>
        <v>87.399147255585461</v>
      </c>
      <c r="CB76" s="22">
        <f t="shared" si="64"/>
        <v>811.39998549097754</v>
      </c>
      <c r="CC76" s="62">
        <f t="shared" si="65"/>
        <v>1104.7333188243108</v>
      </c>
      <c r="CD76" s="62">
        <f ca="1">AVERAGE(OFFSET($CC$3,0,0,'Données projet'!$E$12+1,1))-AVERAGE(OFFSET($H$3,0,0,'Données projet'!$E$12+1,1))</f>
        <v>438.68915237247444</v>
      </c>
      <c r="CE76" s="62">
        <f t="shared" si="94"/>
        <v>376.94419168335452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66.217411051744051</v>
      </c>
      <c r="CL76" s="23">
        <f>EXP(-LN(2)/25)*CL75+(1-EXP(-LN(2)/25))/(LN(2)/25)*Calculateur!CG76*Calculateur!CI76*VLOOKUP('Données projet'!$B$12,Paramètres!$A$1:$I$89,3,0)*0.475*44/12</f>
        <v>13.810913574605086</v>
      </c>
      <c r="CM76" s="23">
        <f>EXP(-LN(2)/2)*CM75+(1-EXP(-LN(2)/2))/(LN(2)/2)*CG76*CJ76*VLOOKUP('Données projet'!$B$12,Paramètres!$A$1:$I$89,3,0)*0.475*44/12</f>
        <v>0.4868741497412904</v>
      </c>
      <c r="CN76" s="24">
        <f t="shared" si="66"/>
        <v>80.515198776090429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>
        <f>VLOOKUP(A76,'Données projet'!$A$139:$I$159,2,0)</f>
        <v>390.43</v>
      </c>
      <c r="CR76" s="13">
        <f>VLOOKUP(A76,'Données projet'!$A$139:$I$159,9,0)</f>
        <v>11.9925</v>
      </c>
      <c r="CS76" s="13">
        <f t="array" ref="CS76">INDEX(CR:CR,MIN(IF(ISNUMBER(CR76:CR272),ROW(CR76:CR272),"")))</f>
        <v>11.9925</v>
      </c>
      <c r="CT76" s="13">
        <f>IF('Données projet'!$A$140&gt;35,CT75+CS76-DB75,IF(A76&lt;'Données projet'!$A$140,$CQ$205^A76,IF(A76='Données projet'!$A$140,'Données projet'!$B$140,CT75+CS76-DB75)))</f>
        <v>390.42999999999978</v>
      </c>
      <c r="CU76" s="18">
        <f>CT76*VLOOKUP('Données projet'!$B$13,Paramètres!$A$1:$I$89,3,0)*VLOOKUP('Données projet'!$B$13,Paramètres!$A$1:$I$89,5,0)</f>
        <v>182.72123999999991</v>
      </c>
      <c r="CV76" s="14">
        <f t="shared" si="95"/>
        <v>45.927082209321753</v>
      </c>
      <c r="CW76" s="22">
        <f t="shared" si="67"/>
        <v>398.22916118123521</v>
      </c>
      <c r="CX76" s="62">
        <f t="shared" si="68"/>
        <v>691.56249451456847</v>
      </c>
      <c r="CY76" s="62">
        <f ca="1">AVERAGE(OFFSET($CX$3,0,0,'Données projet'!$E$13+1,1))-AVERAGE(OFFSET($H$3,0,0,'Données projet'!$E$13+1,1))</f>
        <v>302.06513069580848</v>
      </c>
      <c r="CZ76" s="62">
        <f t="shared" si="96"/>
        <v>164.1450425611464</v>
      </c>
      <c r="DA76" s="16">
        <f>IF(ISNA(VLOOKUP(A76,'Données projet'!$A$139:$I$159,3,0)),0,VLOOKUP(A76,'Données projet'!$A$139:$I$159,3,0))</f>
        <v>3</v>
      </c>
      <c r="DB76" s="16">
        <f>IF(ISNA(VLOOKUP(A76,'Données projet'!$A$139:$I$159,4,0)),0,VLOOKUP(A76,'Données projet'!$A$139:$I$159,4,0))</f>
        <v>102.1</v>
      </c>
      <c r="DC76" s="17">
        <f>IF(ISNA(VLOOKUP(A76,'Données projet'!$A$139:$I$159,5,0)),0%,VLOOKUP(A76,'Données projet'!$A$139:$I$159,5,0)*VLOOKUP('Données projet'!$B$13,Paramètres!$A$1:$I$89,7,0))</f>
        <v>0.33</v>
      </c>
      <c r="DD76" s="17">
        <f>IF(ISNA(VLOOKUP(A76,'Données projet'!$A$139:$I$159,6,0)),0%,VLOOKUP(A76,'Données projet'!$A$139:$I$159,6,0)*VLOOKUP('Données projet'!$B$13,Paramètres!$A$1:$I$89,7,0))</f>
        <v>0.12100000000000001</v>
      </c>
      <c r="DE76" s="17">
        <f>IF(ISNA(VLOOKUP(A76,'Données projet'!$A$139:$I$159,7,0)),0%,VLOOKUP(A76,'Données projet'!$A$139:$I$159,7,0))</f>
        <v>0.18</v>
      </c>
      <c r="DF76" s="23">
        <f>EXP(-LN(2)/35)*DF75+(1-EXP(-LN(2)/35))/(LN(2)/35)*DB76*DC76*VLOOKUP('Données projet'!$B$13,Paramètres!$A$1:$I$89,3,0)*0.475*44/12</f>
        <v>49.539580631743128</v>
      </c>
      <c r="DG76" s="23">
        <f>EXP(-LN(2)/25)*DG75+(1-EXP(-LN(2)/25))/(LN(2)/25)*Calculateur!DB76*Calculateur!DD76*VLOOKUP('Données projet'!$B$13,Paramètres!$A$1:$I$89,3,0)*0.475*44/12</f>
        <v>25.244677547703006</v>
      </c>
      <c r="DH76" s="23">
        <f>EXP(-LN(2)/2)*DH75+(1-EXP(-LN(2)/2))/(LN(2)/2)*DB76*DE76*VLOOKUP('Données projet'!$B$13,Paramètres!$A$1:$I$89,3,0)*0.475*44/12</f>
        <v>9.9322569034907637</v>
      </c>
      <c r="DI76" s="24">
        <f t="shared" si="69"/>
        <v>84.716515082936908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285.98</v>
      </c>
      <c r="L77" s="13">
        <f>VLOOKUP(A77,'Données projet'!$A$35:$I$55,9,0)</f>
        <v>8.8662500000000044</v>
      </c>
      <c r="M77" s="13">
        <f t="array" ref="M77">INDEX(L:L,MIN(IF(ISNUMBER(L77:L273),ROW(L77:L273),"")))</f>
        <v>8.8662500000000044</v>
      </c>
      <c r="N77" s="14">
        <f>IF('Données projet'!$A$36&gt;35,N76+M77-V76,IF(A77&lt;'Données projet'!$A$36,$K$205^A77,IF(A77='Données projet'!$A$36,'Données projet'!$B$36,N76+M77-V76)))</f>
        <v>285.98000000000008</v>
      </c>
      <c r="O77" s="14">
        <f>N77*VLOOKUP('Données projet'!$B$9,Paramètres!$A$1:$I$89,3,0)*VLOOKUP('Données projet'!$B$9,Paramètres!$A$1:$I$89,5,0)</f>
        <v>258.75470400000006</v>
      </c>
      <c r="P77" s="14">
        <f t="shared" si="87"/>
        <v>62.456857045748947</v>
      </c>
      <c r="Q77" s="22">
        <f t="shared" si="54"/>
        <v>559.4434688213463</v>
      </c>
      <c r="R77" s="62">
        <f t="shared" si="55"/>
        <v>852.77680215467967</v>
      </c>
      <c r="S77" s="62">
        <f ca="1">AVERAGE(OFFSET($R$3,0,0,'Données projet'!$E$9+1,1))-AVERAGE(OFFSET($H$3,0,0,'Données projet'!$E$9+1,1))</f>
        <v>581.88778927327667</v>
      </c>
      <c r="T77" s="62">
        <f t="shared" si="88"/>
        <v>269.67340993773422</v>
      </c>
      <c r="U77" s="16">
        <f>IF(ISNA(VLOOKUP(A77,'Données projet'!$A$35:$I$55,3,0)),0,VLOOKUP(A77,'Données projet'!$A$35:$I$55,3,0))</f>
        <v>5</v>
      </c>
      <c r="V77" s="16">
        <f>IF(ISNA(VLOOKUP(A77,'Données projet'!$A$35:$I$55,4,0)),0,VLOOKUP(A77,'Données projet'!$A$35:$I$55,4,0))</f>
        <v>47.4</v>
      </c>
      <c r="W77" s="17">
        <f>IF(ISNA(VLOOKUP(A77,'Données projet'!$A$35:$I$55,5,0)),0%,VLOOKUP(A77,'Données projet'!$A$35:$I$55,5,0)*VLOOKUP('Données projet'!$B$9,Paramètres!$A$1:$I$89,7,0))</f>
        <v>0.17200000000000001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20.341219504282051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20.341219504282051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4.4000000000000004</v>
      </c>
      <c r="AI77" s="14">
        <f>IF('Données projet'!$A$62&gt;35,AI76+AH77-AQ76,IF(A77&lt;'Données projet'!$A$62,$AF$205^A77,IF(A77='Données projet'!$A$62,'Données projet'!$B$62,AI76+AH77-AQ76)))</f>
        <v>236.60000000000002</v>
      </c>
      <c r="AJ77" s="14">
        <f>AI77*VLOOKUP('Données projet'!$B$10,Paramètres!$A$1:$I$89,3,0)*VLOOKUP('Données projet'!$B$10,Paramètres!$A$1:$I$89,5,0)</f>
        <v>206.69376000000005</v>
      </c>
      <c r="AK77" s="14">
        <f t="shared" si="89"/>
        <v>51.212423138937325</v>
      </c>
      <c r="AL77" s="22">
        <f t="shared" si="58"/>
        <v>449.18660230031583</v>
      </c>
      <c r="AM77" s="62">
        <f t="shared" si="59"/>
        <v>742.51993563364908</v>
      </c>
      <c r="AN77" s="62">
        <f ca="1">AVERAGE(OFFSET($AM$3,0,0,'Données projet'!$E$10+1,1))-AVERAGE(OFFSET($H$3,0,0,'Données projet'!$E$10+1,1))</f>
        <v>354.24684313982857</v>
      </c>
      <c r="AO77" s="62">
        <f t="shared" si="90"/>
        <v>322.65043486962185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21.536757798635428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21.536757798635428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288.40000000000032</v>
      </c>
      <c r="BE77" s="14">
        <f>BD77*VLOOKUP('Données projet'!$B$11,Paramètres!$A$1:$I$89,3,0)*VLOOKUP('Données projet'!$B$11,Paramètres!$A$1:$I$89,5,0)</f>
        <v>274.44144000000028</v>
      </c>
      <c r="BF77" s="14">
        <f t="shared" si="91"/>
        <v>65.790958016885611</v>
      </c>
      <c r="BG77" s="22">
        <f t="shared" si="61"/>
        <v>592.57142654607617</v>
      </c>
      <c r="BH77" s="62">
        <f t="shared" si="62"/>
        <v>885.90475987940954</v>
      </c>
      <c r="BI77" s="62">
        <f ca="1">AVERAGE(OFFSET($BH$3,0,0,'Données projet'!$E$11+1,1))-AVERAGE(OFFSET($H$3,0,0,'Données projet'!$E$11+1,1))</f>
        <v>460.77543902152325</v>
      </c>
      <c r="BJ77" s="62">
        <f t="shared" si="92"/>
        <v>341.4342976721104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27.49693173780889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27.49693173780889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12.888750000000002</v>
      </c>
      <c r="BY77" s="13">
        <f>IF('Données projet'!$A$114&gt;35,BY76+BX77-CG76,IF(A77&lt;'Données projet'!$A$114,$BV$205^A77,IF(A77='Données projet'!$A$114,'Données projet'!$B$114,BY76+BX77-CG76)))</f>
        <v>645.79249999999956</v>
      </c>
      <c r="BZ77" s="14">
        <f>BY77*VLOOKUP('Données projet'!$B$12,Paramètres!$A$1:$I$89,3,0)*VLOOKUP('Données projet'!$B$12,Paramètres!$A$1:$I$89,5,0)</f>
        <v>386.18391499999979</v>
      </c>
      <c r="CA77" s="14">
        <f t="shared" si="93"/>
        <v>88.969961608582523</v>
      </c>
      <c r="CB77" s="22">
        <f t="shared" si="64"/>
        <v>827.55966842661417</v>
      </c>
      <c r="CC77" s="62">
        <f t="shared" si="65"/>
        <v>1120.8930017599475</v>
      </c>
      <c r="CD77" s="62">
        <f ca="1">AVERAGE(OFFSET($CC$3,0,0,'Données projet'!$E$12+1,1))-AVERAGE(OFFSET($H$3,0,0,'Données projet'!$E$12+1,1))</f>
        <v>438.68915237247444</v>
      </c>
      <c r="CE77" s="62">
        <f t="shared" si="94"/>
        <v>376.94419168335452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64.918928009652049</v>
      </c>
      <c r="CL77" s="23">
        <f>EXP(-LN(2)/25)*CL76+(1-EXP(-LN(2)/25))/(LN(2)/25)*Calculateur!CG77*Calculateur!CI77*VLOOKUP('Données projet'!$B$12,Paramètres!$A$1:$I$89,3,0)*0.475*44/12</f>
        <v>13.433253416623131</v>
      </c>
      <c r="CM77" s="23">
        <f>EXP(-LN(2)/2)*CM76+(1-EXP(-LN(2)/2))/(LN(2)/2)*CG77*CJ77*VLOOKUP('Données projet'!$B$12,Paramètres!$A$1:$I$89,3,0)*0.475*44/12</f>
        <v>0.344272012866501</v>
      </c>
      <c r="CN77" s="24">
        <f t="shared" si="66"/>
        <v>78.696453439141678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10.868571428571427</v>
      </c>
      <c r="CT77" s="13">
        <f>IF('Données projet'!$A$140&gt;35,CT76+CS77-DB76,IF(A77&lt;'Données projet'!$A$140,$CQ$205^A77,IF(A77='Données projet'!$A$140,'Données projet'!$B$140,CT76+CS77-DB76)))</f>
        <v>299.1985714285712</v>
      </c>
      <c r="CU77" s="18">
        <f>CT77*VLOOKUP('Données projet'!$B$13,Paramètres!$A$1:$I$89,3,0)*VLOOKUP('Données projet'!$B$13,Paramètres!$A$1:$I$89,5,0)</f>
        <v>140.02493142857134</v>
      </c>
      <c r="CV77" s="14">
        <f t="shared" si="95"/>
        <v>36.302716876003622</v>
      </c>
      <c r="CW77" s="22">
        <f t="shared" si="67"/>
        <v>307.10398746380133</v>
      </c>
      <c r="CX77" s="62">
        <f t="shared" si="68"/>
        <v>600.43732079713459</v>
      </c>
      <c r="CY77" s="62">
        <f ca="1">AVERAGE(OFFSET($CX$3,0,0,'Données projet'!$E$13+1,1))-AVERAGE(OFFSET($H$3,0,0,'Données projet'!$E$13+1,1))</f>
        <v>302.06513069580848</v>
      </c>
      <c r="CZ77" s="62">
        <f t="shared" si="96"/>
        <v>164.1450425611464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48.56813967171523</v>
      </c>
      <c r="DG77" s="23">
        <f>EXP(-LN(2)/25)*DG76+(1-EXP(-LN(2)/25))/(LN(2)/25)*Calculateur!DB77*Calculateur!DD77*VLOOKUP('Données projet'!$B$13,Paramètres!$A$1:$I$89,3,0)*0.475*44/12</f>
        <v>24.554360512601171</v>
      </c>
      <c r="DH77" s="23">
        <f>EXP(-LN(2)/2)*DH76+(1-EXP(-LN(2)/2))/(LN(2)/2)*DB77*DE77*VLOOKUP('Données projet'!$B$13,Paramètres!$A$1:$I$89,3,0)*0.475*44/12</f>
        <v>7.02316620894522</v>
      </c>
      <c r="DI77" s="24">
        <f t="shared" si="69"/>
        <v>80.145666393261621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8.6770000000000014</v>
      </c>
      <c r="N78" s="14">
        <f>IF('Données projet'!$A$36&gt;35,N77+M78-V77,IF(A78&lt;'Données projet'!$A$36,$K$205^A78,IF(A78='Données projet'!$A$36,'Données projet'!$B$36,N77+M78-V77)))</f>
        <v>247.25700000000009</v>
      </c>
      <c r="O78" s="14">
        <f>N78*VLOOKUP('Données projet'!$B$9,Paramètres!$A$1:$I$89,3,0)*VLOOKUP('Données projet'!$B$9,Paramètres!$A$1:$I$89,5,0)</f>
        <v>223.71813360000007</v>
      </c>
      <c r="P78" s="14">
        <f t="shared" si="87"/>
        <v>54.92221376571495</v>
      </c>
      <c r="Q78" s="22">
        <f t="shared" si="54"/>
        <v>485.29860499528695</v>
      </c>
      <c r="R78" s="62">
        <f t="shared" si="55"/>
        <v>778.63193832862021</v>
      </c>
      <c r="S78" s="62">
        <f ca="1">AVERAGE(OFFSET($R$3,0,0,'Données projet'!$E$9+1,1))-AVERAGE(OFFSET($H$3,0,0,'Données projet'!$E$9+1,1))</f>
        <v>581.88778927327667</v>
      </c>
      <c r="T78" s="62">
        <f t="shared" si="88"/>
        <v>269.67340993773422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19.942340596721895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19.942340596721895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241</v>
      </c>
      <c r="AG78" s="13">
        <f>VLOOKUP(A78,'Données projet'!$A$61:$I$81,9,0)</f>
        <v>4.4000000000000004</v>
      </c>
      <c r="AH78" s="13">
        <f t="array" ref="AH78">INDEX(AG:AG,MIN(IF(ISNUMBER(AG78:AG274),ROW(AG78:AG274),"")))</f>
        <v>4.4000000000000004</v>
      </c>
      <c r="AI78" s="14">
        <f>IF('Données projet'!$A$62&gt;35,AI77+AH78-AQ77,IF(A78&lt;'Données projet'!$A$62,$AF$205^A78,IF(A78='Données projet'!$A$62,'Données projet'!$B$62,AI77+AH78-AQ77)))</f>
        <v>241.00000000000003</v>
      </c>
      <c r="AJ78" s="14">
        <f>AI78*VLOOKUP('Données projet'!$B$10,Paramètres!$A$1:$I$89,3,0)*VLOOKUP('Données projet'!$B$10,Paramètres!$A$1:$I$89,5,0)</f>
        <v>210.53760000000005</v>
      </c>
      <c r="AK78" s="14">
        <f t="shared" si="89"/>
        <v>52.053047337322276</v>
      </c>
      <c r="AL78" s="22">
        <f t="shared" si="58"/>
        <v>457.34537744583628</v>
      </c>
      <c r="AM78" s="62">
        <f t="shared" si="59"/>
        <v>750.67871077916959</v>
      </c>
      <c r="AN78" s="62">
        <f ca="1">AVERAGE(OFFSET($AM$3,0,0,'Données projet'!$E$10+1,1))-AVERAGE(OFFSET($H$3,0,0,'Données projet'!$E$10+1,1))</f>
        <v>354.24684313982857</v>
      </c>
      <c r="AO78" s="62">
        <f t="shared" si="90"/>
        <v>322.65043486962185</v>
      </c>
      <c r="AP78" s="16">
        <f>IF(ISNA(VLOOKUP(A78,'Données projet'!$A$61:$I$81,3,0)),0,VLOOKUP(A78,'Données projet'!$A$61:$I$81,3,0))</f>
        <v>14</v>
      </c>
      <c r="AQ78" s="16">
        <f>IF(ISNA(VLOOKUP(A78,'Données projet'!$A$61:$I$81,4,0)),0,VLOOKUP(A78,'Données projet'!$A$61:$I$81,4,0))</f>
        <v>16</v>
      </c>
      <c r="AR78" s="17">
        <f>IF(ISNA(VLOOKUP(A78,'Données projet'!$A$61:$I$81,5,0)),0%,VLOOKUP(A78,'Données projet'!$A$61:$I$81,5,0)*VLOOKUP('Données projet'!$B$10,Paramètres!$A$1:$I$89,7,0))</f>
        <v>0.25800000000000001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25.10100539078498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25.10100539078498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296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296.00000000000034</v>
      </c>
      <c r="BE78" s="14">
        <f>BD78*VLOOKUP('Données projet'!$B$11,Paramètres!$A$1:$I$89,3,0)*VLOOKUP('Données projet'!$B$11,Paramètres!$A$1:$I$89,5,0)</f>
        <v>281.67360000000031</v>
      </c>
      <c r="BF78" s="14">
        <f t="shared" si="91"/>
        <v>67.320565909728955</v>
      </c>
      <c r="BG78" s="22">
        <f t="shared" si="61"/>
        <v>607.83150562611183</v>
      </c>
      <c r="BH78" s="62">
        <f t="shared" si="62"/>
        <v>901.16483895944521</v>
      </c>
      <c r="BI78" s="62">
        <f ca="1">AVERAGE(OFFSET($BH$3,0,0,'Données projet'!$E$11+1,1))-AVERAGE(OFFSET($H$3,0,0,'Données projet'!$E$11+1,1))</f>
        <v>460.77543902152325</v>
      </c>
      <c r="BJ78" s="62">
        <f t="shared" si="92"/>
        <v>341.4342976721104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32</v>
      </c>
      <c r="BM78" s="17">
        <f>IF(ISNA(VLOOKUP(A78,'Données projet'!$A$87:$I$107,5,0)),0%,VLOOKUP(A78,'Données projet'!$A$87:$I$107,5,0)*VLOOKUP('Données projet'!$B$11,Paramètres!$A$1:$I$89,7,0))</f>
        <v>0.25800000000000001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35.64276178018109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35.64276178018109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12.888750000000002</v>
      </c>
      <c r="BY78" s="13">
        <f>IF('Données projet'!$A$114&gt;35,BY77+BX78-CG77,IF(A78&lt;'Données projet'!$A$114,$BV$205^A78,IF(A78='Données projet'!$A$114,'Données projet'!$B$114,BY77+BX78-CG77)))</f>
        <v>658.68124999999952</v>
      </c>
      <c r="BZ78" s="14">
        <f>BY78*VLOOKUP('Données projet'!$B$12,Paramètres!$A$1:$I$89,3,0)*VLOOKUP('Données projet'!$B$12,Paramètres!$A$1:$I$89,5,0)</f>
        <v>393.89138749999972</v>
      </c>
      <c r="CA78" s="14">
        <f t="shared" si="93"/>
        <v>90.537130758220258</v>
      </c>
      <c r="CB78" s="22">
        <f t="shared" si="64"/>
        <v>843.71300263306648</v>
      </c>
      <c r="CC78" s="62">
        <f t="shared" si="65"/>
        <v>1137.0463359663997</v>
      </c>
      <c r="CD78" s="62">
        <f ca="1">AVERAGE(OFFSET($CC$3,0,0,'Données projet'!$E$12+1,1))-AVERAGE(OFFSET($H$3,0,0,'Données projet'!$E$12+1,1))</f>
        <v>438.68915237247444</v>
      </c>
      <c r="CE78" s="62">
        <f t="shared" si="94"/>
        <v>376.94419168335452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63.645907428019015</v>
      </c>
      <c r="CL78" s="23">
        <f>EXP(-LN(2)/25)*CL77+(1-EXP(-LN(2)/25))/(LN(2)/25)*Calculateur!CG78*Calculateur!CI78*VLOOKUP('Données projet'!$B$12,Paramètres!$A$1:$I$89,3,0)*0.475*44/12</f>
        <v>13.065920395521477</v>
      </c>
      <c r="CM78" s="23">
        <f>EXP(-LN(2)/2)*CM77+(1-EXP(-LN(2)/2))/(LN(2)/2)*CG78*CJ78*VLOOKUP('Données projet'!$B$12,Paramètres!$A$1:$I$89,3,0)*0.475*44/12</f>
        <v>0.2434370748706452</v>
      </c>
      <c r="CN78" s="24">
        <f t="shared" si="66"/>
        <v>76.95526489841113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10.868571428571427</v>
      </c>
      <c r="CT78" s="13">
        <f>IF('Données projet'!$A$140&gt;35,CT77+CS78-DB77,IF(A78&lt;'Données projet'!$A$140,$CQ$205^A78,IF(A78='Données projet'!$A$140,'Données projet'!$B$140,CT77+CS78-DB77)))</f>
        <v>310.06714285714264</v>
      </c>
      <c r="CU78" s="18">
        <f>CT78*VLOOKUP('Données projet'!$B$13,Paramètres!$A$1:$I$89,3,0)*VLOOKUP('Données projet'!$B$13,Paramètres!$A$1:$I$89,5,0)</f>
        <v>145.11142285714274</v>
      </c>
      <c r="CV78" s="14">
        <f t="shared" si="95"/>
        <v>37.46550570898161</v>
      </c>
      <c r="CW78" s="22">
        <f t="shared" si="67"/>
        <v>317.9881505859999</v>
      </c>
      <c r="CX78" s="62">
        <f t="shared" si="68"/>
        <v>611.32148391933322</v>
      </c>
      <c r="CY78" s="62">
        <f ca="1">AVERAGE(OFFSET($CX$3,0,0,'Données projet'!$E$13+1,1))-AVERAGE(OFFSET($H$3,0,0,'Données projet'!$E$13+1,1))</f>
        <v>302.06513069580848</v>
      </c>
      <c r="CZ78" s="62">
        <f t="shared" si="96"/>
        <v>164.1450425611464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47.615748076393004</v>
      </c>
      <c r="DG78" s="23">
        <f>EXP(-LN(2)/25)*DG77+(1-EXP(-LN(2)/25))/(LN(2)/25)*Calculateur!DB78*Calculateur!DD78*VLOOKUP('Données projet'!$B$13,Paramètres!$A$1:$I$89,3,0)*0.475*44/12</f>
        <v>23.882920233126391</v>
      </c>
      <c r="DH78" s="23">
        <f>EXP(-LN(2)/2)*DH77+(1-EXP(-LN(2)/2))/(LN(2)/2)*DB78*DE78*VLOOKUP('Données projet'!$B$13,Paramètres!$A$1:$I$89,3,0)*0.475*44/12</f>
        <v>4.9661284517453828</v>
      </c>
      <c r="DI78" s="24">
        <f t="shared" si="69"/>
        <v>76.464796761264765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8.6770000000000014</v>
      </c>
      <c r="N79" s="14">
        <f>IF('Données projet'!$A$36&gt;35,N78+M79-V78,IF(A79&lt;'Données projet'!$A$36,$K$205^A79,IF(A79='Données projet'!$A$36,'Données projet'!$B$36,N78+M79-V78)))</f>
        <v>255.93400000000008</v>
      </c>
      <c r="O79" s="14">
        <f>N79*VLOOKUP('Données projet'!$B$9,Paramètres!$A$1:$I$89,3,0)*VLOOKUP('Données projet'!$B$9,Paramètres!$A$1:$I$89,5,0)</f>
        <v>231.56908320000005</v>
      </c>
      <c r="P79" s="14">
        <f t="shared" si="87"/>
        <v>56.621819638037671</v>
      </c>
      <c r="Q79" s="22">
        <f t="shared" si="54"/>
        <v>501.93248910958238</v>
      </c>
      <c r="R79" s="62">
        <f t="shared" si="55"/>
        <v>795.26582244291569</v>
      </c>
      <c r="S79" s="62">
        <f ca="1">AVERAGE(OFFSET($R$3,0,0,'Données projet'!$E$9+1,1))-AVERAGE(OFFSET($H$3,0,0,'Données projet'!$E$9+1,1))</f>
        <v>581.88778927327667</v>
      </c>
      <c r="T79" s="62">
        <f t="shared" si="88"/>
        <v>269.67340993773422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19.551283461246886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19.551283461246886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</v>
      </c>
      <c r="AI79" s="14">
        <f>IF('Données projet'!$A$62&gt;35,AI78+AH79-AQ78,IF(A79&lt;'Données projet'!$A$62,$AF$205^A79,IF(A79='Données projet'!$A$62,'Données projet'!$B$62,AI78+AH79-AQ78)))</f>
        <v>229.00000000000003</v>
      </c>
      <c r="AJ79" s="14">
        <f>AI79*VLOOKUP('Données projet'!$B$10,Paramètres!$A$1:$I$89,3,0)*VLOOKUP('Données projet'!$B$10,Paramètres!$A$1:$I$89,5,0)</f>
        <v>200.05440000000007</v>
      </c>
      <c r="AK79" s="14">
        <f t="shared" si="89"/>
        <v>49.756123009618236</v>
      </c>
      <c r="AL79" s="22">
        <f t="shared" si="58"/>
        <v>435.08666090841854</v>
      </c>
      <c r="AM79" s="62">
        <f t="shared" si="59"/>
        <v>728.41999424175185</v>
      </c>
      <c r="AN79" s="62">
        <f ca="1">AVERAGE(OFFSET($AM$3,0,0,'Données projet'!$E$10+1,1))-AVERAGE(OFFSET($H$3,0,0,'Données projet'!$E$10+1,1))</f>
        <v>354.24684313982857</v>
      </c>
      <c r="AO79" s="62">
        <f t="shared" si="90"/>
        <v>322.65043486962185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24.608789985173228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24.608789985173228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271.20000000000033</v>
      </c>
      <c r="BE79" s="14">
        <f>BD79*VLOOKUP('Données projet'!$B$11,Paramètres!$A$1:$I$89,3,0)*VLOOKUP('Données projet'!$B$11,Paramètres!$A$1:$I$89,5,0)</f>
        <v>258.07392000000033</v>
      </c>
      <c r="BF79" s="14">
        <f t="shared" si="91"/>
        <v>62.311638032734379</v>
      </c>
      <c r="BG79" s="22">
        <f t="shared" si="61"/>
        <v>558.00484690701285</v>
      </c>
      <c r="BH79" s="62">
        <f t="shared" si="62"/>
        <v>851.33818024034622</v>
      </c>
      <c r="BI79" s="62">
        <f ca="1">AVERAGE(OFFSET($BH$3,0,0,'Données projet'!$E$11+1,1))-AVERAGE(OFFSET($H$3,0,0,'Données projet'!$E$11+1,1))</f>
        <v>460.77543902152325</v>
      </c>
      <c r="BJ79" s="62">
        <f t="shared" si="92"/>
        <v>341.4342976721104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34.943828961609782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34.943828961609782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>
        <f>VLOOKUP(A79,'Données projet'!$A$113:$I$133,2,0)</f>
        <v>671.57</v>
      </c>
      <c r="BW79" s="13">
        <f>VLOOKUP(A79,'Données projet'!$A$113:$I$133,9,0)</f>
        <v>12.888750000000002</v>
      </c>
      <c r="BX79" s="13">
        <f t="array" ref="BX79">INDEX(BW:BW,MIN(IF(ISNUMBER(BW79:BW275),ROW(BW79:BW275),"")))</f>
        <v>12.888750000000002</v>
      </c>
      <c r="BY79" s="13">
        <f>IF('Données projet'!$A$114&gt;35,BY78+BX79-CG78,IF(A79&lt;'Données projet'!$A$114,$BV$205^A79,IF(A79='Données projet'!$A$114,'Données projet'!$B$114,BY78+BX79-CG78)))</f>
        <v>671.56999999999948</v>
      </c>
      <c r="BZ79" s="14">
        <f>BY79*VLOOKUP('Données projet'!$B$12,Paramètres!$A$1:$I$89,3,0)*VLOOKUP('Données projet'!$B$12,Paramètres!$A$1:$I$89,5,0)</f>
        <v>401.59885999999966</v>
      </c>
      <c r="CA79" s="14">
        <f t="shared" si="93"/>
        <v>92.10073425419408</v>
      </c>
      <c r="CB79" s="22">
        <f t="shared" si="64"/>
        <v>859.86012665938733</v>
      </c>
      <c r="CC79" s="62">
        <f t="shared" si="65"/>
        <v>1153.1934599927206</v>
      </c>
      <c r="CD79" s="62">
        <f ca="1">AVERAGE(OFFSET($CC$3,0,0,'Données projet'!$E$12+1,1))-AVERAGE(OFFSET($H$3,0,0,'Données projet'!$E$12+1,1))</f>
        <v>438.68915237247444</v>
      </c>
      <c r="CE79" s="62">
        <f t="shared" si="94"/>
        <v>376.94419168335452</v>
      </c>
      <c r="CF79" s="16">
        <f>IF(ISNA(VLOOKUP(A79,'Données projet'!$A$113:$I$133,3,0)),0,VLOOKUP(A79,'Données projet'!$A$113:$I$133,3,0))</f>
        <v>8</v>
      </c>
      <c r="CG79" s="16">
        <f>IF(ISNA(VLOOKUP(A79,'Données projet'!$A$113:$I$133,4,0)),0,VLOOKUP(A79,'Données projet'!$A$113:$I$133,4,0))</f>
        <v>671.57</v>
      </c>
      <c r="CH79" s="17">
        <f>IF(ISNA(VLOOKUP(A79,'Données projet'!$A$113:$I$133,5,0)),0%,VLOOKUP(A79,'Données projet'!$A$113:$I$133,5,0)*VLOOKUP('Données projet'!$B$12,Paramètres!$A$1:$I$89,7,0))</f>
        <v>0.36000000000000004</v>
      </c>
      <c r="CI79" s="17">
        <f>IF(ISNA(VLOOKUP(A79,'Données projet'!$A$113:$I$133,6,0)),0%,VLOOKUP(A79,'Données projet'!$A$113:$I$133,6,0)*VLOOKUP('Données projet'!$B$12,Paramètres!$A$1:$I$89,7,0))</f>
        <v>4.9500000000000002E-2</v>
      </c>
      <c r="CJ79" s="17">
        <f>IF(ISNA(VLOOKUP(A79,'Données projet'!$A$113:$I$133,7,0)),0%,VLOOKUP(A79,'Données projet'!$A$113:$I$133,7,0))</f>
        <v>0.09</v>
      </c>
      <c r="CK79" s="23">
        <f>EXP(-LN(2)/35)*CK78+(1-EXP(-LN(2)/35))/(LN(2)/35)*CG79*CH79*VLOOKUP('Données projet'!$B$12,Paramètres!$A$1:$I$89,3,0)*0.475*44/12</f>
        <v>254.18668829110038</v>
      </c>
      <c r="CL79" s="23">
        <f>EXP(-LN(2)/25)*CL78+(1-EXP(-LN(2)/25))/(LN(2)/25)*Calculateur!CG79*Calculateur!CI79*VLOOKUP('Données projet'!$B$12,Paramètres!$A$1:$I$89,3,0)*0.475*44/12</f>
        <v>38.975764841368516</v>
      </c>
      <c r="CM79" s="23">
        <f>EXP(-LN(2)/2)*CM78+(1-EXP(-LN(2)/2))/(LN(2)/2)*CG79*CJ79*VLOOKUP('Données projet'!$B$12,Paramètres!$A$1:$I$89,3,0)*0.475*44/12</f>
        <v>41.095424001196101</v>
      </c>
      <c r="CN79" s="24">
        <f t="shared" si="66"/>
        <v>334.25787713366498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10.868571428571427</v>
      </c>
      <c r="CT79" s="13">
        <f>IF('Données projet'!$A$140&gt;35,CT78+CS79-DB78,IF(A79&lt;'Données projet'!$A$140,$CQ$205^A79,IF(A79='Données projet'!$A$140,'Données projet'!$B$140,CT78+CS79-DB78)))</f>
        <v>320.93571428571408</v>
      </c>
      <c r="CU79" s="18">
        <f>CT79*VLOOKUP('Données projet'!$B$13,Paramètres!$A$1:$I$89,3,0)*VLOOKUP('Données projet'!$B$13,Paramètres!$A$1:$I$89,5,0)</f>
        <v>150.19791428571418</v>
      </c>
      <c r="CV79" s="14">
        <f t="shared" si="95"/>
        <v>38.6235589003687</v>
      </c>
      <c r="CW79" s="22">
        <f t="shared" si="67"/>
        <v>328.86406579909431</v>
      </c>
      <c r="CX79" s="62">
        <f t="shared" si="68"/>
        <v>622.19739913242756</v>
      </c>
      <c r="CY79" s="62">
        <f ca="1">AVERAGE(OFFSET($CX$3,0,0,'Données projet'!$E$13+1,1))-AVERAGE(OFFSET($H$3,0,0,'Données projet'!$E$13+1,1))</f>
        <v>302.06513069580848</v>
      </c>
      <c r="CZ79" s="62">
        <f t="shared" si="96"/>
        <v>164.1450425611464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46.68203229935353</v>
      </c>
      <c r="DG79" s="23">
        <f>EXP(-LN(2)/25)*DG78+(1-EXP(-LN(2)/25))/(LN(2)/25)*Calculateur!DB79*Calculateur!DD79*VLOOKUP('Données projet'!$B$13,Paramètres!$A$1:$I$89,3,0)*0.475*44/12</f>
        <v>23.229840523403361</v>
      </c>
      <c r="DH79" s="23">
        <f>EXP(-LN(2)/2)*DH78+(1-EXP(-LN(2)/2))/(LN(2)/2)*DB79*DE79*VLOOKUP('Données projet'!$B$13,Paramètres!$A$1:$I$89,3,0)*0.475*44/12</f>
        <v>3.5115831044726105</v>
      </c>
      <c r="DI79" s="24">
        <f t="shared" si="69"/>
        <v>73.423455927229497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8.6770000000000014</v>
      </c>
      <c r="N80" s="14">
        <f>IF('Données projet'!$A$36&gt;35,N79+M80-V79,IF(A80&lt;'Données projet'!$A$36,$K$205^A80,IF(A80='Données projet'!$A$36,'Données projet'!$B$36,N79+M80-V79)))</f>
        <v>264.6110000000001</v>
      </c>
      <c r="O80" s="14">
        <f>N80*VLOOKUP('Données projet'!$B$9,Paramètres!$A$1:$I$89,3,0)*VLOOKUP('Données projet'!$B$9,Paramètres!$A$1:$I$89,5,0)</f>
        <v>239.42003280000009</v>
      </c>
      <c r="P80" s="14">
        <f t="shared" si="87"/>
        <v>58.314730148380967</v>
      </c>
      <c r="Q80" s="22">
        <f t="shared" si="54"/>
        <v>518.55471213509702</v>
      </c>
      <c r="R80" s="62">
        <f t="shared" si="55"/>
        <v>811.88804546843039</v>
      </c>
      <c r="S80" s="62">
        <f ca="1">AVERAGE(OFFSET($R$3,0,0,'Données projet'!$E$9+1,1))-AVERAGE(OFFSET($H$3,0,0,'Données projet'!$E$9+1,1))</f>
        <v>581.88778927327667</v>
      </c>
      <c r="T80" s="62">
        <f t="shared" si="88"/>
        <v>269.67340993773422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19.167894717677239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19.167894717677239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</v>
      </c>
      <c r="AI80" s="14">
        <f>IF('Données projet'!$A$62&gt;35,AI79+AH80-AQ79,IF(A80&lt;'Données projet'!$A$62,$AF$205^A80,IF(A80='Données projet'!$A$62,'Données projet'!$B$62,AI79+AH80-AQ79)))</f>
        <v>233.00000000000003</v>
      </c>
      <c r="AJ80" s="14">
        <f>AI80*VLOOKUP('Données projet'!$B$10,Paramètres!$A$1:$I$89,3,0)*VLOOKUP('Données projet'!$B$10,Paramètres!$A$1:$I$89,5,0)</f>
        <v>203.54880000000003</v>
      </c>
      <c r="AK80" s="14">
        <f t="shared" si="89"/>
        <v>50.523286400023487</v>
      </c>
      <c r="AL80" s="22">
        <f t="shared" si="58"/>
        <v>442.50888381337427</v>
      </c>
      <c r="AM80" s="62">
        <f t="shared" si="59"/>
        <v>735.84221714670753</v>
      </c>
      <c r="AN80" s="62">
        <f ca="1">AVERAGE(OFFSET($AM$3,0,0,'Données projet'!$E$10+1,1))-AVERAGE(OFFSET($H$3,0,0,'Données projet'!$E$10+1,1))</f>
        <v>354.24684313982857</v>
      </c>
      <c r="AO80" s="62">
        <f t="shared" si="90"/>
        <v>322.65043486962185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24.12622662344377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24.12622662344377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278.40000000000032</v>
      </c>
      <c r="BE80" s="14">
        <f>BD80*VLOOKUP('Données projet'!$B$11,Paramètres!$A$1:$I$89,3,0)*VLOOKUP('Données projet'!$B$11,Paramètres!$A$1:$I$89,5,0)</f>
        <v>264.92544000000032</v>
      </c>
      <c r="BF80" s="14">
        <f t="shared" si="91"/>
        <v>63.771133239406325</v>
      </c>
      <c r="BG80" s="22">
        <f t="shared" si="61"/>
        <v>572.47986505863321</v>
      </c>
      <c r="BH80" s="62">
        <f t="shared" si="62"/>
        <v>865.81319839196658</v>
      </c>
      <c r="BI80" s="62">
        <f ca="1">AVERAGE(OFFSET($BH$3,0,0,'Données projet'!$E$11+1,1))-AVERAGE(OFFSET($H$3,0,0,'Données projet'!$E$11+1,1))</f>
        <v>460.77543902152325</v>
      </c>
      <c r="BJ80" s="62">
        <f t="shared" si="92"/>
        <v>341.4342976721104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34.258601789303732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34.258601789303732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-5.6843418860808015E-13</v>
      </c>
      <c r="BZ80" s="14">
        <f>BY80*VLOOKUP('Données projet'!$B$12,Paramètres!$A$1:$I$89,3,0)*VLOOKUP('Données projet'!$B$12,Paramètres!$A$1:$I$89,5,0)</f>
        <v>-3.39923644787632E-13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438.68915237247444</v>
      </c>
      <c r="CE80" s="62">
        <f t="shared" si="94"/>
        <v>376.94419168335452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249.20224237228297</v>
      </c>
      <c r="CL80" s="23">
        <f>EXP(-LN(2)/25)*CL79+(1-EXP(-LN(2)/25))/(LN(2)/25)*Calculateur!CG80*Calculateur!CI80*VLOOKUP('Données projet'!$B$12,Paramètres!$A$1:$I$89,3,0)*0.475*44/12</f>
        <v>37.909970502134904</v>
      </c>
      <c r="CM80" s="23">
        <f>EXP(-LN(2)/2)*CM79+(1-EXP(-LN(2)/2))/(LN(2)/2)*CG80*CJ80*VLOOKUP('Données projet'!$B$12,Paramètres!$A$1:$I$89,3,0)*0.475*44/12</f>
        <v>29.058852986982167</v>
      </c>
      <c r="CN80" s="24">
        <f t="shared" si="66"/>
        <v>316.17106586140005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10.868571428571427</v>
      </c>
      <c r="CT80" s="13">
        <f>IF('Données projet'!$A$140&gt;35,CT79+CS80-DB79,IF(A80&lt;'Données projet'!$A$140,$CQ$205^A80,IF(A80='Données projet'!$A$140,'Données projet'!$B$140,CT79+CS80-DB79)))</f>
        <v>331.80428571428553</v>
      </c>
      <c r="CU80" s="18">
        <f>CT80*VLOOKUP('Données projet'!$B$13,Paramètres!$A$1:$I$89,3,0)*VLOOKUP('Données projet'!$B$13,Paramètres!$A$1:$I$89,5,0)</f>
        <v>155.28440571428564</v>
      </c>
      <c r="CV80" s="14">
        <f t="shared" si="95"/>
        <v>39.777055208401343</v>
      </c>
      <c r="CW80" s="22">
        <f t="shared" si="67"/>
        <v>339.7320444403465</v>
      </c>
      <c r="CX80" s="62">
        <f t="shared" si="68"/>
        <v>633.06537777367976</v>
      </c>
      <c r="CY80" s="62">
        <f ca="1">AVERAGE(OFFSET($CX$3,0,0,'Données projet'!$E$13+1,1))-AVERAGE(OFFSET($H$3,0,0,'Données projet'!$E$13+1,1))</f>
        <v>302.06513069580848</v>
      </c>
      <c r="CZ80" s="62">
        <f t="shared" si="96"/>
        <v>164.1450425611464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45.766626119191415</v>
      </c>
      <c r="DG80" s="23">
        <f>EXP(-LN(2)/25)*DG79+(1-EXP(-LN(2)/25))/(LN(2)/25)*Calculateur!DB80*Calculateur!DD80*VLOOKUP('Données projet'!$B$13,Paramètres!$A$1:$I$89,3,0)*0.475*44/12</f>
        <v>22.594619312686675</v>
      </c>
      <c r="DH80" s="23">
        <f>EXP(-LN(2)/2)*DH79+(1-EXP(-LN(2)/2))/(LN(2)/2)*DB80*DE80*VLOOKUP('Données projet'!$B$13,Paramètres!$A$1:$I$89,3,0)*0.475*44/12</f>
        <v>2.4830642258726914</v>
      </c>
      <c r="DI80" s="24">
        <f t="shared" si="69"/>
        <v>70.844309657750784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8.6770000000000014</v>
      </c>
      <c r="N81" s="14">
        <f>IF('Données projet'!$A$36&gt;35,N80+M81-V80,IF(A81&lt;'Données projet'!$A$36,$K$205^A81,IF(A81='Données projet'!$A$36,'Données projet'!$B$36,N80+M81-V80)))</f>
        <v>273.28800000000012</v>
      </c>
      <c r="O81" s="14">
        <f>N81*VLOOKUP('Données projet'!$B$9,Paramètres!$A$1:$I$89,3,0)*VLOOKUP('Données projet'!$B$9,Paramètres!$A$1:$I$89,5,0)</f>
        <v>247.27098240000012</v>
      </c>
      <c r="P81" s="14">
        <f t="shared" si="87"/>
        <v>60.001190025553029</v>
      </c>
      <c r="Q81" s="22">
        <f t="shared" si="54"/>
        <v>535.16570030783839</v>
      </c>
      <c r="R81" s="62">
        <f t="shared" si="55"/>
        <v>828.49903364117176</v>
      </c>
      <c r="S81" s="62">
        <f ca="1">AVERAGE(OFFSET($R$3,0,0,'Données projet'!$E$9+1,1))-AVERAGE(OFFSET($H$3,0,0,'Données projet'!$E$9+1,1))</f>
        <v>581.88778927327667</v>
      </c>
      <c r="T81" s="62">
        <f t="shared" si="88"/>
        <v>269.67340993773422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18.79202399352495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18.79202399352495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</v>
      </c>
      <c r="AI81" s="14">
        <f>IF('Données projet'!$A$62&gt;35,AI80+AH81-AQ80,IF(A81&lt;'Données projet'!$A$62,$AF$205^A81,IF(A81='Données projet'!$A$62,'Données projet'!$B$62,AI80+AH81-AQ80)))</f>
        <v>237.00000000000003</v>
      </c>
      <c r="AJ81" s="14">
        <f>AI81*VLOOKUP('Données projet'!$B$10,Paramètres!$A$1:$I$89,3,0)*VLOOKUP('Données projet'!$B$10,Paramètres!$A$1:$I$89,5,0)</f>
        <v>207.04320000000004</v>
      </c>
      <c r="AK81" s="14">
        <f t="shared" si="89"/>
        <v>51.288918231806321</v>
      </c>
      <c r="AL81" s="22">
        <f t="shared" si="58"/>
        <v>449.92843925372944</v>
      </c>
      <c r="AM81" s="62">
        <f t="shared" si="59"/>
        <v>743.26177258706275</v>
      </c>
      <c r="AN81" s="62">
        <f ca="1">AVERAGE(OFFSET($AM$3,0,0,'Données projet'!$E$10+1,1))-AVERAGE(OFFSET($H$3,0,0,'Données projet'!$E$10+1,1))</f>
        <v>354.24684313982857</v>
      </c>
      <c r="AO81" s="62">
        <f t="shared" si="90"/>
        <v>322.65043486962185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23.653126034903238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23.653126034903238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285.60000000000031</v>
      </c>
      <c r="BE81" s="14">
        <f>BD81*VLOOKUP('Données projet'!$B$11,Paramètres!$A$1:$I$89,3,0)*VLOOKUP('Données projet'!$B$11,Paramètres!$A$1:$I$89,5,0)</f>
        <v>271.77696000000032</v>
      </c>
      <c r="BF81" s="14">
        <f t="shared" si="91"/>
        <v>65.226240951838349</v>
      </c>
      <c r="BG81" s="22">
        <f t="shared" si="61"/>
        <v>586.94724165778564</v>
      </c>
      <c r="BH81" s="62">
        <f t="shared" si="62"/>
        <v>880.28057499111901</v>
      </c>
      <c r="BI81" s="62">
        <f ca="1">AVERAGE(OFFSET($BH$3,0,0,'Données projet'!$E$11+1,1))-AVERAGE(OFFSET($H$3,0,0,'Données projet'!$E$11+1,1))</f>
        <v>460.77543902152325</v>
      </c>
      <c r="BJ81" s="62">
        <f t="shared" si="92"/>
        <v>341.4342976721104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33.586811503899298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33.586811503899298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-5.6843418860808015E-13</v>
      </c>
      <c r="BZ81" s="14">
        <f>BY81*VLOOKUP('Données projet'!$B$12,Paramètres!$A$1:$I$89,3,0)*VLOOKUP('Données projet'!$B$12,Paramètres!$A$1:$I$89,5,0)</f>
        <v>-3.39923644787632E-13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438.68915237247444</v>
      </c>
      <c r="CE81" s="62">
        <f t="shared" si="94"/>
        <v>376.94419168335452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244.31553839772175</v>
      </c>
      <c r="CL81" s="23">
        <f>EXP(-LN(2)/25)*CL80+(1-EXP(-LN(2)/25))/(LN(2)/25)*Calculateur!CG81*Calculateur!CI81*VLOOKUP('Données projet'!$B$12,Paramètres!$A$1:$I$89,3,0)*0.475*44/12</f>
        <v>36.873320365155323</v>
      </c>
      <c r="CM81" s="23">
        <f>EXP(-LN(2)/2)*CM80+(1-EXP(-LN(2)/2))/(LN(2)/2)*CG81*CJ81*VLOOKUP('Données projet'!$B$12,Paramètres!$A$1:$I$89,3,0)*0.475*44/12</f>
        <v>20.547712000598054</v>
      </c>
      <c r="CN81" s="24">
        <f t="shared" si="66"/>
        <v>301.73657076347513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10.868571428571427</v>
      </c>
      <c r="CT81" s="13">
        <f>IF('Données projet'!$A$140&gt;35,CT80+CS81-DB80,IF(A81&lt;'Données projet'!$A$140,$CQ$205^A81,IF(A81='Données projet'!$A$140,'Données projet'!$B$140,CT80+CS81-DB80)))</f>
        <v>342.67285714285697</v>
      </c>
      <c r="CU81" s="18">
        <f>CT81*VLOOKUP('Données projet'!$B$13,Paramètres!$A$1:$I$89,3,0)*VLOOKUP('Données projet'!$B$13,Paramètres!$A$1:$I$89,5,0)</f>
        <v>160.37089714285705</v>
      </c>
      <c r="CV81" s="14">
        <f t="shared" si="95"/>
        <v>40.926161015817783</v>
      </c>
      <c r="CW81" s="22">
        <f t="shared" si="67"/>
        <v>350.59237629302532</v>
      </c>
      <c r="CX81" s="62">
        <f t="shared" si="68"/>
        <v>643.92570962635864</v>
      </c>
      <c r="CY81" s="62">
        <f ca="1">AVERAGE(OFFSET($CX$3,0,0,'Données projet'!$E$13+1,1))-AVERAGE(OFFSET($H$3,0,0,'Données projet'!$E$13+1,1))</f>
        <v>302.06513069580848</v>
      </c>
      <c r="CZ81" s="62">
        <f t="shared" si="96"/>
        <v>164.1450425611464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44.869170495879636</v>
      </c>
      <c r="DG81" s="23">
        <f>EXP(-LN(2)/25)*DG80+(1-EXP(-LN(2)/25))/(LN(2)/25)*Calculateur!DB81*Calculateur!DD81*VLOOKUP('Données projet'!$B$13,Paramètres!$A$1:$I$89,3,0)*0.475*44/12</f>
        <v>21.976768259381867</v>
      </c>
      <c r="DH81" s="23">
        <f>EXP(-LN(2)/2)*DH80+(1-EXP(-LN(2)/2))/(LN(2)/2)*DB81*DE81*VLOOKUP('Données projet'!$B$13,Paramètres!$A$1:$I$89,3,0)*0.475*44/12</f>
        <v>1.7557915522363052</v>
      </c>
      <c r="DI81" s="24">
        <f t="shared" si="69"/>
        <v>68.601730307497803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8.6770000000000014</v>
      </c>
      <c r="N82" s="14">
        <f>IF('Données projet'!$A$36&gt;35,N81+M82-V81,IF(A82&lt;'Données projet'!$A$36,$K$205^A82,IF(A82='Données projet'!$A$36,'Données projet'!$B$36,N81+M82-V81)))</f>
        <v>281.96500000000015</v>
      </c>
      <c r="O82" s="14">
        <f>N82*VLOOKUP('Données projet'!$B$9,Paramètres!$A$1:$I$89,3,0)*VLOOKUP('Données projet'!$B$9,Paramètres!$A$1:$I$89,5,0)</f>
        <v>255.1219320000001</v>
      </c>
      <c r="P82" s="14">
        <f t="shared" si="87"/>
        <v>61.681427575411924</v>
      </c>
      <c r="Q82" s="22">
        <f t="shared" si="54"/>
        <v>551.76585126050918</v>
      </c>
      <c r="R82" s="62">
        <f t="shared" si="55"/>
        <v>845.09918459384244</v>
      </c>
      <c r="S82" s="62">
        <f ca="1">AVERAGE(OFFSET($R$3,0,0,'Données projet'!$E$9+1,1))-AVERAGE(OFFSET($H$3,0,0,'Données projet'!$E$9+1,1))</f>
        <v>581.88778927327667</v>
      </c>
      <c r="T82" s="62">
        <f t="shared" si="88"/>
        <v>269.67340993773422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18.423523865014783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18.423523865014783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</v>
      </c>
      <c r="AI82" s="14">
        <f>IF('Données projet'!$A$62&gt;35,AI81+AH82-AQ81,IF(A82&lt;'Données projet'!$A$62,$AF$205^A82,IF(A82='Données projet'!$A$62,'Données projet'!$B$62,AI81+AH82-AQ81)))</f>
        <v>241.00000000000003</v>
      </c>
      <c r="AJ82" s="14">
        <f>AI82*VLOOKUP('Données projet'!$B$10,Paramètres!$A$1:$I$89,3,0)*VLOOKUP('Données projet'!$B$10,Paramètres!$A$1:$I$89,5,0)</f>
        <v>210.53760000000005</v>
      </c>
      <c r="AK82" s="14">
        <f t="shared" si="89"/>
        <v>52.053047337322276</v>
      </c>
      <c r="AL82" s="22">
        <f t="shared" si="58"/>
        <v>457.34537744583628</v>
      </c>
      <c r="AM82" s="62">
        <f t="shared" si="59"/>
        <v>750.67871077916959</v>
      </c>
      <c r="AN82" s="62">
        <f ca="1">AVERAGE(OFFSET($AM$3,0,0,'Données projet'!$E$10+1,1))-AVERAGE(OFFSET($H$3,0,0,'Données projet'!$E$10+1,1))</f>
        <v>354.24684313982857</v>
      </c>
      <c r="AO82" s="62">
        <f t="shared" si="90"/>
        <v>322.65043486962185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23.18930266034112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23.18930266034112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292.8000000000003</v>
      </c>
      <c r="BE82" s="14">
        <f>BD82*VLOOKUP('Données projet'!$B$11,Paramètres!$A$1:$I$89,3,0)*VLOOKUP('Données projet'!$B$11,Paramètres!$A$1:$I$89,5,0)</f>
        <v>278.62848000000031</v>
      </c>
      <c r="BF82" s="14">
        <f t="shared" si="91"/>
        <v>66.677084499456754</v>
      </c>
      <c r="BG82" s="22">
        <f t="shared" si="61"/>
        <v>601.40719150322104</v>
      </c>
      <c r="BH82" s="62">
        <f t="shared" si="62"/>
        <v>894.74052483655441</v>
      </c>
      <c r="BI82" s="62">
        <f ca="1">AVERAGE(OFFSET($BH$3,0,0,'Données projet'!$E$11+1,1))-AVERAGE(OFFSET($H$3,0,0,'Données projet'!$E$11+1,1))</f>
        <v>460.77543902152325</v>
      </c>
      <c r="BJ82" s="62">
        <f t="shared" si="92"/>
        <v>341.4342976721104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32.928194616240035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32.928194616240035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-5.6843418860808015E-13</v>
      </c>
      <c r="BZ82" s="14">
        <f>BY82*VLOOKUP('Données projet'!$B$12,Paramètres!$A$1:$I$89,3,0)*VLOOKUP('Données projet'!$B$12,Paramètres!$A$1:$I$89,5,0)</f>
        <v>-3.39923644787632E-13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438.68915237247444</v>
      </c>
      <c r="CE82" s="62">
        <f t="shared" si="94"/>
        <v>376.94419168335452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239.52465970750657</v>
      </c>
      <c r="CL82" s="23">
        <f>EXP(-LN(2)/25)*CL81+(1-EXP(-LN(2)/25))/(LN(2)/25)*Calculateur!CG82*Calculateur!CI82*VLOOKUP('Données projet'!$B$12,Paramètres!$A$1:$I$89,3,0)*0.475*44/12</f>
        <v>35.865017480686504</v>
      </c>
      <c r="CM82" s="23">
        <f>EXP(-LN(2)/2)*CM81+(1-EXP(-LN(2)/2))/(LN(2)/2)*CG82*CJ82*VLOOKUP('Données projet'!$B$12,Paramètres!$A$1:$I$89,3,0)*0.475*44/12</f>
        <v>14.529426493491085</v>
      </c>
      <c r="CN82" s="24">
        <f t="shared" si="66"/>
        <v>289.91910368168419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10.868571428571427</v>
      </c>
      <c r="CT82" s="13">
        <f>IF('Données projet'!$A$140&gt;35,CT81+CS82-DB81,IF(A82&lt;'Données projet'!$A$140,$CQ$205^A82,IF(A82='Données projet'!$A$140,'Données projet'!$B$140,CT81+CS82-DB81)))</f>
        <v>353.54142857142841</v>
      </c>
      <c r="CU82" s="18">
        <f>CT82*VLOOKUP('Données projet'!$B$13,Paramètres!$A$1:$I$89,3,0)*VLOOKUP('Données projet'!$B$13,Paramètres!$A$1:$I$89,5,0)</f>
        <v>165.45738857142848</v>
      </c>
      <c r="CV82" s="14">
        <f t="shared" si="95"/>
        <v>42.071031551669542</v>
      </c>
      <c r="CW82" s="22">
        <f t="shared" si="67"/>
        <v>361.44533171439571</v>
      </c>
      <c r="CX82" s="62">
        <f t="shared" si="68"/>
        <v>654.77866504772896</v>
      </c>
      <c r="CY82" s="62">
        <f ca="1">AVERAGE(OFFSET($CX$3,0,0,'Données projet'!$E$13+1,1))-AVERAGE(OFFSET($H$3,0,0,'Données projet'!$E$13+1,1))</f>
        <v>302.06513069580848</v>
      </c>
      <c r="CZ82" s="62">
        <f t="shared" si="96"/>
        <v>164.1450425611464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43.989313429947124</v>
      </c>
      <c r="DG82" s="23">
        <f>EXP(-LN(2)/25)*DG81+(1-EXP(-LN(2)/25))/(LN(2)/25)*Calculateur!DB82*Calculateur!DD82*VLOOKUP('Données projet'!$B$13,Paramètres!$A$1:$I$89,3,0)*0.475*44/12</f>
        <v>21.375812375621056</v>
      </c>
      <c r="DH82" s="23">
        <f>EXP(-LN(2)/2)*DH81+(1-EXP(-LN(2)/2))/(LN(2)/2)*DB82*DE82*VLOOKUP('Données projet'!$B$13,Paramètres!$A$1:$I$89,3,0)*0.475*44/12</f>
        <v>1.2415321129363457</v>
      </c>
      <c r="DI82" s="24">
        <f t="shared" si="69"/>
        <v>66.606657918504524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8.6770000000000014</v>
      </c>
      <c r="N83" s="14">
        <f>IF('Données projet'!$A$36&gt;35,N82+M83-V82,IF(A83&lt;'Données projet'!$A$36,$K$205^A83,IF(A83='Données projet'!$A$36,'Données projet'!$B$36,N82+M83-V82)))</f>
        <v>290.64200000000017</v>
      </c>
      <c r="O83" s="14">
        <f>N83*VLOOKUP('Données projet'!$B$9,Paramètres!$A$1:$I$89,3,0)*VLOOKUP('Données projet'!$B$9,Paramètres!$A$1:$I$89,5,0)</f>
        <v>262.97288160000016</v>
      </c>
      <c r="P83" s="14">
        <f t="shared" si="87"/>
        <v>63.355656254051972</v>
      </c>
      <c r="Q83" s="22">
        <f t="shared" si="54"/>
        <v>568.35553676247412</v>
      </c>
      <c r="R83" s="62">
        <f t="shared" si="55"/>
        <v>861.68887009580749</v>
      </c>
      <c r="S83" s="62">
        <f ca="1">AVERAGE(OFFSET($R$3,0,0,'Données projet'!$E$9+1,1))-AVERAGE(OFFSET($H$3,0,0,'Données projet'!$E$9+1,1))</f>
        <v>581.88778927327667</v>
      </c>
      <c r="T83" s="62">
        <f t="shared" si="88"/>
        <v>269.67340993773422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18.062249799261814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18.062249799261814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245</v>
      </c>
      <c r="AG83" s="13">
        <f>VLOOKUP(A83,'Données projet'!$A$61:$I$81,9,0)</f>
        <v>4</v>
      </c>
      <c r="AH83" s="13">
        <f t="array" ref="AH83">INDEX(AG:AG,MIN(IF(ISNUMBER(AG83:AG279),ROW(AG83:AG279),"")))</f>
        <v>4</v>
      </c>
      <c r="AI83" s="14">
        <f>IF('Données projet'!$A$62&gt;35,AI82+AH83-AQ82,IF(A83&lt;'Données projet'!$A$62,$AF$205^A83,IF(A83='Données projet'!$A$62,'Données projet'!$B$62,AI82+AH83-AQ82)))</f>
        <v>245.00000000000003</v>
      </c>
      <c r="AJ83" s="14">
        <f>AI83*VLOOKUP('Données projet'!$B$10,Paramètres!$A$1:$I$89,3,0)*VLOOKUP('Données projet'!$B$10,Paramètres!$A$1:$I$89,5,0)</f>
        <v>214.03200000000004</v>
      </c>
      <c r="AK83" s="14">
        <f t="shared" si="89"/>
        <v>52.815701536972242</v>
      </c>
      <c r="AL83" s="22">
        <f t="shared" si="58"/>
        <v>464.75974684356009</v>
      </c>
      <c r="AM83" s="62">
        <f t="shared" si="59"/>
        <v>758.09308017689341</v>
      </c>
      <c r="AN83" s="62">
        <f ca="1">AVERAGE(OFFSET($AM$3,0,0,'Données projet'!$E$10+1,1))-AVERAGE(OFFSET($H$3,0,0,'Données projet'!$E$10+1,1))</f>
        <v>354.24684313982857</v>
      </c>
      <c r="AO83" s="62">
        <f t="shared" si="90"/>
        <v>322.65043486962185</v>
      </c>
      <c r="AP83" s="16">
        <f>IF(ISNA(VLOOKUP(A83,'Données projet'!$A$61:$I$81,3,0)),0,VLOOKUP(A83,'Données projet'!$A$61:$I$81,3,0))</f>
        <v>15</v>
      </c>
      <c r="AQ83" s="16">
        <f>IF(ISNA(VLOOKUP(A83,'Données projet'!$A$61:$I$81,4,0)),0,VLOOKUP(A83,'Données projet'!$A$61:$I$81,4,0))</f>
        <v>15</v>
      </c>
      <c r="AR83" s="17">
        <f>IF(ISNA(VLOOKUP(A83,'Données projet'!$A$61:$I$81,5,0)),0%,VLOOKUP(A83,'Données projet'!$A$61:$I$81,5,0)*VLOOKUP('Données projet'!$B$10,Paramètres!$A$1:$I$89,7,0))</f>
        <v>0.30099999999999999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27.094885819123174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27.094885819123174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300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300.00000000000028</v>
      </c>
      <c r="BE83" s="14">
        <f>BD83*VLOOKUP('Données projet'!$B$11,Paramètres!$A$1:$I$89,3,0)*VLOOKUP('Données projet'!$B$11,Paramètres!$A$1:$I$89,5,0)</f>
        <v>285.4800000000003</v>
      </c>
      <c r="BF83" s="14">
        <f t="shared" si="91"/>
        <v>68.123780800530824</v>
      </c>
      <c r="BG83" s="22">
        <f t="shared" si="61"/>
        <v>615.85991822759172</v>
      </c>
      <c r="BH83" s="62">
        <f t="shared" si="62"/>
        <v>909.19325156092509</v>
      </c>
      <c r="BI83" s="62">
        <f ca="1">AVERAGE(OFFSET($BH$3,0,0,'Données projet'!$E$11+1,1))-AVERAGE(OFFSET($H$3,0,0,'Données projet'!$E$11+1,1))</f>
        <v>460.77543902152325</v>
      </c>
      <c r="BJ83" s="62">
        <f t="shared" si="92"/>
        <v>341.4342976721104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32</v>
      </c>
      <c r="BM83" s="17">
        <f>IF(ISNA(VLOOKUP(A83,'Données projet'!$A$87:$I$107,5,0)),0%,VLOOKUP(A83,'Données projet'!$A$87:$I$107,5,0)*VLOOKUP('Données projet'!$B$11,Paramètres!$A$1:$I$89,7,0))</f>
        <v>0.30099999999999999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42.415025590022495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42.415025590022495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-5.6843418860808015E-13</v>
      </c>
      <c r="BZ83" s="14">
        <f>BY83*VLOOKUP('Données projet'!$B$12,Paramètres!$A$1:$I$89,3,0)*VLOOKUP('Données projet'!$B$12,Paramètres!$A$1:$I$89,5,0)</f>
        <v>-3.39923644787632E-13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438.68915237247444</v>
      </c>
      <c r="CE83" s="62">
        <f t="shared" si="94"/>
        <v>376.94419168335452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234.82772722625904</v>
      </c>
      <c r="CL83" s="23">
        <f>EXP(-LN(2)/25)*CL82+(1-EXP(-LN(2)/25))/(LN(2)/25)*Calculateur!CG83*Calculateur!CI83*VLOOKUP('Données projet'!$B$12,Paramètres!$A$1:$I$89,3,0)*0.475*44/12</f>
        <v>34.884286691617831</v>
      </c>
      <c r="CM83" s="23">
        <f>EXP(-LN(2)/2)*CM82+(1-EXP(-LN(2)/2))/(LN(2)/2)*CG83*CJ83*VLOOKUP('Données projet'!$B$12,Paramètres!$A$1:$I$89,3,0)*0.475*44/12</f>
        <v>10.273856000299029</v>
      </c>
      <c r="CN83" s="24">
        <f t="shared" si="66"/>
        <v>279.98586991817592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364.41</v>
      </c>
      <c r="CR83" s="13">
        <f>VLOOKUP(A83,'Données projet'!$A$139:$I$159,9,0)</f>
        <v>10.868571428571427</v>
      </c>
      <c r="CS83" s="13">
        <f t="array" ref="CS83">INDEX(CR:CR,MIN(IF(ISNUMBER(CR83:CR279),ROW(CR83:CR279),"")))</f>
        <v>10.868571428571427</v>
      </c>
      <c r="CT83" s="13">
        <f>IF('Données projet'!$A$140&gt;35,CT82+CS83-DB82,IF(A83&lt;'Données projet'!$A$140,$CQ$205^A83,IF(A83='Données projet'!$A$140,'Données projet'!$B$140,CT82+CS83-DB82)))</f>
        <v>364.40999999999985</v>
      </c>
      <c r="CU83" s="18">
        <f>CT83*VLOOKUP('Données projet'!$B$13,Paramètres!$A$1:$I$89,3,0)*VLOOKUP('Données projet'!$B$13,Paramètres!$A$1:$I$89,5,0)</f>
        <v>170.54387999999994</v>
      </c>
      <c r="CV83" s="14">
        <f t="shared" si="95"/>
        <v>43.2118119586681</v>
      </c>
      <c r="CW83" s="22">
        <f t="shared" si="67"/>
        <v>372.29116349468018</v>
      </c>
      <c r="CX83" s="62">
        <f t="shared" si="68"/>
        <v>665.62449682801343</v>
      </c>
      <c r="CY83" s="62">
        <f ca="1">AVERAGE(OFFSET($CX$3,0,0,'Données projet'!$E$13+1,1))-AVERAGE(OFFSET($H$3,0,0,'Données projet'!$E$13+1,1))</f>
        <v>302.06513069580848</v>
      </c>
      <c r="CZ83" s="62">
        <f t="shared" si="96"/>
        <v>164.1450425611464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43.12670982441773</v>
      </c>
      <c r="DG83" s="23">
        <f>EXP(-LN(2)/25)*DG82+(1-EXP(-LN(2)/25))/(LN(2)/25)*Calculateur!DB83*Calculateur!DD83*VLOOKUP('Données projet'!$B$13,Paramètres!$A$1:$I$89,3,0)*0.475*44/12</f>
        <v>20.791289662104582</v>
      </c>
      <c r="DH83" s="23">
        <f>EXP(-LN(2)/2)*DH82+(1-EXP(-LN(2)/2))/(LN(2)/2)*DB83*DE83*VLOOKUP('Données projet'!$B$13,Paramètres!$A$1:$I$89,3,0)*0.475*44/12</f>
        <v>0.87789577611815262</v>
      </c>
      <c r="DI83" s="24">
        <f t="shared" si="69"/>
        <v>64.795895262640471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8.6770000000000014</v>
      </c>
      <c r="N84" s="14">
        <f>IF('Données projet'!$A$36&gt;35,N83+M84-V83,IF(A84&lt;'Données projet'!$A$36,$K$205^A84,IF(A84='Données projet'!$A$36,'Données projet'!$B$36,N83+M84-V83)))</f>
        <v>299.31900000000019</v>
      </c>
      <c r="O84" s="14">
        <f>N84*VLOOKUP('Données projet'!$B$9,Paramètres!$A$1:$I$89,3,0)*VLOOKUP('Données projet'!$B$9,Paramètres!$A$1:$I$89,5,0)</f>
        <v>270.8238312000002</v>
      </c>
      <c r="P84" s="14">
        <f t="shared" si="87"/>
        <v>65.024076047844915</v>
      </c>
      <c r="Q84" s="22">
        <f t="shared" si="54"/>
        <v>584.93510512333023</v>
      </c>
      <c r="R84" s="62">
        <f t="shared" si="55"/>
        <v>878.26843845666349</v>
      </c>
      <c r="S84" s="62">
        <f ca="1">AVERAGE(OFFSET($R$3,0,0,'Données projet'!$E$9+1,1))-AVERAGE(OFFSET($H$3,0,0,'Données projet'!$E$9+1,1))</f>
        <v>581.88778927327667</v>
      </c>
      <c r="T84" s="62">
        <f t="shared" si="88"/>
        <v>269.67340993773422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17.708060097582841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17.708060097582841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3.6</v>
      </c>
      <c r="AI84" s="14">
        <f>IF('Données projet'!$A$62&gt;35,AI83+AH84-AQ83,IF(A84&lt;'Données projet'!$A$62,$AF$205^A84,IF(A84='Données projet'!$A$62,'Données projet'!$B$62,AI83+AH84-AQ83)))</f>
        <v>233.60000000000002</v>
      </c>
      <c r="AJ84" s="14">
        <f>AI84*VLOOKUP('Données projet'!$B$10,Paramètres!$A$1:$I$89,3,0)*VLOOKUP('Données projet'!$B$10,Paramètres!$A$1:$I$89,5,0)</f>
        <v>204.07296000000005</v>
      </c>
      <c r="AK84" s="14">
        <f t="shared" si="89"/>
        <v>50.638228095278635</v>
      </c>
      <c r="AL84" s="22">
        <f t="shared" si="58"/>
        <v>443.62198593261041</v>
      </c>
      <c r="AM84" s="62">
        <f t="shared" si="59"/>
        <v>736.95531926594367</v>
      </c>
      <c r="AN84" s="62">
        <f ca="1">AVERAGE(OFFSET($AM$3,0,0,'Données projet'!$E$10+1,1))-AVERAGE(OFFSET($H$3,0,0,'Données projet'!$E$10+1,1))</f>
        <v>354.24684313982857</v>
      </c>
      <c r="AO84" s="62">
        <f t="shared" si="90"/>
        <v>322.65043486962185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26.563571634458686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26.563571634458686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7.2</v>
      </c>
      <c r="BD84" s="13">
        <f>IF('Données projet'!$A$88&gt;35,BD83+BC84-BL83,IF(A84&lt;'Données projet'!$A$88,$BA$205^A84,IF(A84='Données projet'!$A$88,'Données projet'!$B$88,BD83+BC84-BL83)))</f>
        <v>275.20000000000027</v>
      </c>
      <c r="BE84" s="14">
        <f>BD84*VLOOKUP('Données projet'!$B$11,Paramètres!$A$1:$I$89,3,0)*VLOOKUP('Données projet'!$B$11,Paramètres!$A$1:$I$89,5,0)</f>
        <v>261.88032000000027</v>
      </c>
      <c r="BF84" s="14">
        <f t="shared" si="91"/>
        <v>63.123017945851778</v>
      </c>
      <c r="BG84" s="22">
        <f t="shared" si="61"/>
        <v>566.04748025569222</v>
      </c>
      <c r="BH84" s="62">
        <f t="shared" si="62"/>
        <v>859.38081358902559</v>
      </c>
      <c r="BI84" s="62">
        <f ca="1">AVERAGE(OFFSET($BH$3,0,0,'Données projet'!$E$11+1,1))-AVERAGE(OFFSET($H$3,0,0,'Données projet'!$E$11+1,1))</f>
        <v>460.77543902152325</v>
      </c>
      <c r="BJ84" s="62">
        <f t="shared" si="92"/>
        <v>341.4342976721104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41.583292808813255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41.583292808813255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-5.6843418860808015E-13</v>
      </c>
      <c r="BZ84" s="14">
        <f>BY84*VLOOKUP('Données projet'!$B$12,Paramètres!$A$1:$I$89,3,0)*VLOOKUP('Données projet'!$B$12,Paramètres!$A$1:$I$89,5,0)</f>
        <v>-3.39923644787632E-13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438.68915237247444</v>
      </c>
      <c r="CE84" s="62">
        <f t="shared" si="94"/>
        <v>376.94419168335452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230.22289872612285</v>
      </c>
      <c r="CL84" s="23">
        <f>EXP(-LN(2)/25)*CL83+(1-EXP(-LN(2)/25))/(LN(2)/25)*Calculateur!CG84*Calculateur!CI84*VLOOKUP('Données projet'!$B$12,Paramètres!$A$1:$I$89,3,0)*0.475*44/12</f>
        <v>33.930374037550635</v>
      </c>
      <c r="CM84" s="23">
        <f>EXP(-LN(2)/2)*CM83+(1-EXP(-LN(2)/2))/(LN(2)/2)*CG84*CJ84*VLOOKUP('Données projet'!$B$12,Paramètres!$A$1:$I$89,3,0)*0.475*44/12</f>
        <v>7.2647132467455444</v>
      </c>
      <c r="CN84" s="24">
        <f t="shared" si="66"/>
        <v>271.41798601041904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11.15</v>
      </c>
      <c r="CT84" s="13">
        <f>IF('Données projet'!$A$140&gt;35,CT83+CS84-DB83,IF(A84&lt;'Données projet'!$A$140,$CQ$205^A84,IF(A84='Données projet'!$A$140,'Données projet'!$B$140,CT83+CS84-DB83)))</f>
        <v>375.55999999999983</v>
      </c>
      <c r="CU84" s="18">
        <f>CT84*VLOOKUP('Données projet'!$B$13,Paramètres!$A$1:$I$89,3,0)*VLOOKUP('Données projet'!$B$13,Paramètres!$A$1:$I$89,5,0)</f>
        <v>175.76207999999991</v>
      </c>
      <c r="CV84" s="14">
        <f t="shared" si="95"/>
        <v>44.378023620059302</v>
      </c>
      <c r="CW84" s="22">
        <f t="shared" si="67"/>
        <v>383.41068047160314</v>
      </c>
      <c r="CX84" s="62">
        <f t="shared" si="68"/>
        <v>676.74401380493646</v>
      </c>
      <c r="CY84" s="62">
        <f ca="1">AVERAGE(OFFSET($CX$3,0,0,'Données projet'!$E$13+1,1))-AVERAGE(OFFSET($H$3,0,0,'Données projet'!$E$13+1,1))</f>
        <v>302.06513069580848</v>
      </c>
      <c r="CZ84" s="62">
        <f t="shared" si="96"/>
        <v>164.1450425611464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42.281021349456516</v>
      </c>
      <c r="DG84" s="23">
        <f>EXP(-LN(2)/25)*DG83+(1-EXP(-LN(2)/25))/(LN(2)/25)*Calculateur!DB84*Calculateur!DD84*VLOOKUP('Données projet'!$B$13,Paramètres!$A$1:$I$89,3,0)*0.475*44/12</f>
        <v>20.222750752927929</v>
      </c>
      <c r="DH84" s="23">
        <f>EXP(-LN(2)/2)*DH83+(1-EXP(-LN(2)/2))/(LN(2)/2)*DB84*DE84*VLOOKUP('Données projet'!$B$13,Paramètres!$A$1:$I$89,3,0)*0.475*44/12</f>
        <v>0.62076605646817284</v>
      </c>
      <c r="DI84" s="24">
        <f t="shared" si="69"/>
        <v>63.124538158852616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8.6770000000000014</v>
      </c>
      <c r="N85" s="14">
        <f>IF('Données projet'!$A$36&gt;35,N84+M85-V84,IF(A85&lt;'Données projet'!$A$36,$K$205^A85,IF(A85='Données projet'!$A$36,'Données projet'!$B$36,N84+M85-V84)))</f>
        <v>307.99600000000021</v>
      </c>
      <c r="O85" s="14">
        <f>N85*VLOOKUP('Données projet'!$B$9,Paramètres!$A$1:$I$89,3,0)*VLOOKUP('Données projet'!$B$9,Paramètres!$A$1:$I$89,5,0)</f>
        <v>278.67478080000018</v>
      </c>
      <c r="P85" s="14">
        <f t="shared" si="87"/>
        <v>66.686874688958113</v>
      </c>
      <c r="Q85" s="22">
        <f t="shared" si="54"/>
        <v>601.50488330993562</v>
      </c>
      <c r="R85" s="62">
        <f t="shared" si="55"/>
        <v>894.83821664326888</v>
      </c>
      <c r="S85" s="62">
        <f ca="1">AVERAGE(OFFSET($R$3,0,0,'Données projet'!$E$9+1,1))-AVERAGE(OFFSET($H$3,0,0,'Données projet'!$E$9+1,1))</f>
        <v>581.88778927327667</v>
      </c>
      <c r="T85" s="62">
        <f t="shared" si="88"/>
        <v>269.67340993773422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17.360815839919407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17.360815839919407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3.6</v>
      </c>
      <c r="AI85" s="14">
        <f>IF('Données projet'!$A$62&gt;35,AI84+AH85-AQ84,IF(A85&lt;'Données projet'!$A$62,$AF$205^A85,IF(A85='Données projet'!$A$62,'Données projet'!$B$62,AI84+AH85-AQ84)))</f>
        <v>237.20000000000002</v>
      </c>
      <c r="AJ85" s="14">
        <f>AI85*VLOOKUP('Données projet'!$B$10,Paramètres!$A$1:$I$89,3,0)*VLOOKUP('Données projet'!$B$10,Paramètres!$A$1:$I$89,5,0)</f>
        <v>207.21792000000005</v>
      </c>
      <c r="AK85" s="14">
        <f t="shared" si="89"/>
        <v>51.327160141561521</v>
      </c>
      <c r="AL85" s="22">
        <f t="shared" si="58"/>
        <v>450.29934791321972</v>
      </c>
      <c r="AM85" s="62">
        <f t="shared" si="59"/>
        <v>743.63268124655303</v>
      </c>
      <c r="AN85" s="62">
        <f ca="1">AVERAGE(OFFSET($AM$3,0,0,'Données projet'!$E$10+1,1))-AVERAGE(OFFSET($H$3,0,0,'Données projet'!$E$10+1,1))</f>
        <v>354.24684313982857</v>
      </c>
      <c r="AO85" s="62">
        <f t="shared" si="90"/>
        <v>322.65043486962185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26.042676196885814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26.042676196885814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7.2</v>
      </c>
      <c r="BD85" s="13">
        <f>IF('Données projet'!$A$88&gt;35,BD84+BC85-BL84,IF(A85&lt;'Données projet'!$A$88,$BA$205^A85,IF(A85='Données projet'!$A$88,'Données projet'!$B$88,BD84+BC85-BL84)))</f>
        <v>282.40000000000026</v>
      </c>
      <c r="BE85" s="14">
        <f>BD85*VLOOKUP('Données projet'!$B$11,Paramètres!$A$1:$I$89,3,0)*VLOOKUP('Données projet'!$B$11,Paramètres!$A$1:$I$89,5,0)</f>
        <v>268.73184000000026</v>
      </c>
      <c r="BF85" s="14">
        <f t="shared" si="91"/>
        <v>64.580060030106694</v>
      </c>
      <c r="BG85" s="22">
        <f t="shared" si="61"/>
        <v>580.51822588576954</v>
      </c>
      <c r="BH85" s="62">
        <f t="shared" si="62"/>
        <v>873.85155921910291</v>
      </c>
      <c r="BI85" s="62">
        <f ca="1">AVERAGE(OFFSET($BH$3,0,0,'Données projet'!$E$11+1,1))-AVERAGE(OFFSET($H$3,0,0,'Données projet'!$E$11+1,1))</f>
        <v>460.77543902152325</v>
      </c>
      <c r="BJ85" s="62">
        <f t="shared" si="92"/>
        <v>341.4342976721104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40.767869800136623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40.767869800136623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-5.6843418860808015E-13</v>
      </c>
      <c r="BZ85" s="14">
        <f>BY85*VLOOKUP('Données projet'!$B$12,Paramètres!$A$1:$I$89,3,0)*VLOOKUP('Données projet'!$B$12,Paramètres!$A$1:$I$89,5,0)</f>
        <v>-3.39923644787632E-13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438.68915237247444</v>
      </c>
      <c r="CE85" s="62">
        <f t="shared" si="94"/>
        <v>376.94419168335452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225.70836810420627</v>
      </c>
      <c r="CL85" s="23">
        <f>EXP(-LN(2)/25)*CL84+(1-EXP(-LN(2)/25))/(LN(2)/25)*Calculateur!CG85*Calculateur!CI85*VLOOKUP('Données projet'!$B$12,Paramètres!$A$1:$I$89,3,0)*0.475*44/12</f>
        <v>33.002546175172988</v>
      </c>
      <c r="CM85" s="23">
        <f>EXP(-LN(2)/2)*CM84+(1-EXP(-LN(2)/2))/(LN(2)/2)*CG85*CJ85*VLOOKUP('Données projet'!$B$12,Paramètres!$A$1:$I$89,3,0)*0.475*44/12</f>
        <v>5.1369280001495152</v>
      </c>
      <c r="CN85" s="24">
        <f t="shared" si="66"/>
        <v>263.84784227952878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11.15</v>
      </c>
      <c r="CT85" s="13">
        <f>IF('Données projet'!$A$140&gt;35,CT84+CS85-DB84,IF(A85&lt;'Données projet'!$A$140,$CQ$205^A85,IF(A85='Données projet'!$A$140,'Données projet'!$B$140,CT84+CS85-DB84)))</f>
        <v>386.70999999999981</v>
      </c>
      <c r="CU85" s="18">
        <f>CT85*VLOOKUP('Données projet'!$B$13,Paramètres!$A$1:$I$89,3,0)*VLOOKUP('Données projet'!$B$13,Paramètres!$A$1:$I$89,5,0)</f>
        <v>180.98027999999994</v>
      </c>
      <c r="CV85" s="14">
        <f t="shared" si="95"/>
        <v>45.540211419129371</v>
      </c>
      <c r="CW85" s="22">
        <f t="shared" si="67"/>
        <v>394.52318922165023</v>
      </c>
      <c r="CX85" s="62">
        <f t="shared" si="68"/>
        <v>687.85652255498348</v>
      </c>
      <c r="CY85" s="62">
        <f ca="1">AVERAGE(OFFSET($CX$3,0,0,'Données projet'!$E$13+1,1))-AVERAGE(OFFSET($H$3,0,0,'Données projet'!$E$13+1,1))</f>
        <v>302.06513069580848</v>
      </c>
      <c r="CZ85" s="62">
        <f t="shared" si="96"/>
        <v>164.1450425611464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41.45191630967026</v>
      </c>
      <c r="DG85" s="23">
        <f>EXP(-LN(2)/25)*DG84+(1-EXP(-LN(2)/25))/(LN(2)/25)*Calculateur!DB85*Calculateur!DD85*VLOOKUP('Données projet'!$B$13,Paramètres!$A$1:$I$89,3,0)*0.475*44/12</f>
        <v>19.669758570120873</v>
      </c>
      <c r="DH85" s="23">
        <f>EXP(-LN(2)/2)*DH84+(1-EXP(-LN(2)/2))/(LN(2)/2)*DB85*DE85*VLOOKUP('Données projet'!$B$13,Paramètres!$A$1:$I$89,3,0)*0.475*44/12</f>
        <v>0.43894788805907631</v>
      </c>
      <c r="DI85" s="24">
        <f t="shared" si="69"/>
        <v>61.560622767850205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8.6770000000000014</v>
      </c>
      <c r="N86" s="14">
        <f>IF('Données projet'!$A$36&gt;35,N85+M86-V85,IF(A86&lt;'Données projet'!$A$36,$K$205^A86,IF(A86='Données projet'!$A$36,'Données projet'!$B$36,N85+M86-V85)))</f>
        <v>316.67300000000023</v>
      </c>
      <c r="O86" s="14">
        <f>N86*VLOOKUP('Données projet'!$B$9,Paramètres!$A$1:$I$89,3,0)*VLOOKUP('Données projet'!$B$9,Paramètres!$A$1:$I$89,5,0)</f>
        <v>286.52573040000021</v>
      </c>
      <c r="P86" s="14">
        <f t="shared" si="87"/>
        <v>68.344228730046424</v>
      </c>
      <c r="Q86" s="22">
        <f t="shared" si="54"/>
        <v>618.06517881816455</v>
      </c>
      <c r="R86" s="62">
        <f t="shared" si="55"/>
        <v>911.39851215149793</v>
      </c>
      <c r="S86" s="62">
        <f ca="1">AVERAGE(OFFSET($R$3,0,0,'Données projet'!$E$9+1,1))-AVERAGE(OFFSET($H$3,0,0,'Données projet'!$E$9+1,1))</f>
        <v>581.88778927327667</v>
      </c>
      <c r="T86" s="62">
        <f t="shared" si="88"/>
        <v>269.67340993773422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17.020380830350668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17.020380830350668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3.6</v>
      </c>
      <c r="AI86" s="14">
        <f>IF('Données projet'!$A$62&gt;35,AI85+AH86-AQ85,IF(A86&lt;'Données projet'!$A$62,$AF$205^A86,IF(A86='Données projet'!$A$62,'Données projet'!$B$62,AI85+AH86-AQ85)))</f>
        <v>240.8</v>
      </c>
      <c r="AJ86" s="14">
        <f>AI86*VLOOKUP('Données projet'!$B$10,Paramètres!$A$1:$I$89,3,0)*VLOOKUP('Données projet'!$B$10,Paramètres!$A$1:$I$89,5,0)</f>
        <v>210.36288000000002</v>
      </c>
      <c r="AK86" s="14">
        <f t="shared" si="89"/>
        <v>52.014876138342963</v>
      </c>
      <c r="AL86" s="22">
        <f t="shared" si="58"/>
        <v>456.97459194094728</v>
      </c>
      <c r="AM86" s="62">
        <f t="shared" si="59"/>
        <v>750.30792527428059</v>
      </c>
      <c r="AN86" s="62">
        <f ca="1">AVERAGE(OFFSET($AM$3,0,0,'Données projet'!$E$10+1,1))-AVERAGE(OFFSET($H$3,0,0,'Données projet'!$E$10+1,1))</f>
        <v>354.24684313982857</v>
      </c>
      <c r="AO86" s="62">
        <f t="shared" si="90"/>
        <v>322.65043486962185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25.531995201128904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25.531995201128904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7.2</v>
      </c>
      <c r="BD86" s="13">
        <f>IF('Données projet'!$A$88&gt;35,BD85+BC86-BL85,IF(A86&lt;'Données projet'!$A$88,$BA$205^A86,IF(A86='Données projet'!$A$88,'Données projet'!$B$88,BD85+BC86-BL85)))</f>
        <v>289.60000000000025</v>
      </c>
      <c r="BE86" s="14">
        <f>BD86*VLOOKUP('Données projet'!$B$11,Paramètres!$A$1:$I$89,3,0)*VLOOKUP('Données projet'!$B$11,Paramètres!$A$1:$I$89,5,0)</f>
        <v>275.58336000000025</v>
      </c>
      <c r="BF86" s="14">
        <f t="shared" si="91"/>
        <v>66.032783958273242</v>
      </c>
      <c r="BG86" s="22">
        <f t="shared" si="61"/>
        <v>594.98145072732621</v>
      </c>
      <c r="BH86" s="62">
        <f t="shared" si="62"/>
        <v>888.31478406065958</v>
      </c>
      <c r="BI86" s="62">
        <f ca="1">AVERAGE(OFFSET($BH$3,0,0,'Données projet'!$E$11+1,1))-AVERAGE(OFFSET($H$3,0,0,'Données projet'!$E$11+1,1))</f>
        <v>460.77543902152325</v>
      </c>
      <c r="BJ86" s="62">
        <f t="shared" si="92"/>
        <v>341.4342976721104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39.968436739301211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39.968436739301211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-5.6843418860808015E-13</v>
      </c>
      <c r="BZ86" s="14">
        <f>BY86*VLOOKUP('Données projet'!$B$12,Paramètres!$A$1:$I$89,3,0)*VLOOKUP('Données projet'!$B$12,Paramètres!$A$1:$I$89,5,0)</f>
        <v>-3.39923644787632E-13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438.68915237247444</v>
      </c>
      <c r="CE86" s="62">
        <f t="shared" si="94"/>
        <v>376.94419168335452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221.2823646741937</v>
      </c>
      <c r="CL86" s="23">
        <f>EXP(-LN(2)/25)*CL85+(1-EXP(-LN(2)/25))/(LN(2)/25)*Calculateur!CG86*Calculateur!CI86*VLOOKUP('Données projet'!$B$12,Paramètres!$A$1:$I$89,3,0)*0.475*44/12</f>
        <v>32.100089814484406</v>
      </c>
      <c r="CM86" s="23">
        <f>EXP(-LN(2)/2)*CM85+(1-EXP(-LN(2)/2))/(LN(2)/2)*CG86*CJ86*VLOOKUP('Données projet'!$B$12,Paramètres!$A$1:$I$89,3,0)*0.475*44/12</f>
        <v>3.6323566233727727</v>
      </c>
      <c r="CN86" s="24">
        <f t="shared" si="66"/>
        <v>257.01481111205089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11.15</v>
      </c>
      <c r="CT86" s="13">
        <f>IF('Données projet'!$A$140&gt;35,CT85+CS86-DB85,IF(A86&lt;'Données projet'!$A$140,$CQ$205^A86,IF(A86='Données projet'!$A$140,'Données projet'!$B$140,CT85+CS86-DB85)))</f>
        <v>397.85999999999979</v>
      </c>
      <c r="CU86" s="18">
        <f>CT86*VLOOKUP('Données projet'!$B$13,Paramètres!$A$1:$I$89,3,0)*VLOOKUP('Données projet'!$B$13,Paramètres!$A$1:$I$89,5,0)</f>
        <v>186.1984799999999</v>
      </c>
      <c r="CV86" s="14">
        <f t="shared" si="95"/>
        <v>46.698504699733995</v>
      </c>
      <c r="CW86" s="22">
        <f t="shared" si="67"/>
        <v>405.62891501870325</v>
      </c>
      <c r="CX86" s="62">
        <f t="shared" si="68"/>
        <v>698.96224835203657</v>
      </c>
      <c r="CY86" s="62">
        <f ca="1">AVERAGE(OFFSET($CX$3,0,0,'Données projet'!$E$13+1,1))-AVERAGE(OFFSET($H$3,0,0,'Données projet'!$E$13+1,1))</f>
        <v>302.06513069580848</v>
      </c>
      <c r="CZ86" s="62">
        <f t="shared" si="96"/>
        <v>164.1450425611464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40.639069514010068</v>
      </c>
      <c r="DG86" s="23">
        <f>EXP(-LN(2)/25)*DG85+(1-EXP(-LN(2)/25))/(LN(2)/25)*Calculateur!DB86*Calculateur!DD86*VLOOKUP('Données projet'!$B$13,Paramètres!$A$1:$I$89,3,0)*0.475*44/12</f>
        <v>19.13188798763327</v>
      </c>
      <c r="DH86" s="23">
        <f>EXP(-LN(2)/2)*DH85+(1-EXP(-LN(2)/2))/(LN(2)/2)*DB86*DE86*VLOOKUP('Données projet'!$B$13,Paramètres!$A$1:$I$89,3,0)*0.475*44/12</f>
        <v>0.31038302823408642</v>
      </c>
      <c r="DI86" s="24">
        <f t="shared" si="69"/>
        <v>60.081340529877423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325.35000000000002</v>
      </c>
      <c r="L87" s="13">
        <f>VLOOKUP(A87,'Données projet'!$A$35:$I$55,9,0)</f>
        <v>8.6770000000000014</v>
      </c>
      <c r="M87" s="13">
        <f t="array" ref="M87">INDEX(L:L,MIN(IF(ISNUMBER(L87:L283),ROW(L87:L283),"")))</f>
        <v>8.6770000000000014</v>
      </c>
      <c r="N87" s="14">
        <f>IF('Données projet'!$A$36&gt;35,N86+M87-V86,IF(A87&lt;'Données projet'!$A$36,$K$205^A87,IF(A87='Données projet'!$A$36,'Données projet'!$B$36,N86+M87-V86)))</f>
        <v>325.35000000000025</v>
      </c>
      <c r="O87" s="14">
        <f>N87*VLOOKUP('Données projet'!$B$9,Paramètres!$A$1:$I$89,3,0)*VLOOKUP('Données projet'!$B$9,Paramètres!$A$1:$I$89,5,0)</f>
        <v>294.37668000000025</v>
      </c>
      <c r="P87" s="14">
        <f t="shared" si="87"/>
        <v>69.99630449784344</v>
      </c>
      <c r="Q87" s="22">
        <f t="shared" si="54"/>
        <v>634.61628133374438</v>
      </c>
      <c r="R87" s="62">
        <f t="shared" si="55"/>
        <v>927.94961466707764</v>
      </c>
      <c r="S87" s="62">
        <f ca="1">AVERAGE(OFFSET($R$3,0,0,'Données projet'!$E$9+1,1))-AVERAGE(OFFSET($H$3,0,0,'Données projet'!$E$9+1,1))</f>
        <v>581.88778927327667</v>
      </c>
      <c r="T87" s="62">
        <f t="shared" si="88"/>
        <v>269.67340993773422</v>
      </c>
      <c r="U87" s="16">
        <f>IF(ISNA(VLOOKUP(A87,'Données projet'!$A$35:$I$55,3,0)),0,VLOOKUP(A87,'Données projet'!$A$35:$I$55,3,0))</f>
        <v>6</v>
      </c>
      <c r="V87" s="16">
        <f>IF(ISNA(VLOOKUP(A87,'Données projet'!$A$35:$I$55,4,0)),0,VLOOKUP(A87,'Données projet'!$A$35:$I$55,4,0))</f>
        <v>61.47</v>
      </c>
      <c r="W87" s="17">
        <f>IF(ISNA(VLOOKUP(A87,'Données projet'!$A$35:$I$55,5,0)),0%,VLOOKUP(A87,'Données projet'!$A$35:$I$55,5,0)*VLOOKUP('Données projet'!$B$9,Paramètres!$A$1:$I$89,7,0))</f>
        <v>0.17200000000000001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27.26188906140996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27.26188906140996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3.6</v>
      </c>
      <c r="AI87" s="14">
        <f>IF('Données projet'!$A$62&gt;35,AI86+AH87-AQ86,IF(A87&lt;'Données projet'!$A$62,$AF$205^A87,IF(A87='Données projet'!$A$62,'Données projet'!$B$62,AI86+AH87-AQ86)))</f>
        <v>244.4</v>
      </c>
      <c r="AJ87" s="14">
        <f>AI87*VLOOKUP('Données projet'!$B$10,Paramètres!$A$1:$I$89,3,0)*VLOOKUP('Données projet'!$B$10,Paramètres!$A$1:$I$89,5,0)</f>
        <v>213.50784000000002</v>
      </c>
      <c r="AK87" s="14">
        <f t="shared" si="89"/>
        <v>52.701396365805124</v>
      </c>
      <c r="AL87" s="22">
        <f t="shared" si="58"/>
        <v>463.6477533371106</v>
      </c>
      <c r="AM87" s="62">
        <f t="shared" si="59"/>
        <v>756.98108667044391</v>
      </c>
      <c r="AN87" s="62">
        <f ca="1">AVERAGE(OFFSET($AM$3,0,0,'Données projet'!$E$10+1,1))-AVERAGE(OFFSET($H$3,0,0,'Données projet'!$E$10+1,1))</f>
        <v>354.24684313982857</v>
      </c>
      <c r="AO87" s="62">
        <f t="shared" si="90"/>
        <v>322.65043486962185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25.031328348214135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25.031328348214135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7.2</v>
      </c>
      <c r="BD87" s="13">
        <f>IF('Données projet'!$A$88&gt;35,BD86+BC87-BL86,IF(A87&lt;'Données projet'!$A$88,$BA$205^A87,IF(A87='Données projet'!$A$88,'Données projet'!$B$88,BD86+BC87-BL86)))</f>
        <v>296.80000000000024</v>
      </c>
      <c r="BE87" s="14">
        <f>BD87*VLOOKUP('Données projet'!$B$11,Paramètres!$A$1:$I$89,3,0)*VLOOKUP('Données projet'!$B$11,Paramètres!$A$1:$I$89,5,0)</f>
        <v>282.43488000000025</v>
      </c>
      <c r="BF87" s="14">
        <f t="shared" si="91"/>
        <v>67.481309435922356</v>
      </c>
      <c r="BG87" s="22">
        <f t="shared" si="61"/>
        <v>609.43736326756527</v>
      </c>
      <c r="BH87" s="62">
        <f t="shared" si="62"/>
        <v>902.77069660089865</v>
      </c>
      <c r="BI87" s="62">
        <f ca="1">AVERAGE(OFFSET($BH$3,0,0,'Données projet'!$E$11+1,1))-AVERAGE(OFFSET($H$3,0,0,'Données projet'!$E$11+1,1))</f>
        <v>460.77543902152325</v>
      </c>
      <c r="BJ87" s="62">
        <f t="shared" si="92"/>
        <v>341.4342976721104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39.184680073182761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39.184680073182761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-5.6843418860808015E-13</v>
      </c>
      <c r="BZ87" s="14">
        <f>BY87*VLOOKUP('Données projet'!$B$12,Paramètres!$A$1:$I$89,3,0)*VLOOKUP('Données projet'!$B$12,Paramètres!$A$1:$I$89,5,0)</f>
        <v>-3.39923644787632E-13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438.68915237247444</v>
      </c>
      <c r="CE87" s="62">
        <f t="shared" si="94"/>
        <v>376.94419168335452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216.94315247184815</v>
      </c>
      <c r="CL87" s="23">
        <f>EXP(-LN(2)/25)*CL86+(1-EXP(-LN(2)/25))/(LN(2)/25)*Calculateur!CG87*Calculateur!CI87*VLOOKUP('Données projet'!$B$12,Paramètres!$A$1:$I$89,3,0)*0.475*44/12</f>
        <v>31.222311170436971</v>
      </c>
      <c r="CM87" s="23">
        <f>EXP(-LN(2)/2)*CM86+(1-EXP(-LN(2)/2))/(LN(2)/2)*CG87*CJ87*VLOOKUP('Données projet'!$B$12,Paramètres!$A$1:$I$89,3,0)*0.475*44/12</f>
        <v>2.5684640000747581</v>
      </c>
      <c r="CN87" s="24">
        <f t="shared" si="66"/>
        <v>250.73392764235987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11.15</v>
      </c>
      <c r="CT87" s="13">
        <f>IF('Données projet'!$A$140&gt;35,CT86+CS87-DB86,IF(A87&lt;'Données projet'!$A$140,$CQ$205^A87,IF(A87='Données projet'!$A$140,'Données projet'!$B$140,CT86+CS87-DB86)))</f>
        <v>409.00999999999976</v>
      </c>
      <c r="CU87" s="18">
        <f>CT87*VLOOKUP('Données projet'!$B$13,Paramètres!$A$1:$I$89,3,0)*VLOOKUP('Données projet'!$B$13,Paramètres!$A$1:$I$89,5,0)</f>
        <v>191.41667999999987</v>
      </c>
      <c r="CV87" s="14">
        <f t="shared" si="95"/>
        <v>47.853025143556422</v>
      </c>
      <c r="CW87" s="22">
        <f t="shared" si="67"/>
        <v>416.72806979169383</v>
      </c>
      <c r="CX87" s="62">
        <f t="shared" si="68"/>
        <v>710.06140312502714</v>
      </c>
      <c r="CY87" s="62">
        <f ca="1">AVERAGE(OFFSET($CX$3,0,0,'Données projet'!$E$13+1,1))-AVERAGE(OFFSET($H$3,0,0,'Données projet'!$E$13+1,1))</f>
        <v>302.06513069580848</v>
      </c>
      <c r="CZ87" s="62">
        <f t="shared" si="96"/>
        <v>164.1450425611464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39.842162148225185</v>
      </c>
      <c r="DG87" s="23">
        <f>EXP(-LN(2)/25)*DG86+(1-EXP(-LN(2)/25))/(LN(2)/25)*Calculateur!DB87*Calculateur!DD87*VLOOKUP('Données projet'!$B$13,Paramètres!$A$1:$I$89,3,0)*0.475*44/12</f>
        <v>18.608725504509177</v>
      </c>
      <c r="DH87" s="23">
        <f>EXP(-LN(2)/2)*DH86+(1-EXP(-LN(2)/2))/(LN(2)/2)*DB87*DE87*VLOOKUP('Données projet'!$B$13,Paramètres!$A$1:$I$89,3,0)*0.475*44/12</f>
        <v>0.21947394402953815</v>
      </c>
      <c r="DI87" s="24">
        <f t="shared" si="69"/>
        <v>58.670361596763904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8.2910000000000021</v>
      </c>
      <c r="N88" s="14">
        <f>IF('Données projet'!$A$36&gt;35,N87+M88-V87,IF(A88&lt;'Données projet'!$A$36,$K$205^A88,IF(A88='Données projet'!$A$36,'Données projet'!$B$36,N87+M88-V87)))</f>
        <v>272.17100000000028</v>
      </c>
      <c r="O88" s="14">
        <f>N88*VLOOKUP('Données projet'!$B$9,Paramètres!$A$1:$I$89,3,0)*VLOOKUP('Données projet'!$B$9,Paramètres!$A$1:$I$89,5,0)</f>
        <v>246.26032080000024</v>
      </c>
      <c r="P88" s="14">
        <f t="shared" si="87"/>
        <v>59.784443753506842</v>
      </c>
      <c r="Q88" s="22">
        <f t="shared" si="54"/>
        <v>533.02796493069138</v>
      </c>
      <c r="R88" s="62">
        <f t="shared" si="55"/>
        <v>826.36129826402475</v>
      </c>
      <c r="S88" s="62">
        <f ca="1">AVERAGE(OFFSET($R$3,0,0,'Données projet'!$E$9+1,1))-AVERAGE(OFFSET($H$3,0,0,'Données projet'!$E$9+1,1))</f>
        <v>581.88778927327667</v>
      </c>
      <c r="T88" s="62">
        <f t="shared" si="88"/>
        <v>269.67340993773422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26.727300045026148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26.727300045026148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248</v>
      </c>
      <c r="AG88" s="13">
        <f>VLOOKUP(A88,'Données projet'!$A$61:$I$81,9,0)</f>
        <v>3.6</v>
      </c>
      <c r="AH88" s="13">
        <f t="array" ref="AH88">INDEX(AG:AG,MIN(IF(ISNUMBER(AG88:AG284),ROW(AG88:AG284),"")))</f>
        <v>3.6</v>
      </c>
      <c r="AI88" s="14">
        <f>IF('Données projet'!$A$62&gt;35,AI87+AH88-AQ87,IF(A88&lt;'Données projet'!$A$62,$AF$205^A88,IF(A88='Données projet'!$A$62,'Données projet'!$B$62,AI87+AH88-AQ87)))</f>
        <v>248</v>
      </c>
      <c r="AJ88" s="14">
        <f>AI88*VLOOKUP('Données projet'!$B$10,Paramètres!$A$1:$I$89,3,0)*VLOOKUP('Données projet'!$B$10,Paramètres!$A$1:$I$89,5,0)</f>
        <v>216.65280000000004</v>
      </c>
      <c r="AK88" s="14">
        <f t="shared" si="89"/>
        <v>53.38674047237982</v>
      </c>
      <c r="AL88" s="22">
        <f t="shared" si="58"/>
        <v>470.3188663227283</v>
      </c>
      <c r="AM88" s="62">
        <f t="shared" si="59"/>
        <v>763.65219965606161</v>
      </c>
      <c r="AN88" s="62">
        <f ca="1">AVERAGE(OFFSET($AM$3,0,0,'Données projet'!$E$10+1,1))-AVERAGE(OFFSET($H$3,0,0,'Données projet'!$E$10+1,1))</f>
        <v>354.24684313982857</v>
      </c>
      <c r="AO88" s="62">
        <f t="shared" si="90"/>
        <v>322.65043486962185</v>
      </c>
      <c r="AP88" s="16">
        <f>IF(ISNA(VLOOKUP(A88,'Données projet'!$A$61:$I$81,3,0)),0,VLOOKUP(A88,'Données projet'!$A$61:$I$81,3,0))</f>
        <v>16</v>
      </c>
      <c r="AQ88" s="16">
        <f>IF(ISNA(VLOOKUP(A88,'Données projet'!$A$61:$I$81,4,0)),0,VLOOKUP(A88,'Données projet'!$A$61:$I$81,4,0))</f>
        <v>14</v>
      </c>
      <c r="AR88" s="17">
        <f>IF(ISNA(VLOOKUP(A88,'Données projet'!$A$61:$I$81,5,0)),0%,VLOOKUP(A88,'Données projet'!$A$61:$I$81,5,0)*VLOOKUP('Données projet'!$B$10,Paramètres!$A$1:$I$89,7,0))</f>
        <v>0.30099999999999999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28.610103090790176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28.610103090790176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304</v>
      </c>
      <c r="BB88" s="13">
        <f>VLOOKUP(A88,'Données projet'!$A$87:$I$107,9,0)</f>
        <v>7.2</v>
      </c>
      <c r="BC88" s="13">
        <f t="array" ref="BC88">INDEX(BB:BB,MIN(IF(ISNUMBER(BB88:BB284),ROW(BB88:BB284),"")))</f>
        <v>7.2</v>
      </c>
      <c r="BD88" s="13">
        <f>IF('Données projet'!$A$88&gt;35,BD87+BC88-BL87,IF(A88&lt;'Données projet'!$A$88,$BA$205^A88,IF(A88='Données projet'!$A$88,'Données projet'!$B$88,BD87+BC88-BL87)))</f>
        <v>304.00000000000023</v>
      </c>
      <c r="BE88" s="14">
        <f>BD88*VLOOKUP('Données projet'!$B$11,Paramètres!$A$1:$I$89,3,0)*VLOOKUP('Données projet'!$B$11,Paramètres!$A$1:$I$89,5,0)</f>
        <v>289.28640000000024</v>
      </c>
      <c r="BF88" s="14">
        <f t="shared" si="91"/>
        <v>68.925750029647432</v>
      </c>
      <c r="BG88" s="22">
        <f t="shared" si="61"/>
        <v>623.88616130163632</v>
      </c>
      <c r="BH88" s="62">
        <f t="shared" si="62"/>
        <v>917.21949463496958</v>
      </c>
      <c r="BI88" s="62">
        <f ca="1">AVERAGE(OFFSET($BH$3,0,0,'Données projet'!$E$11+1,1))-AVERAGE(OFFSET($H$3,0,0,'Données projet'!$E$11+1,1))</f>
        <v>460.77543902152325</v>
      </c>
      <c r="BJ88" s="62">
        <f t="shared" si="92"/>
        <v>341.4342976721104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31</v>
      </c>
      <c r="BM88" s="17">
        <f>IF(ISNA(VLOOKUP(A88,'Données projet'!$A$87:$I$107,5,0)),0%,VLOOKUP(A88,'Données projet'!$A$87:$I$107,5,0)*VLOOKUP('Données projet'!$B$11,Paramètres!$A$1:$I$89,7,0))</f>
        <v>0.30099999999999999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48.232183533671673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48.232183533671673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-5.6843418860808015E-13</v>
      </c>
      <c r="BZ88" s="14">
        <f>BY88*VLOOKUP('Données projet'!$B$12,Paramètres!$A$1:$I$89,3,0)*VLOOKUP('Données projet'!$B$12,Paramètres!$A$1:$I$89,5,0)</f>
        <v>-3.39923644787632E-13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438.68915237247444</v>
      </c>
      <c r="CE88" s="62">
        <f t="shared" si="94"/>
        <v>376.94419168335452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212.68902957413249</v>
      </c>
      <c r="CL88" s="23">
        <f>EXP(-LN(2)/25)*CL87+(1-EXP(-LN(2)/25))/(LN(2)/25)*Calculateur!CG88*Calculateur!CI88*VLOOKUP('Données projet'!$B$12,Paramètres!$A$1:$I$89,3,0)*0.475*44/12</f>
        <v>30.368535429571388</v>
      </c>
      <c r="CM88" s="23">
        <f>EXP(-LN(2)/2)*CM87+(1-EXP(-LN(2)/2))/(LN(2)/2)*CG88*CJ88*VLOOKUP('Données projet'!$B$12,Paramètres!$A$1:$I$89,3,0)*0.475*44/12</f>
        <v>1.8161783116863865</v>
      </c>
      <c r="CN88" s="24">
        <f t="shared" si="66"/>
        <v>244.87374331539027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420.16</v>
      </c>
      <c r="CR88" s="13">
        <f>VLOOKUP(A88,'Données projet'!$A$139:$I$159,9,0)</f>
        <v>11.15</v>
      </c>
      <c r="CS88" s="13">
        <f t="array" ref="CS88">INDEX(CR:CR,MIN(IF(ISNUMBER(CR88:CR284),ROW(CR88:CR284),"")))</f>
        <v>11.15</v>
      </c>
      <c r="CT88" s="13">
        <f>IF('Données projet'!$A$140&gt;35,CT87+CS88-DB87,IF(A88&lt;'Données projet'!$A$140,$CQ$205^A88,IF(A88='Données projet'!$A$140,'Données projet'!$B$140,CT87+CS88-DB87)))</f>
        <v>420.15999999999974</v>
      </c>
      <c r="CU88" s="18">
        <f>CT88*VLOOKUP('Données projet'!$B$13,Paramètres!$A$1:$I$89,3,0)*VLOOKUP('Données projet'!$B$13,Paramètres!$A$1:$I$89,5,0)</f>
        <v>196.6348799999999</v>
      </c>
      <c r="CV88" s="14">
        <f t="shared" si="95"/>
        <v>49.003887420349052</v>
      </c>
      <c r="CW88" s="22">
        <f t="shared" si="67"/>
        <v>427.82085325710779</v>
      </c>
      <c r="CX88" s="62">
        <f t="shared" si="68"/>
        <v>721.1541865904411</v>
      </c>
      <c r="CY88" s="62">
        <f ca="1">AVERAGE(OFFSET($CX$3,0,0,'Données projet'!$E$13+1,1))-AVERAGE(OFFSET($H$3,0,0,'Données projet'!$E$13+1,1))</f>
        <v>302.06513069580848</v>
      </c>
      <c r="CZ88" s="62">
        <f t="shared" si="96"/>
        <v>164.1450425611464</v>
      </c>
      <c r="DA88" s="16">
        <f>IF(ISNA(VLOOKUP(A88,'Données projet'!$A$139:$I$159,3,0)),0,VLOOKUP(A88,'Données projet'!$A$139:$I$159,3,0))</f>
        <v>4</v>
      </c>
      <c r="DB88" s="16">
        <f>IF(ISNA(VLOOKUP(A88,'Données projet'!$A$139:$I$159,4,0)),0,VLOOKUP(A88,'Données projet'!$A$139:$I$159,4,0))</f>
        <v>94.69</v>
      </c>
      <c r="DC88" s="17">
        <f>IF(ISNA(VLOOKUP(A88,'Données projet'!$A$139:$I$159,5,0)),0%,VLOOKUP(A88,'Données projet'!$A$139:$I$159,5,0)*VLOOKUP('Données projet'!$B$13,Paramètres!$A$1:$I$89,7,0))</f>
        <v>0.38500000000000001</v>
      </c>
      <c r="DD88" s="17">
        <f>IF(ISNA(VLOOKUP(A88,'Données projet'!$A$139:$I$159,6,0)),0%,VLOOKUP(A88,'Données projet'!$A$139:$I$159,6,0)*VLOOKUP('Données projet'!$B$13,Paramètres!$A$1:$I$89,7,0))</f>
        <v>9.3500000000000014E-2</v>
      </c>
      <c r="DE88" s="17">
        <f>IF(ISNA(VLOOKUP(A88,'Données projet'!$A$139:$I$159,7,0)),0%,VLOOKUP(A88,'Données projet'!$A$139:$I$159,7,0))</f>
        <v>0.13</v>
      </c>
      <c r="DF88" s="23">
        <f>EXP(-LN(2)/35)*DF87+(1-EXP(-LN(2)/35))/(LN(2)/35)*DB88*DC88*VLOOKUP('Données projet'!$B$13,Paramètres!$A$1:$I$89,3,0)*0.475*44/12</f>
        <v>61.693721771111854</v>
      </c>
      <c r="DG88" s="23">
        <f>EXP(-LN(2)/25)*DG87+(1-EXP(-LN(2)/25))/(LN(2)/25)*Calculateur!DB88*Calculateur!DD88*VLOOKUP('Données projet'!$B$13,Paramètres!$A$1:$I$89,3,0)*0.475*44/12</f>
        <v>23.574773814156902</v>
      </c>
      <c r="DH88" s="23">
        <f>EXP(-LN(2)/2)*DH87+(1-EXP(-LN(2)/2))/(LN(2)/2)*DB88*DE88*VLOOKUP('Données projet'!$B$13,Paramètres!$A$1:$I$89,3,0)*0.475*44/12</f>
        <v>6.677913393336242</v>
      </c>
      <c r="DI88" s="24">
        <f t="shared" si="69"/>
        <v>91.946408978604993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8.2910000000000021</v>
      </c>
      <c r="N89" s="14">
        <f>IF('Données projet'!$A$36&gt;35,N88+M89-V88,IF(A89&lt;'Données projet'!$A$36,$K$205^A89,IF(A89='Données projet'!$A$36,'Données projet'!$B$36,N88+M89-V88)))</f>
        <v>280.46200000000027</v>
      </c>
      <c r="O89" s="14">
        <f>N89*VLOOKUP('Données projet'!$B$9,Paramètres!$A$1:$I$89,3,0)*VLOOKUP('Données projet'!$B$9,Paramètres!$A$1:$I$89,5,0)</f>
        <v>253.76201760000023</v>
      </c>
      <c r="P89" s="14">
        <f t="shared" si="87"/>
        <v>61.390818695638195</v>
      </c>
      <c r="Q89" s="22">
        <f t="shared" si="54"/>
        <v>548.89118988157031</v>
      </c>
      <c r="R89" s="62">
        <f t="shared" si="55"/>
        <v>842.22452321490368</v>
      </c>
      <c r="S89" s="62">
        <f ca="1">AVERAGE(OFFSET($R$3,0,0,'Données projet'!$E$9+1,1))-AVERAGE(OFFSET($H$3,0,0,'Données projet'!$E$9+1,1))</f>
        <v>581.88778927327667</v>
      </c>
      <c r="T89" s="62">
        <f t="shared" si="88"/>
        <v>269.67340993773422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26.20319399318652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26.20319399318652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</v>
      </c>
      <c r="AI89" s="14">
        <f>IF('Données projet'!$A$62&gt;35,AI88+AH89-AQ88,IF(A89&lt;'Données projet'!$A$62,$AF$205^A89,IF(A89='Données projet'!$A$62,'Données projet'!$B$62,AI88+AH89-AQ88)))</f>
        <v>237</v>
      </c>
      <c r="AJ89" s="14">
        <f>AI89*VLOOKUP('Données projet'!$B$10,Paramètres!$A$1:$I$89,3,0)*VLOOKUP('Données projet'!$B$10,Paramètres!$A$1:$I$89,5,0)</f>
        <v>207.04320000000001</v>
      </c>
      <c r="AK89" s="14">
        <f t="shared" si="89"/>
        <v>51.288918231806321</v>
      </c>
      <c r="AL89" s="22">
        <f t="shared" si="58"/>
        <v>449.92843925372944</v>
      </c>
      <c r="AM89" s="62">
        <f t="shared" si="59"/>
        <v>743.26177258706275</v>
      </c>
      <c r="AN89" s="62">
        <f ca="1">AVERAGE(OFFSET($AM$3,0,0,'Données projet'!$E$10+1,1))-AVERAGE(OFFSET($H$3,0,0,'Données projet'!$E$10+1,1))</f>
        <v>354.24684313982857</v>
      </c>
      <c r="AO89" s="62">
        <f t="shared" si="90"/>
        <v>322.65043486962185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28.049076419619578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28.049076419619578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6.8</v>
      </c>
      <c r="BD89" s="13">
        <f>IF('Données projet'!$A$88&gt;35,BD88+BC89-BL88,IF(A89&lt;'Données projet'!$A$88,$BA$205^A89,IF(A89='Données projet'!$A$88,'Données projet'!$B$88,BD88+BC89-BL88)))</f>
        <v>279.80000000000024</v>
      </c>
      <c r="BE89" s="14">
        <f>BD89*VLOOKUP('Données projet'!$B$11,Paramètres!$A$1:$I$89,3,0)*VLOOKUP('Données projet'!$B$11,Paramètres!$A$1:$I$89,5,0)</f>
        <v>266.25768000000022</v>
      </c>
      <c r="BF89" s="14">
        <f t="shared" si="91"/>
        <v>64.054410529549628</v>
      </c>
      <c r="BG89" s="22">
        <f t="shared" si="61"/>
        <v>575.29355767229924</v>
      </c>
      <c r="BH89" s="62">
        <f t="shared" si="62"/>
        <v>868.62689100563261</v>
      </c>
      <c r="BI89" s="62">
        <f ca="1">AVERAGE(OFFSET($BH$3,0,0,'Données projet'!$E$11+1,1))-AVERAGE(OFFSET($H$3,0,0,'Données projet'!$E$11+1,1))</f>
        <v>460.77543902152325</v>
      </c>
      <c r="BJ89" s="62">
        <f t="shared" si="92"/>
        <v>341.4342976721104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47.286379833303471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47.286379833303471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-5.6843418860808015E-13</v>
      </c>
      <c r="BZ89" s="14">
        <f>BY89*VLOOKUP('Données projet'!$B$12,Paramètres!$A$1:$I$89,3,0)*VLOOKUP('Données projet'!$B$12,Paramètres!$A$1:$I$89,5,0)</f>
        <v>-3.39923644787632E-13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438.68915237247444</v>
      </c>
      <c r="CE89" s="62">
        <f t="shared" si="94"/>
        <v>376.94419168335452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208.51832743168225</v>
      </c>
      <c r="CL89" s="23">
        <f>EXP(-LN(2)/25)*CL88+(1-EXP(-LN(2)/25))/(LN(2)/25)*Calculateur!CG89*Calculateur!CI89*VLOOKUP('Données projet'!$B$12,Paramètres!$A$1:$I$89,3,0)*0.475*44/12</f>
        <v>29.538106231237887</v>
      </c>
      <c r="CM89" s="23">
        <f>EXP(-LN(2)/2)*CM88+(1-EXP(-LN(2)/2))/(LN(2)/2)*CG89*CJ89*VLOOKUP('Données projet'!$B$12,Paramètres!$A$1:$I$89,3,0)*0.475*44/12</f>
        <v>1.284232000037379</v>
      </c>
      <c r="CN89" s="24">
        <f t="shared" si="66"/>
        <v>239.34066566295752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9.9839999999999911</v>
      </c>
      <c r="CT89" s="13">
        <f>IF('Données projet'!$A$140&gt;35,CT88+CS89-DB88,IF(A89&lt;'Données projet'!$A$140,$CQ$205^A89,IF(A89='Données projet'!$A$140,'Données projet'!$B$140,CT88+CS89-DB88)))</f>
        <v>335.45399999999972</v>
      </c>
      <c r="CU89" s="18">
        <f>CT89*VLOOKUP('Données projet'!$B$13,Paramètres!$A$1:$I$89,3,0)*VLOOKUP('Données projet'!$B$13,Paramètres!$A$1:$I$89,5,0)</f>
        <v>156.99247199999985</v>
      </c>
      <c r="CV89" s="14">
        <f t="shared" si="95"/>
        <v>40.163411714047015</v>
      </c>
      <c r="CW89" s="22">
        <f t="shared" si="67"/>
        <v>343.37983080196494</v>
      </c>
      <c r="CX89" s="62">
        <f t="shared" si="68"/>
        <v>636.71316413529826</v>
      </c>
      <c r="CY89" s="62">
        <f ca="1">AVERAGE(OFFSET($CX$3,0,0,'Données projet'!$E$13+1,1))-AVERAGE(OFFSET($H$3,0,0,'Données projet'!$E$13+1,1))</f>
        <v>302.06513069580848</v>
      </c>
      <c r="CZ89" s="62">
        <f t="shared" si="96"/>
        <v>164.1450425611464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60.483945516635032</v>
      </c>
      <c r="DG89" s="23">
        <f>EXP(-LN(2)/25)*DG88+(1-EXP(-LN(2)/25))/(LN(2)/25)*Calculateur!DB89*Calculateur!DD89*VLOOKUP('Données projet'!$B$13,Paramètres!$A$1:$I$89,3,0)*0.475*44/12</f>
        <v>22.930120384465308</v>
      </c>
      <c r="DH89" s="23">
        <f>EXP(-LN(2)/2)*DH88+(1-EXP(-LN(2)/2))/(LN(2)/2)*DB89*DE89*VLOOKUP('Données projet'!$B$13,Paramètres!$A$1:$I$89,3,0)*0.475*44/12</f>
        <v>4.7219978446045259</v>
      </c>
      <c r="DI89" s="24">
        <f t="shared" si="69"/>
        <v>88.136063745704874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8.2910000000000021</v>
      </c>
      <c r="N90" s="14">
        <f>IF('Données projet'!$A$36&gt;35,N89+M90-V89,IF(A90&lt;'Données projet'!$A$36,$K$205^A90,IF(A90='Données projet'!$A$36,'Données projet'!$B$36,N89+M90-V89)))</f>
        <v>288.75300000000027</v>
      </c>
      <c r="O90" s="14">
        <f>N90*VLOOKUP('Données projet'!$B$9,Paramètres!$A$1:$I$89,3,0)*VLOOKUP('Données projet'!$B$9,Paramètres!$A$1:$I$89,5,0)</f>
        <v>261.26371440000025</v>
      </c>
      <c r="P90" s="14">
        <f t="shared" si="87"/>
        <v>62.991674736313257</v>
      </c>
      <c r="Q90" s="22">
        <f t="shared" si="54"/>
        <v>564.74480274574603</v>
      </c>
      <c r="R90" s="62">
        <f t="shared" si="55"/>
        <v>858.07813607907929</v>
      </c>
      <c r="S90" s="62">
        <f ca="1">AVERAGE(OFFSET($R$3,0,0,'Données projet'!$E$9+1,1))-AVERAGE(OFFSET($H$3,0,0,'Données projet'!$E$9+1,1))</f>
        <v>581.88778927327667</v>
      </c>
      <c r="T90" s="62">
        <f t="shared" si="88"/>
        <v>269.67340993773422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25.689365341350342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25.689365341350342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</v>
      </c>
      <c r="AI90" s="14">
        <f>IF('Données projet'!$A$62&gt;35,AI89+AH90-AQ89,IF(A90&lt;'Données projet'!$A$62,$AF$205^A90,IF(A90='Données projet'!$A$62,'Données projet'!$B$62,AI89+AH90-AQ89)))</f>
        <v>240</v>
      </c>
      <c r="AJ90" s="14">
        <f>AI90*VLOOKUP('Données projet'!$B$10,Paramètres!$A$1:$I$89,3,0)*VLOOKUP('Données projet'!$B$10,Paramètres!$A$1:$I$89,5,0)</f>
        <v>209.66400000000002</v>
      </c>
      <c r="AK90" s="14">
        <f t="shared" si="89"/>
        <v>51.862154403304537</v>
      </c>
      <c r="AL90" s="22">
        <f t="shared" si="58"/>
        <v>455.49138558575538</v>
      </c>
      <c r="AM90" s="62">
        <f t="shared" si="59"/>
        <v>748.8247189190887</v>
      </c>
      <c r="AN90" s="62">
        <f ca="1">AVERAGE(OFFSET($AM$3,0,0,'Données projet'!$E$10+1,1))-AVERAGE(OFFSET($H$3,0,0,'Données projet'!$E$10+1,1))</f>
        <v>354.24684313982857</v>
      </c>
      <c r="AO90" s="62">
        <f t="shared" si="90"/>
        <v>322.65043486962185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27.499051139278155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27.499051139278155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6.8</v>
      </c>
      <c r="BD90" s="13">
        <f>IF('Données projet'!$A$88&gt;35,BD89+BC90-BL89,IF(A90&lt;'Données projet'!$A$88,$BA$205^A90,IF(A90='Données projet'!$A$88,'Données projet'!$B$88,BD89+BC90-BL89)))</f>
        <v>286.60000000000025</v>
      </c>
      <c r="BE90" s="14">
        <f>BD90*VLOOKUP('Données projet'!$B$11,Paramètres!$A$1:$I$89,3,0)*VLOOKUP('Données projet'!$B$11,Paramètres!$A$1:$I$89,5,0)</f>
        <v>272.72856000000024</v>
      </c>
      <c r="BF90" s="14">
        <f t="shared" si="91"/>
        <v>65.427999274861321</v>
      </c>
      <c r="BG90" s="22">
        <f t="shared" si="61"/>
        <v>588.95600740371719</v>
      </c>
      <c r="BH90" s="62">
        <f t="shared" si="62"/>
        <v>882.28934073705045</v>
      </c>
      <c r="BI90" s="62">
        <f ca="1">AVERAGE(OFFSET($BH$3,0,0,'Données projet'!$E$11+1,1))-AVERAGE(OFFSET($H$3,0,0,'Données projet'!$E$11+1,1))</f>
        <v>460.77543902152325</v>
      </c>
      <c r="BJ90" s="62">
        <f t="shared" si="92"/>
        <v>341.4342976721104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46.359122766616196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46.359122766616196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-5.6843418860808015E-13</v>
      </c>
      <c r="BZ90" s="14">
        <f>BY90*VLOOKUP('Données projet'!$B$12,Paramètres!$A$1:$I$89,3,0)*VLOOKUP('Données projet'!$B$12,Paramètres!$A$1:$I$89,5,0)</f>
        <v>-3.39923644787632E-13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438.68915237247444</v>
      </c>
      <c r="CE90" s="62">
        <f t="shared" si="94"/>
        <v>376.94419168335452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204.42941021436835</v>
      </c>
      <c r="CL90" s="23">
        <f>EXP(-LN(2)/25)*CL89+(1-EXP(-LN(2)/25))/(LN(2)/25)*Calculateur!CG90*Calculateur!CI90*VLOOKUP('Données projet'!$B$12,Paramètres!$A$1:$I$89,3,0)*0.475*44/12</f>
        <v>28.730385163003191</v>
      </c>
      <c r="CM90" s="23">
        <f>EXP(-LN(2)/2)*CM89+(1-EXP(-LN(2)/2))/(LN(2)/2)*CG90*CJ90*VLOOKUP('Données projet'!$B$12,Paramètres!$A$1:$I$89,3,0)*0.475*44/12</f>
        <v>0.90808915584319327</v>
      </c>
      <c r="CN90" s="24">
        <f t="shared" si="66"/>
        <v>234.06788453321474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9.9839999999999911</v>
      </c>
      <c r="CT90" s="13">
        <f>IF('Données projet'!$A$140&gt;35,CT89+CS90-DB89,IF(A90&lt;'Données projet'!$A$140,$CQ$205^A90,IF(A90='Données projet'!$A$140,'Données projet'!$B$140,CT89+CS90-DB89)))</f>
        <v>345.4379999999997</v>
      </c>
      <c r="CU90" s="18">
        <f>CT90*VLOOKUP('Données projet'!$B$13,Paramètres!$A$1:$I$89,3,0)*VLOOKUP('Données projet'!$B$13,Paramètres!$A$1:$I$89,5,0)</f>
        <v>161.66498399999986</v>
      </c>
      <c r="CV90" s="14">
        <f t="shared" si="95"/>
        <v>41.217830629016561</v>
      </c>
      <c r="CW90" s="22">
        <f t="shared" si="67"/>
        <v>353.35423547887029</v>
      </c>
      <c r="CX90" s="62">
        <f t="shared" si="68"/>
        <v>646.68756881220361</v>
      </c>
      <c r="CY90" s="62">
        <f ca="1">AVERAGE(OFFSET($CX$3,0,0,'Données projet'!$E$13+1,1))-AVERAGE(OFFSET($H$3,0,0,'Données projet'!$E$13+1,1))</f>
        <v>302.06513069580848</v>
      </c>
      <c r="CZ90" s="62">
        <f t="shared" si="96"/>
        <v>164.1450425611464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59.297892236617848</v>
      </c>
      <c r="DG90" s="23">
        <f>EXP(-LN(2)/25)*DG89+(1-EXP(-LN(2)/25))/(LN(2)/25)*Calculateur!DB90*Calculateur!DD90*VLOOKUP('Données projet'!$B$13,Paramètres!$A$1:$I$89,3,0)*0.475*44/12</f>
        <v>22.303095036709482</v>
      </c>
      <c r="DH90" s="23">
        <f>EXP(-LN(2)/2)*DH89+(1-EXP(-LN(2)/2))/(LN(2)/2)*DB90*DE90*VLOOKUP('Données projet'!$B$13,Paramètres!$A$1:$I$89,3,0)*0.475*44/12</f>
        <v>3.3389566966681219</v>
      </c>
      <c r="DI90" s="24">
        <f t="shared" si="69"/>
        <v>84.939943969995454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8.2910000000000021</v>
      </c>
      <c r="N91" s="14">
        <f>IF('Données projet'!$A$36&gt;35,N90+M91-V90,IF(A91&lt;'Données projet'!$A$36,$K$205^A91,IF(A91='Données projet'!$A$36,'Données projet'!$B$36,N90+M91-V90)))</f>
        <v>297.04400000000027</v>
      </c>
      <c r="O91" s="14">
        <f>N91*VLOOKUP('Données projet'!$B$9,Paramètres!$A$1:$I$89,3,0)*VLOOKUP('Données projet'!$B$9,Paramètres!$A$1:$I$89,5,0)</f>
        <v>268.76541120000024</v>
      </c>
      <c r="P91" s="14">
        <f t="shared" si="87"/>
        <v>64.587188539623412</v>
      </c>
      <c r="Q91" s="22">
        <f t="shared" si="54"/>
        <v>580.58911121317794</v>
      </c>
      <c r="R91" s="62">
        <f t="shared" si="55"/>
        <v>873.92244454651131</v>
      </c>
      <c r="S91" s="62">
        <f ca="1">AVERAGE(OFFSET($R$3,0,0,'Données projet'!$E$9+1,1))-AVERAGE(OFFSET($H$3,0,0,'Données projet'!$E$9+1,1))</f>
        <v>581.88778927327667</v>
      </c>
      <c r="T91" s="62">
        <f t="shared" si="88"/>
        <v>269.67340993773422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25.185612555972138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25.185612555972138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</v>
      </c>
      <c r="AI91" s="14">
        <f>IF('Données projet'!$A$62&gt;35,AI90+AH91-AQ90,IF(A91&lt;'Données projet'!$A$62,$AF$205^A91,IF(A91='Données projet'!$A$62,'Données projet'!$B$62,AI90+AH91-AQ90)))</f>
        <v>243</v>
      </c>
      <c r="AJ91" s="14">
        <f>AI91*VLOOKUP('Données projet'!$B$10,Paramètres!$A$1:$I$89,3,0)*VLOOKUP('Données projet'!$B$10,Paramètres!$A$1:$I$89,5,0)</f>
        <v>212.28480000000002</v>
      </c>
      <c r="AK91" s="14">
        <f t="shared" si="89"/>
        <v>52.434557099704193</v>
      </c>
      <c r="AL91" s="22">
        <f t="shared" si="58"/>
        <v>461.05288028198476</v>
      </c>
      <c r="AM91" s="62">
        <f t="shared" si="59"/>
        <v>754.38621361531807</v>
      </c>
      <c r="AN91" s="62">
        <f ca="1">AVERAGE(OFFSET($AM$3,0,0,'Données projet'!$E$10+1,1))-AVERAGE(OFFSET($H$3,0,0,'Données projet'!$E$10+1,1))</f>
        <v>354.24684313982857</v>
      </c>
      <c r="AO91" s="62">
        <f t="shared" si="90"/>
        <v>322.65043486962185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26.959811519201931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26.959811519201931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6.8</v>
      </c>
      <c r="BD91" s="13">
        <f>IF('Données projet'!$A$88&gt;35,BD90+BC91-BL90,IF(A91&lt;'Données projet'!$A$88,$BA$205^A91,IF(A91='Données projet'!$A$88,'Données projet'!$B$88,BD90+BC91-BL90)))</f>
        <v>293.40000000000026</v>
      </c>
      <c r="BE91" s="14">
        <f>BD91*VLOOKUP('Données projet'!$B$11,Paramètres!$A$1:$I$89,3,0)*VLOOKUP('Données projet'!$B$11,Paramètres!$A$1:$I$89,5,0)</f>
        <v>279.19944000000027</v>
      </c>
      <c r="BF91" s="14">
        <f t="shared" si="91"/>
        <v>66.797799357600155</v>
      </c>
      <c r="BG91" s="22">
        <f t="shared" si="61"/>
        <v>602.6118585478207</v>
      </c>
      <c r="BH91" s="62">
        <f t="shared" si="62"/>
        <v>895.94519188115396</v>
      </c>
      <c r="BI91" s="62">
        <f ca="1">AVERAGE(OFFSET($BH$3,0,0,'Données projet'!$E$11+1,1))-AVERAGE(OFFSET($H$3,0,0,'Données projet'!$E$11+1,1))</f>
        <v>460.77543902152325</v>
      </c>
      <c r="BJ91" s="62">
        <f t="shared" si="92"/>
        <v>341.4342976721104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45.450048645435693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45.450048645435693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-5.6843418860808015E-13</v>
      </c>
      <c r="BZ91" s="14">
        <f>BY91*VLOOKUP('Données projet'!$B$12,Paramètres!$A$1:$I$89,3,0)*VLOOKUP('Données projet'!$B$12,Paramètres!$A$1:$I$89,5,0)</f>
        <v>-3.39923644787632E-13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438.68915237247444</v>
      </c>
      <c r="CE91" s="62">
        <f t="shared" si="94"/>
        <v>376.94419168335452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200.42067416969275</v>
      </c>
      <c r="CL91" s="23">
        <f>EXP(-LN(2)/25)*CL90+(1-EXP(-LN(2)/25))/(LN(2)/25)*Calculateur!CG91*Calculateur!CI91*VLOOKUP('Données projet'!$B$12,Paramètres!$A$1:$I$89,3,0)*0.475*44/12</f>
        <v>27.944751269855576</v>
      </c>
      <c r="CM91" s="23">
        <f>EXP(-LN(2)/2)*CM90+(1-EXP(-LN(2)/2))/(LN(2)/2)*CG91*CJ91*VLOOKUP('Données projet'!$B$12,Paramètres!$A$1:$I$89,3,0)*0.475*44/12</f>
        <v>0.64211600001868951</v>
      </c>
      <c r="CN91" s="24">
        <f t="shared" si="66"/>
        <v>229.00754143956701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9.9839999999999911</v>
      </c>
      <c r="CT91" s="13">
        <f>IF('Données projet'!$A$140&gt;35,CT90+CS91-DB90,IF(A91&lt;'Données projet'!$A$140,$CQ$205^A91,IF(A91='Données projet'!$A$140,'Données projet'!$B$140,CT90+CS91-DB90)))</f>
        <v>355.42199999999968</v>
      </c>
      <c r="CU91" s="18">
        <f>CT91*VLOOKUP('Données projet'!$B$13,Paramètres!$A$1:$I$89,3,0)*VLOOKUP('Données projet'!$B$13,Paramètres!$A$1:$I$89,5,0)</f>
        <v>166.33749599999985</v>
      </c>
      <c r="CV91" s="14">
        <f t="shared" si="95"/>
        <v>42.268707661135892</v>
      </c>
      <c r="CW91" s="22">
        <f t="shared" si="67"/>
        <v>363.32247137647801</v>
      </c>
      <c r="CX91" s="62">
        <f t="shared" si="68"/>
        <v>656.65580470981126</v>
      </c>
      <c r="CY91" s="62">
        <f ca="1">AVERAGE(OFFSET($CX$3,0,0,'Données projet'!$E$13+1,1))-AVERAGE(OFFSET($H$3,0,0,'Données projet'!$E$13+1,1))</f>
        <v>302.06513069580848</v>
      </c>
      <c r="CZ91" s="62">
        <f t="shared" si="96"/>
        <v>164.1450425611464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58.135096738000726</v>
      </c>
      <c r="DG91" s="23">
        <f>EXP(-LN(2)/25)*DG90+(1-EXP(-LN(2)/25))/(LN(2)/25)*Calculateur!DB91*Calculateur!DD91*VLOOKUP('Données projet'!$B$13,Paramètres!$A$1:$I$89,3,0)*0.475*44/12</f>
        <v>21.693215730061869</v>
      </c>
      <c r="DH91" s="23">
        <f>EXP(-LN(2)/2)*DH90+(1-EXP(-LN(2)/2))/(LN(2)/2)*DB91*DE91*VLOOKUP('Données projet'!$B$13,Paramètres!$A$1:$I$89,3,0)*0.475*44/12</f>
        <v>2.3609989223022634</v>
      </c>
      <c r="DI91" s="24">
        <f t="shared" si="69"/>
        <v>82.18931139036485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8.2910000000000021</v>
      </c>
      <c r="N92" s="14">
        <f>IF('Données projet'!$A$36&gt;35,N91+M92-V91,IF(A92&lt;'Données projet'!$A$36,$K$205^A92,IF(A92='Données projet'!$A$36,'Données projet'!$B$36,N91+M92-V91)))</f>
        <v>305.33500000000026</v>
      </c>
      <c r="O92" s="14">
        <f>N92*VLOOKUP('Données projet'!$B$9,Paramètres!$A$1:$I$89,3,0)*VLOOKUP('Données projet'!$B$9,Paramètres!$A$1:$I$89,5,0)</f>
        <v>276.26710800000023</v>
      </c>
      <c r="P92" s="14">
        <f t="shared" si="87"/>
        <v>66.177526346547864</v>
      </c>
      <c r="Q92" s="22">
        <f t="shared" si="54"/>
        <v>596.42440482023801</v>
      </c>
      <c r="R92" s="62">
        <f t="shared" si="55"/>
        <v>889.75773815357138</v>
      </c>
      <c r="S92" s="62">
        <f ca="1">AVERAGE(OFFSET($R$3,0,0,'Données projet'!$E$9+1,1))-AVERAGE(OFFSET($H$3,0,0,'Données projet'!$E$9+1,1))</f>
        <v>581.88778927327667</v>
      </c>
      <c r="T92" s="62">
        <f t="shared" si="88"/>
        <v>269.67340993773422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24.691738055456341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24.691738055456341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</v>
      </c>
      <c r="AI92" s="14">
        <f>IF('Données projet'!$A$62&gt;35,AI91+AH92-AQ91,IF(A92&lt;'Données projet'!$A$62,$AF$205^A92,IF(A92='Données projet'!$A$62,'Données projet'!$B$62,AI91+AH92-AQ91)))</f>
        <v>246</v>
      </c>
      <c r="AJ92" s="14">
        <f>AI92*VLOOKUP('Données projet'!$B$10,Paramètres!$A$1:$I$89,3,0)*VLOOKUP('Données projet'!$B$10,Paramètres!$A$1:$I$89,5,0)</f>
        <v>214.90560000000005</v>
      </c>
      <c r="AK92" s="14">
        <f t="shared" si="89"/>
        <v>53.006137800892326</v>
      </c>
      <c r="AL92" s="22">
        <f t="shared" si="58"/>
        <v>466.61294333655422</v>
      </c>
      <c r="AM92" s="62">
        <f t="shared" si="59"/>
        <v>759.94627666988754</v>
      </c>
      <c r="AN92" s="62">
        <f ca="1">AVERAGE(OFFSET($AM$3,0,0,'Données projet'!$E$10+1,1))-AVERAGE(OFFSET($H$3,0,0,'Données projet'!$E$10+1,1))</f>
        <v>354.24684313982857</v>
      </c>
      <c r="AO92" s="62">
        <f t="shared" si="90"/>
        <v>322.65043486962185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26.431146059171713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26.431146059171713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6.8</v>
      </c>
      <c r="BD92" s="13">
        <f>IF('Données projet'!$A$88&gt;35,BD91+BC92-BL91,IF(A92&lt;'Données projet'!$A$88,$BA$205^A92,IF(A92='Données projet'!$A$88,'Données projet'!$B$88,BD91+BC92-BL91)))</f>
        <v>300.20000000000027</v>
      </c>
      <c r="BE92" s="14">
        <f>BD92*VLOOKUP('Données projet'!$B$11,Paramètres!$A$1:$I$89,3,0)*VLOOKUP('Données projet'!$B$11,Paramètres!$A$1:$I$89,5,0)</f>
        <v>285.67032000000023</v>
      </c>
      <c r="BF92" s="14">
        <f t="shared" si="91"/>
        <v>68.163908692371237</v>
      </c>
      <c r="BG92" s="22">
        <f t="shared" si="61"/>
        <v>616.26128163921362</v>
      </c>
      <c r="BH92" s="62">
        <f t="shared" si="62"/>
        <v>909.59461497254688</v>
      </c>
      <c r="BI92" s="62">
        <f ca="1">AVERAGE(OFFSET($BH$3,0,0,'Données projet'!$E$11+1,1))-AVERAGE(OFFSET($H$3,0,0,'Données projet'!$E$11+1,1))</f>
        <v>460.77543902152325</v>
      </c>
      <c r="BJ92" s="62">
        <f t="shared" si="92"/>
        <v>341.4342976721104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44.558800913291073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44.558800913291073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-5.6843418860808015E-13</v>
      </c>
      <c r="BZ92" s="14">
        <f>BY92*VLOOKUP('Données projet'!$B$12,Paramètres!$A$1:$I$89,3,0)*VLOOKUP('Données projet'!$B$12,Paramètres!$A$1:$I$89,5,0)</f>
        <v>-3.39923644787632E-13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438.68915237247444</v>
      </c>
      <c r="CE92" s="62">
        <f t="shared" si="94"/>
        <v>376.94419168335452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196.49054699376566</v>
      </c>
      <c r="CL92" s="23">
        <f>EXP(-LN(2)/25)*CL91+(1-EXP(-LN(2)/25))/(LN(2)/25)*Calculateur!CG92*Calculateur!CI92*VLOOKUP('Données projet'!$B$12,Paramètres!$A$1:$I$89,3,0)*0.475*44/12</f>
        <v>27.180600576830773</v>
      </c>
      <c r="CM92" s="23">
        <f>EXP(-LN(2)/2)*CM91+(1-EXP(-LN(2)/2))/(LN(2)/2)*CG92*CJ92*VLOOKUP('Données projet'!$B$12,Paramètres!$A$1:$I$89,3,0)*0.475*44/12</f>
        <v>0.45404457792159664</v>
      </c>
      <c r="CN92" s="24">
        <f t="shared" si="66"/>
        <v>224.12519214851804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9.9839999999999911</v>
      </c>
      <c r="CT92" s="13">
        <f>IF('Données projet'!$A$140&gt;35,CT91+CS92-DB91,IF(A92&lt;'Données projet'!$A$140,$CQ$205^A92,IF(A92='Données projet'!$A$140,'Données projet'!$B$140,CT91+CS92-DB91)))</f>
        <v>365.40599999999966</v>
      </c>
      <c r="CU92" s="18">
        <f>CT92*VLOOKUP('Données projet'!$B$13,Paramètres!$A$1:$I$89,3,0)*VLOOKUP('Données projet'!$B$13,Paramètres!$A$1:$I$89,5,0)</f>
        <v>171.01000799999983</v>
      </c>
      <c r="CV92" s="14">
        <f t="shared" si="95"/>
        <v>43.316153733044935</v>
      </c>
      <c r="CW92" s="22">
        <f t="shared" si="67"/>
        <v>373.28473168505292</v>
      </c>
      <c r="CX92" s="62">
        <f t="shared" si="68"/>
        <v>666.61806501838623</v>
      </c>
      <c r="CY92" s="62">
        <f ca="1">AVERAGE(OFFSET($CX$3,0,0,'Données projet'!$E$13+1,1))-AVERAGE(OFFSET($H$3,0,0,'Données projet'!$E$13+1,1))</f>
        <v>302.06513069580848</v>
      </c>
      <c r="CZ92" s="62">
        <f t="shared" si="96"/>
        <v>164.1450425611464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56.995102949876269</v>
      </c>
      <c r="DG92" s="23">
        <f>EXP(-LN(2)/25)*DG91+(1-EXP(-LN(2)/25))/(LN(2)/25)*Calculateur!DB92*Calculateur!DD92*VLOOKUP('Données projet'!$B$13,Paramètres!$A$1:$I$89,3,0)*0.475*44/12</f>
        <v>21.100013605126694</v>
      </c>
      <c r="DH92" s="23">
        <f>EXP(-LN(2)/2)*DH91+(1-EXP(-LN(2)/2))/(LN(2)/2)*DB92*DE92*VLOOKUP('Données projet'!$B$13,Paramètres!$A$1:$I$89,3,0)*0.475*44/12</f>
        <v>1.6694783483340612</v>
      </c>
      <c r="DI92" s="24">
        <f t="shared" si="69"/>
        <v>79.764594903337027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8.2910000000000021</v>
      </c>
      <c r="N93" s="14">
        <f>IF('Données projet'!$A$36&gt;35,N92+M93-V92,IF(A93&lt;'Données projet'!$A$36,$K$205^A93,IF(A93='Données projet'!$A$36,'Données projet'!$B$36,N92+M93-V92)))</f>
        <v>313.62600000000026</v>
      </c>
      <c r="O93" s="14">
        <f>N93*VLOOKUP('Données projet'!$B$9,Paramètres!$A$1:$I$89,3,0)*VLOOKUP('Données projet'!$B$9,Paramètres!$A$1:$I$89,5,0)</f>
        <v>283.76880480000023</v>
      </c>
      <c r="P93" s="14">
        <f t="shared" si="87"/>
        <v>67.762844856024827</v>
      </c>
      <c r="Q93" s="22">
        <f t="shared" si="54"/>
        <v>612.2509564842436</v>
      </c>
      <c r="R93" s="62">
        <f t="shared" si="55"/>
        <v>905.58428981757697</v>
      </c>
      <c r="S93" s="62">
        <f ca="1">AVERAGE(OFFSET($R$3,0,0,'Données projet'!$E$9+1,1))-AVERAGE(OFFSET($H$3,0,0,'Données projet'!$E$9+1,1))</f>
        <v>581.88778927327667</v>
      </c>
      <c r="T93" s="62">
        <f t="shared" si="88"/>
        <v>269.67340993773422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24.207548132661959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24.207548132661959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249</v>
      </c>
      <c r="AG93" s="13">
        <f>VLOOKUP(A93,'Données projet'!$A$61:$I$81,9,0)</f>
        <v>3</v>
      </c>
      <c r="AH93" s="13">
        <f t="array" ref="AH93">INDEX(AG:AG,MIN(IF(ISNUMBER(AG93:AG289),ROW(AG93:AG289),"")))</f>
        <v>3</v>
      </c>
      <c r="AI93" s="14">
        <f>IF('Données projet'!$A$62&gt;35,AI92+AH93-AQ92,IF(A93&lt;'Données projet'!$A$62,$AF$205^A93,IF(A93='Données projet'!$A$62,'Données projet'!$B$62,AI92+AH93-AQ92)))</f>
        <v>249</v>
      </c>
      <c r="AJ93" s="14">
        <f>AI93*VLOOKUP('Données projet'!$B$10,Paramètres!$A$1:$I$89,3,0)*VLOOKUP('Données projet'!$B$10,Paramètres!$A$1:$I$89,5,0)</f>
        <v>217.52640000000005</v>
      </c>
      <c r="AK93" s="14">
        <f t="shared" si="89"/>
        <v>53.576907690651254</v>
      </c>
      <c r="AL93" s="22">
        <f t="shared" si="58"/>
        <v>472.17159422788433</v>
      </c>
      <c r="AM93" s="62">
        <f t="shared" si="59"/>
        <v>765.50492756121764</v>
      </c>
      <c r="AN93" s="62">
        <f ca="1">AVERAGE(OFFSET($AM$3,0,0,'Données projet'!$E$10+1,1))-AVERAGE(OFFSET($H$3,0,0,'Données projet'!$E$10+1,1))</f>
        <v>354.24684313982857</v>
      </c>
      <c r="AO93" s="62">
        <f t="shared" si="90"/>
        <v>322.65043486962185</v>
      </c>
      <c r="AP93" s="16">
        <f>IF(ISNA(VLOOKUP(A93,'Données projet'!$A$61:$I$81,3,0)),0,VLOOKUP(A93,'Données projet'!$A$61:$I$81,3,0))</f>
        <v>17</v>
      </c>
      <c r="AQ93" s="16">
        <f>IF(ISNA(VLOOKUP(A93,'Données projet'!$A$61:$I$81,4,0)),0,VLOOKUP(A93,'Données projet'!$A$61:$I$81,4,0))</f>
        <v>12</v>
      </c>
      <c r="AR93" s="17">
        <f>IF(ISNA(VLOOKUP(A93,'Données projet'!$A$61:$I$81,5,0)),0%,VLOOKUP(A93,'Données projet'!$A$61:$I$81,5,0)*VLOOKUP('Données projet'!$B$10,Paramètres!$A$1:$I$89,7,0))</f>
        <v>0.34400000000000003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29.899417682814214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29.899417682814214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307</v>
      </c>
      <c r="BB93" s="13">
        <f>VLOOKUP(A93,'Données projet'!$A$87:$I$107,9,0)</f>
        <v>6.8</v>
      </c>
      <c r="BC93" s="13">
        <f t="array" ref="BC93">INDEX(BB:BB,MIN(IF(ISNUMBER(BB93:BB289),ROW(BB93:BB289),"")))</f>
        <v>6.8</v>
      </c>
      <c r="BD93" s="13">
        <f>IF('Données projet'!$A$88&gt;35,BD92+BC93-BL92,IF(A93&lt;'Données projet'!$A$88,$BA$205^A93,IF(A93='Données projet'!$A$88,'Données projet'!$B$88,BD92+BC93-BL92)))</f>
        <v>307.00000000000028</v>
      </c>
      <c r="BE93" s="14">
        <f>BD93*VLOOKUP('Données projet'!$B$11,Paramètres!$A$1:$I$89,3,0)*VLOOKUP('Données projet'!$B$11,Paramètres!$A$1:$I$89,5,0)</f>
        <v>292.14120000000031</v>
      </c>
      <c r="BF93" s="14">
        <f t="shared" si="91"/>
        <v>69.526420504752323</v>
      </c>
      <c r="BG93" s="22">
        <f t="shared" si="61"/>
        <v>629.90443904577739</v>
      </c>
      <c r="BH93" s="62">
        <f t="shared" si="62"/>
        <v>923.23777237911077</v>
      </c>
      <c r="BI93" s="62">
        <f ca="1">AVERAGE(OFFSET($BH$3,0,0,'Données projet'!$E$11+1,1))-AVERAGE(OFFSET($H$3,0,0,'Données projet'!$E$11+1,1))</f>
        <v>460.77543902152325</v>
      </c>
      <c r="BJ93" s="62">
        <f t="shared" si="92"/>
        <v>341.4342976721104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31</v>
      </c>
      <c r="BM93" s="17">
        <f>IF(ISNA(VLOOKUP(A93,'Données projet'!$A$87:$I$107,5,0)),0%,VLOOKUP(A93,'Données projet'!$A$87:$I$107,5,0)*VLOOKUP('Données projet'!$B$11,Paramètres!$A$1:$I$89,7,0))</f>
        <v>0.30099999999999999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53.500921141995505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53.500921141995505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-5.6843418860808015E-13</v>
      </c>
      <c r="BZ93" s="14">
        <f>BY93*VLOOKUP('Données projet'!$B$12,Paramètres!$A$1:$I$89,3,0)*VLOOKUP('Données projet'!$B$12,Paramètres!$A$1:$I$89,5,0)</f>
        <v>-3.39923644787632E-13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438.68915237247444</v>
      </c>
      <c r="CE93" s="62">
        <f t="shared" si="94"/>
        <v>376.94419168335452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192.63748721461764</v>
      </c>
      <c r="CL93" s="23">
        <f>EXP(-LN(2)/25)*CL92+(1-EXP(-LN(2)/25))/(LN(2)/25)*Calculateur!CG93*Calculateur!CI93*VLOOKUP('Données projet'!$B$12,Paramètres!$A$1:$I$89,3,0)*0.475*44/12</f>
        <v>26.437345624691673</v>
      </c>
      <c r="CM93" s="23">
        <f>EXP(-LN(2)/2)*CM92+(1-EXP(-LN(2)/2))/(LN(2)/2)*CG93*CJ93*VLOOKUP('Données projet'!$B$12,Paramètres!$A$1:$I$89,3,0)*0.475*44/12</f>
        <v>0.32105800000934476</v>
      </c>
      <c r="CN93" s="24">
        <f t="shared" si="66"/>
        <v>219.39589083931864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375.39</v>
      </c>
      <c r="CR93" s="13">
        <f>VLOOKUP(A93,'Données projet'!$A$139:$I$159,9,0)</f>
        <v>9.9839999999999911</v>
      </c>
      <c r="CS93" s="13">
        <f t="array" ref="CS93">INDEX(CR:CR,MIN(IF(ISNUMBER(CR93:CR289),ROW(CR93:CR289),"")))</f>
        <v>9.9839999999999911</v>
      </c>
      <c r="CT93" s="13">
        <f>IF('Données projet'!$A$140&gt;35,CT92+CS93-DB92,IF(A93&lt;'Données projet'!$A$140,$CQ$205^A93,IF(A93='Données projet'!$A$140,'Données projet'!$B$140,CT92+CS93-DB92)))</f>
        <v>375.38999999999965</v>
      </c>
      <c r="CU93" s="18">
        <f>CT93*VLOOKUP('Données projet'!$B$13,Paramètres!$A$1:$I$89,3,0)*VLOOKUP('Données projet'!$B$13,Paramètres!$A$1:$I$89,5,0)</f>
        <v>175.68251999999981</v>
      </c>
      <c r="CV93" s="14">
        <f t="shared" si="95"/>
        <v>44.360273360899491</v>
      </c>
      <c r="CW93" s="22">
        <f t="shared" si="67"/>
        <v>383.24119843689959</v>
      </c>
      <c r="CX93" s="62">
        <f t="shared" si="68"/>
        <v>676.57453177023285</v>
      </c>
      <c r="CY93" s="62">
        <f ca="1">AVERAGE(OFFSET($CX$3,0,0,'Données projet'!$E$13+1,1))-AVERAGE(OFFSET($H$3,0,0,'Données projet'!$E$13+1,1))</f>
        <v>302.06513069580848</v>
      </c>
      <c r="CZ93" s="62">
        <f t="shared" si="96"/>
        <v>164.1450425611464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55.877463744609379</v>
      </c>
      <c r="DG93" s="23">
        <f>EXP(-LN(2)/25)*DG92+(1-EXP(-LN(2)/25))/(LN(2)/25)*Calculateur!DB93*Calculateur!DD93*VLOOKUP('Données projet'!$B$13,Paramètres!$A$1:$I$89,3,0)*0.475*44/12</f>
        <v>20.523032623493012</v>
      </c>
      <c r="DH93" s="23">
        <f>EXP(-LN(2)/2)*DH92+(1-EXP(-LN(2)/2))/(LN(2)/2)*DB93*DE93*VLOOKUP('Données projet'!$B$13,Paramètres!$A$1:$I$89,3,0)*0.475*44/12</f>
        <v>1.1804994611511319</v>
      </c>
      <c r="DI93" s="24">
        <f t="shared" si="69"/>
        <v>77.580995829253524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8.2910000000000021</v>
      </c>
      <c r="N94" s="14">
        <f>IF('Données projet'!$A$36&gt;35,N93+M94-V93,IF(A94&lt;'Données projet'!$A$36,$K$205^A94,IF(A94='Données projet'!$A$36,'Données projet'!$B$36,N93+M94-V93)))</f>
        <v>321.91700000000026</v>
      </c>
      <c r="O94" s="14">
        <f>N94*VLOOKUP('Données projet'!$B$9,Paramètres!$A$1:$I$89,3,0)*VLOOKUP('Données projet'!$B$9,Paramètres!$A$1:$I$89,5,0)</f>
        <v>291.27050160000022</v>
      </c>
      <c r="P94" s="14">
        <f t="shared" si="87"/>
        <v>69.343292010233441</v>
      </c>
      <c r="Q94" s="22">
        <f t="shared" si="54"/>
        <v>628.0690238711569</v>
      </c>
      <c r="R94" s="62">
        <f t="shared" si="55"/>
        <v>921.40235720449027</v>
      </c>
      <c r="S94" s="62">
        <f ca="1">AVERAGE(OFFSET($R$3,0,0,'Données projet'!$E$9+1,1))-AVERAGE(OFFSET($H$3,0,0,'Données projet'!$E$9+1,1))</f>
        <v>581.88778927327667</v>
      </c>
      <c r="T94" s="62">
        <f t="shared" si="88"/>
        <v>269.67340993773422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23.732852878926881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23.732852878926881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</v>
      </c>
      <c r="AI94" s="14">
        <f>IF('Données projet'!$A$62&gt;35,AI93+AH94-AQ93,IF(A94&lt;'Données projet'!$A$62,$AF$205^A94,IF(A94='Données projet'!$A$62,'Données projet'!$B$62,AI93+AH94-AQ93)))</f>
        <v>240</v>
      </c>
      <c r="AJ94" s="14">
        <f>AI94*VLOOKUP('Données projet'!$B$10,Paramètres!$A$1:$I$89,3,0)*VLOOKUP('Données projet'!$B$10,Paramètres!$A$1:$I$89,5,0)</f>
        <v>209.66400000000002</v>
      </c>
      <c r="AK94" s="14">
        <f t="shared" si="89"/>
        <v>51.862154403304537</v>
      </c>
      <c r="AL94" s="22">
        <f t="shared" si="58"/>
        <v>455.49138558575538</v>
      </c>
      <c r="AM94" s="62">
        <f t="shared" si="59"/>
        <v>748.8247189190887</v>
      </c>
      <c r="AN94" s="62">
        <f ca="1">AVERAGE(OFFSET($AM$3,0,0,'Données projet'!$E$10+1,1))-AVERAGE(OFFSET($H$3,0,0,'Données projet'!$E$10+1,1))</f>
        <v>354.24684313982857</v>
      </c>
      <c r="AO94" s="62">
        <f t="shared" si="90"/>
        <v>322.65043486962185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29.313108338898274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29.313108338898274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6.8</v>
      </c>
      <c r="BD94" s="13">
        <f>IF('Données projet'!$A$88&gt;35,BD93+BC94-BL93,IF(A94&lt;'Données projet'!$A$88,$BA$205^A94,IF(A94='Données projet'!$A$88,'Données projet'!$B$88,BD93+BC94-BL93)))</f>
        <v>282.8000000000003</v>
      </c>
      <c r="BE94" s="14">
        <f>BD94*VLOOKUP('Données projet'!$B$11,Paramètres!$A$1:$I$89,3,0)*VLOOKUP('Données projet'!$B$11,Paramètres!$A$1:$I$89,5,0)</f>
        <v>269.11248000000029</v>
      </c>
      <c r="BF94" s="14">
        <f t="shared" si="91"/>
        <v>64.660879066175795</v>
      </c>
      <c r="BG94" s="22">
        <f t="shared" si="61"/>
        <v>581.32193370692335</v>
      </c>
      <c r="BH94" s="62">
        <f t="shared" si="62"/>
        <v>874.6552670402566</v>
      </c>
      <c r="BI94" s="62">
        <f ca="1">AVERAGE(OFFSET($BH$3,0,0,'Données projet'!$E$11+1,1))-AVERAGE(OFFSET($H$3,0,0,'Données projet'!$E$11+1,1))</f>
        <v>460.77543902152325</v>
      </c>
      <c r="BJ94" s="62">
        <f t="shared" si="92"/>
        <v>341.4342976721104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52.451800710740692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52.451800710740692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-5.6843418860808015E-13</v>
      </c>
      <c r="BZ94" s="14">
        <f>BY94*VLOOKUP('Données projet'!$B$12,Paramètres!$A$1:$I$89,3,0)*VLOOKUP('Données projet'!$B$12,Paramètres!$A$1:$I$89,5,0)</f>
        <v>-3.39923644787632E-13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438.68915237247444</v>
      </c>
      <c r="CE94" s="62">
        <f t="shared" si="94"/>
        <v>376.94419168335452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188.85998358760429</v>
      </c>
      <c r="CL94" s="23">
        <f>EXP(-LN(2)/25)*CL93+(1-EXP(-LN(2)/25))/(LN(2)/25)*Calculateur!CG94*Calculateur!CI94*VLOOKUP('Données projet'!$B$12,Paramètres!$A$1:$I$89,3,0)*0.475*44/12</f>
        <v>25.714415018304898</v>
      </c>
      <c r="CM94" s="23">
        <f>EXP(-LN(2)/2)*CM93+(1-EXP(-LN(2)/2))/(LN(2)/2)*CG94*CJ94*VLOOKUP('Données projet'!$B$12,Paramètres!$A$1:$I$89,3,0)*0.475*44/12</f>
        <v>0.22702228896079832</v>
      </c>
      <c r="CN94" s="24">
        <f t="shared" si="66"/>
        <v>214.80142089486998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10.114285714285716</v>
      </c>
      <c r="CT94" s="13">
        <f>IF('Données projet'!$A$140&gt;35,CT93+CS94-DB93,IF(A94&lt;'Données projet'!$A$140,$CQ$205^A94,IF(A94='Données projet'!$A$140,'Données projet'!$B$140,CT93+CS94-DB93)))</f>
        <v>385.50428571428534</v>
      </c>
      <c r="CU94" s="18">
        <f>CT94*VLOOKUP('Données projet'!$B$13,Paramètres!$A$1:$I$89,3,0)*VLOOKUP('Données projet'!$B$13,Paramètres!$A$1:$I$89,5,0)</f>
        <v>180.41600571428552</v>
      </c>
      <c r="CV94" s="14">
        <f t="shared" si="95"/>
        <v>45.414727334987795</v>
      </c>
      <c r="CW94" s="22">
        <f t="shared" si="67"/>
        <v>393.3218600608177</v>
      </c>
      <c r="CX94" s="62">
        <f t="shared" si="68"/>
        <v>686.65519339415096</v>
      </c>
      <c r="CY94" s="62">
        <f ca="1">AVERAGE(OFFSET($CX$3,0,0,'Données projet'!$E$13+1,1))-AVERAGE(OFFSET($H$3,0,0,'Données projet'!$E$13+1,1))</f>
        <v>302.06513069580848</v>
      </c>
      <c r="CZ94" s="62">
        <f t="shared" si="96"/>
        <v>164.1450425611464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54.781740762465169</v>
      </c>
      <c r="DG94" s="23">
        <f>EXP(-LN(2)/25)*DG93+(1-EXP(-LN(2)/25))/(LN(2)/25)*Calculateur!DB94*Calculateur!DD94*VLOOKUP('Données projet'!$B$13,Paramètres!$A$1:$I$89,3,0)*0.475*44/12</f>
        <v>19.961829217144217</v>
      </c>
      <c r="DH94" s="23">
        <f>EXP(-LN(2)/2)*DH93+(1-EXP(-LN(2)/2))/(LN(2)/2)*DB94*DE94*VLOOKUP('Données projet'!$B$13,Paramètres!$A$1:$I$89,3,0)*0.475*44/12</f>
        <v>0.8347391741670307</v>
      </c>
      <c r="DI94" s="24">
        <f t="shared" si="69"/>
        <v>75.578309153776416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8.2910000000000021</v>
      </c>
      <c r="N95" s="14">
        <f>IF('Données projet'!$A$36&gt;35,N94+M95-V94,IF(A95&lt;'Données projet'!$A$36,$K$205^A95,IF(A95='Données projet'!$A$36,'Données projet'!$B$36,N94+M95-V94)))</f>
        <v>330.20800000000025</v>
      </c>
      <c r="O95" s="14">
        <f>N95*VLOOKUP('Données projet'!$B$9,Paramètres!$A$1:$I$89,3,0)*VLOOKUP('Données projet'!$B$9,Paramètres!$A$1:$I$89,5,0)</f>
        <v>298.77219840000021</v>
      </c>
      <c r="P95" s="14">
        <f t="shared" si="87"/>
        <v>70.919007696700163</v>
      </c>
      <c r="Q95" s="22">
        <f t="shared" si="54"/>
        <v>643.87885061841985</v>
      </c>
      <c r="R95" s="62">
        <f t="shared" si="55"/>
        <v>937.2121839517531</v>
      </c>
      <c r="S95" s="62">
        <f ca="1">AVERAGE(OFFSET($R$3,0,0,'Données projet'!$E$9+1,1))-AVERAGE(OFFSET($H$3,0,0,'Données projet'!$E$9+1,1))</f>
        <v>581.88778927327667</v>
      </c>
      <c r="T95" s="62">
        <f t="shared" si="88"/>
        <v>269.67340993773422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23.267466109582035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23.267466109582035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</v>
      </c>
      <c r="AI95" s="14">
        <f>IF('Données projet'!$A$62&gt;35,AI94+AH95-AQ94,IF(A95&lt;'Données projet'!$A$62,$AF$205^A95,IF(A95='Données projet'!$A$62,'Données projet'!$B$62,AI94+AH95-AQ94)))</f>
        <v>243</v>
      </c>
      <c r="AJ95" s="14">
        <f>AI95*VLOOKUP('Données projet'!$B$10,Paramètres!$A$1:$I$89,3,0)*VLOOKUP('Données projet'!$B$10,Paramètres!$A$1:$I$89,5,0)</f>
        <v>212.28480000000002</v>
      </c>
      <c r="AK95" s="14">
        <f t="shared" si="89"/>
        <v>52.434557099704193</v>
      </c>
      <c r="AL95" s="22">
        <f t="shared" si="58"/>
        <v>461.05288028198476</v>
      </c>
      <c r="AM95" s="62">
        <f t="shared" si="59"/>
        <v>754.38621361531807</v>
      </c>
      <c r="AN95" s="62">
        <f ca="1">AVERAGE(OFFSET($AM$3,0,0,'Données projet'!$E$10+1,1))-AVERAGE(OFFSET($H$3,0,0,'Données projet'!$E$10+1,1))</f>
        <v>354.24684313982857</v>
      </c>
      <c r="AO95" s="62">
        <f t="shared" si="90"/>
        <v>322.65043486962185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28.738296163603138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28.738296163603138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6.8</v>
      </c>
      <c r="BD95" s="13">
        <f>IF('Données projet'!$A$88&gt;35,BD94+BC95-BL94,IF(A95&lt;'Données projet'!$A$88,$BA$205^A95,IF(A95='Données projet'!$A$88,'Données projet'!$B$88,BD94+BC95-BL94)))</f>
        <v>289.60000000000031</v>
      </c>
      <c r="BE95" s="14">
        <f>BD95*VLOOKUP('Données projet'!$B$11,Paramètres!$A$1:$I$89,3,0)*VLOOKUP('Données projet'!$B$11,Paramètres!$A$1:$I$89,5,0)</f>
        <v>275.58336000000031</v>
      </c>
      <c r="BF95" s="14">
        <f t="shared" si="91"/>
        <v>66.032783958273299</v>
      </c>
      <c r="BG95" s="22">
        <f t="shared" si="61"/>
        <v>594.98145072732643</v>
      </c>
      <c r="BH95" s="62">
        <f t="shared" si="62"/>
        <v>888.3147840606598</v>
      </c>
      <c r="BI95" s="62">
        <f ca="1">AVERAGE(OFFSET($BH$3,0,0,'Données projet'!$E$11+1,1))-AVERAGE(OFFSET($H$3,0,0,'Données projet'!$E$11+1,1))</f>
        <v>460.77543902152325</v>
      </c>
      <c r="BJ95" s="62">
        <f t="shared" si="92"/>
        <v>341.4342976721104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51.423252891242512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51.423252891242512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-5.6843418860808015E-13</v>
      </c>
      <c r="BZ95" s="14">
        <f>BY95*VLOOKUP('Données projet'!$B$12,Paramètres!$A$1:$I$89,3,0)*VLOOKUP('Données projet'!$B$12,Paramètres!$A$1:$I$89,5,0)</f>
        <v>-3.39923644787632E-13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438.68915237247444</v>
      </c>
      <c r="CE95" s="62">
        <f t="shared" si="94"/>
        <v>376.94419168335452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185.15655450266698</v>
      </c>
      <c r="CL95" s="23">
        <f>EXP(-LN(2)/25)*CL94+(1-EXP(-LN(2)/25))/(LN(2)/25)*Calculateur!CG95*Calculateur!CI95*VLOOKUP('Données projet'!$B$12,Paramètres!$A$1:$I$89,3,0)*0.475*44/12</f>
        <v>25.011252987367037</v>
      </c>
      <c r="CM95" s="23">
        <f>EXP(-LN(2)/2)*CM94+(1-EXP(-LN(2)/2))/(LN(2)/2)*CG95*CJ95*VLOOKUP('Données projet'!$B$12,Paramètres!$A$1:$I$89,3,0)*0.475*44/12</f>
        <v>0.16052900000467238</v>
      </c>
      <c r="CN95" s="24">
        <f t="shared" si="66"/>
        <v>210.32833649003871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10.114285714285716</v>
      </c>
      <c r="CT95" s="13">
        <f>IF('Données projet'!$A$140&gt;35,CT94+CS95-DB94,IF(A95&lt;'Données projet'!$A$140,$CQ$205^A95,IF(A95='Données projet'!$A$140,'Données projet'!$B$140,CT94+CS95-DB94)))</f>
        <v>395.61857142857104</v>
      </c>
      <c r="CU95" s="18">
        <f>CT95*VLOOKUP('Données projet'!$B$13,Paramètres!$A$1:$I$89,3,0)*VLOOKUP('Données projet'!$B$13,Paramètres!$A$1:$I$89,5,0)</f>
        <v>185.14949142857125</v>
      </c>
      <c r="CV95" s="14">
        <f t="shared" si="95"/>
        <v>46.465965603432124</v>
      </c>
      <c r="CW95" s="22">
        <f t="shared" si="67"/>
        <v>403.39692099740586</v>
      </c>
      <c r="CX95" s="62">
        <f t="shared" si="68"/>
        <v>696.73025433073917</v>
      </c>
      <c r="CY95" s="62">
        <f ca="1">AVERAGE(OFFSET($CX$3,0,0,'Données projet'!$E$13+1,1))-AVERAGE(OFFSET($H$3,0,0,'Données projet'!$E$13+1,1))</f>
        <v>302.06513069580848</v>
      </c>
      <c r="CZ95" s="62">
        <f t="shared" si="96"/>
        <v>164.1450425611464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53.707504239675778</v>
      </c>
      <c r="DG95" s="23">
        <f>EXP(-LN(2)/25)*DG94+(1-EXP(-LN(2)/25))/(LN(2)/25)*Calculateur!DB95*Calculateur!DD95*VLOOKUP('Données projet'!$B$13,Paramètres!$A$1:$I$89,3,0)*0.475*44/12</f>
        <v>19.415971947454434</v>
      </c>
      <c r="DH95" s="23">
        <f>EXP(-LN(2)/2)*DH94+(1-EXP(-LN(2)/2))/(LN(2)/2)*DB95*DE95*VLOOKUP('Données projet'!$B$13,Paramètres!$A$1:$I$89,3,0)*0.475*44/12</f>
        <v>0.59024973057556596</v>
      </c>
      <c r="DI95" s="24">
        <f t="shared" si="69"/>
        <v>73.713725917705773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8.2910000000000021</v>
      </c>
      <c r="N96" s="14">
        <f>IF('Données projet'!$A$36&gt;35,N95+M96-V95,IF(A96&lt;'Données projet'!$A$36,$K$205^A96,IF(A96='Données projet'!$A$36,'Données projet'!$B$36,N95+M96-V95)))</f>
        <v>338.49900000000025</v>
      </c>
      <c r="O96" s="14">
        <f>N96*VLOOKUP('Données projet'!$B$9,Paramètres!$A$1:$I$89,3,0)*VLOOKUP('Données projet'!$B$9,Paramètres!$A$1:$I$89,5,0)</f>
        <v>306.27389520000025</v>
      </c>
      <c r="P96" s="14">
        <f t="shared" si="87"/>
        <v>72.490124377904692</v>
      </c>
      <c r="Q96" s="22">
        <f t="shared" si="54"/>
        <v>659.68066743151769</v>
      </c>
      <c r="R96" s="62">
        <f t="shared" si="55"/>
        <v>953.01400076485106</v>
      </c>
      <c r="S96" s="62">
        <f ca="1">AVERAGE(OFFSET($R$3,0,0,'Données projet'!$E$9+1,1))-AVERAGE(OFFSET($H$3,0,0,'Données projet'!$E$9+1,1))</f>
        <v>581.88778927327667</v>
      </c>
      <c r="T96" s="62">
        <f t="shared" si="88"/>
        <v>269.67340993773422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22.811205290926139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22.811205290926139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</v>
      </c>
      <c r="AI96" s="14">
        <f>IF('Données projet'!$A$62&gt;35,AI95+AH96-AQ95,IF(A96&lt;'Données projet'!$A$62,$AF$205^A96,IF(A96='Données projet'!$A$62,'Données projet'!$B$62,AI95+AH96-AQ95)))</f>
        <v>246</v>
      </c>
      <c r="AJ96" s="14">
        <f>AI96*VLOOKUP('Données projet'!$B$10,Paramètres!$A$1:$I$89,3,0)*VLOOKUP('Données projet'!$B$10,Paramètres!$A$1:$I$89,5,0)</f>
        <v>214.90560000000005</v>
      </c>
      <c r="AK96" s="14">
        <f t="shared" si="89"/>
        <v>53.006137800892326</v>
      </c>
      <c r="AL96" s="22">
        <f t="shared" si="58"/>
        <v>466.61294333655422</v>
      </c>
      <c r="AM96" s="62">
        <f t="shared" si="59"/>
        <v>759.94627666988754</v>
      </c>
      <c r="AN96" s="62">
        <f ca="1">AVERAGE(OFFSET($AM$3,0,0,'Données projet'!$E$10+1,1))-AVERAGE(OFFSET($H$3,0,0,'Données projet'!$E$10+1,1))</f>
        <v>354.24684313982857</v>
      </c>
      <c r="AO96" s="62">
        <f t="shared" si="90"/>
        <v>322.65043486962185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28.174755704464733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28.174755704464733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6.8</v>
      </c>
      <c r="BD96" s="13">
        <f>IF('Données projet'!$A$88&gt;35,BD95+BC96-BL95,IF(A96&lt;'Données projet'!$A$88,$BA$205^A96,IF(A96='Données projet'!$A$88,'Données projet'!$B$88,BD95+BC96-BL95)))</f>
        <v>296.40000000000032</v>
      </c>
      <c r="BE96" s="14">
        <f>BD96*VLOOKUP('Données projet'!$B$11,Paramètres!$A$1:$I$89,3,0)*VLOOKUP('Données projet'!$B$11,Paramètres!$A$1:$I$89,5,0)</f>
        <v>282.05424000000033</v>
      </c>
      <c r="BF96" s="14">
        <f t="shared" si="91"/>
        <v>67.400943985427716</v>
      </c>
      <c r="BG96" s="22">
        <f t="shared" si="61"/>
        <v>608.63444544128708</v>
      </c>
      <c r="BH96" s="62">
        <f t="shared" si="62"/>
        <v>901.96777877462046</v>
      </c>
      <c r="BI96" s="62">
        <f ca="1">AVERAGE(OFFSET($BH$3,0,0,'Données projet'!$E$11+1,1))-AVERAGE(OFFSET($H$3,0,0,'Données projet'!$E$11+1,1))</f>
        <v>460.77543902152325</v>
      </c>
      <c r="BJ96" s="62">
        <f t="shared" si="92"/>
        <v>341.4342976721104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50.414874267132468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50.414874267132468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-5.6843418860808015E-13</v>
      </c>
      <c r="BZ96" s="14">
        <f>BY96*VLOOKUP('Données projet'!$B$12,Paramètres!$A$1:$I$89,3,0)*VLOOKUP('Données projet'!$B$12,Paramètres!$A$1:$I$89,5,0)</f>
        <v>-3.39923644787632E-13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438.68915237247444</v>
      </c>
      <c r="CE96" s="62">
        <f t="shared" si="94"/>
        <v>376.94419168335452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181.5257474032166</v>
      </c>
      <c r="CL96" s="23">
        <f>EXP(-LN(2)/25)*CL95+(1-EXP(-LN(2)/25))/(LN(2)/25)*Calculateur!CG96*Calculateur!CI96*VLOOKUP('Données projet'!$B$12,Paramètres!$A$1:$I$89,3,0)*0.475*44/12</f>
        <v>24.327318959142854</v>
      </c>
      <c r="CM96" s="23">
        <f>EXP(-LN(2)/2)*CM95+(1-EXP(-LN(2)/2))/(LN(2)/2)*CG96*CJ96*VLOOKUP('Données projet'!$B$12,Paramètres!$A$1:$I$89,3,0)*0.475*44/12</f>
        <v>0.11351114448039916</v>
      </c>
      <c r="CN96" s="24">
        <f t="shared" si="66"/>
        <v>205.96657750683985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10.114285714285716</v>
      </c>
      <c r="CT96" s="13">
        <f>IF('Données projet'!$A$140&gt;35,CT95+CS96-DB95,IF(A96&lt;'Données projet'!$A$140,$CQ$205^A96,IF(A96='Données projet'!$A$140,'Données projet'!$B$140,CT95+CS96-DB95)))</f>
        <v>405.73285714285674</v>
      </c>
      <c r="CU96" s="18">
        <f>CT96*VLOOKUP('Données projet'!$B$13,Paramètres!$A$1:$I$89,3,0)*VLOOKUP('Données projet'!$B$13,Paramètres!$A$1:$I$89,5,0)</f>
        <v>189.88297714285696</v>
      </c>
      <c r="CV96" s="14">
        <f t="shared" si="95"/>
        <v>47.514079831406946</v>
      </c>
      <c r="CW96" s="22">
        <f t="shared" si="67"/>
        <v>413.4665408968429</v>
      </c>
      <c r="CX96" s="62">
        <f t="shared" si="68"/>
        <v>706.79987423017621</v>
      </c>
      <c r="CY96" s="62">
        <f ca="1">AVERAGE(OFFSET($CX$3,0,0,'Données projet'!$E$13+1,1))-AVERAGE(OFFSET($H$3,0,0,'Données projet'!$E$13+1,1))</f>
        <v>302.06513069580848</v>
      </c>
      <c r="CZ96" s="62">
        <f t="shared" si="96"/>
        <v>164.1450425611464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52.654332839878705</v>
      </c>
      <c r="DG96" s="23">
        <f>EXP(-LN(2)/25)*DG95+(1-EXP(-LN(2)/25))/(LN(2)/25)*Calculateur!DB96*Calculateur!DD96*VLOOKUP('Données projet'!$B$13,Paramètres!$A$1:$I$89,3,0)*0.475*44/12</f>
        <v>18.885041173509702</v>
      </c>
      <c r="DH96" s="23">
        <f>EXP(-LN(2)/2)*DH95+(1-EXP(-LN(2)/2))/(LN(2)/2)*DB96*DE96*VLOOKUP('Données projet'!$B$13,Paramètres!$A$1:$I$89,3,0)*0.475*44/12</f>
        <v>0.41736958708351535</v>
      </c>
      <c r="DI96" s="24">
        <f t="shared" si="69"/>
        <v>71.956743600471924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>
        <f>VLOOKUP(A97,'Données projet'!$A$35:$I$55,2,0)</f>
        <v>346.79</v>
      </c>
      <c r="L97" s="13">
        <f>VLOOKUP(A97,'Données projet'!$A$35:$I$55,9,0)</f>
        <v>8.2910000000000021</v>
      </c>
      <c r="M97" s="13">
        <f t="array" ref="M97">INDEX(L:L,MIN(IF(ISNUMBER(L97:L293),ROW(L97:L293),"")))</f>
        <v>8.2910000000000021</v>
      </c>
      <c r="N97" s="14">
        <f>IF('Données projet'!$A$36&gt;35,N96+M97-V96,IF(A97&lt;'Données projet'!$A$36,$K$205^A97,IF(A97='Données projet'!$A$36,'Données projet'!$B$36,N96+M97-V96)))</f>
        <v>346.79000000000025</v>
      </c>
      <c r="O97" s="14">
        <f>N97*VLOOKUP('Données projet'!$B$9,Paramètres!$A$1:$I$89,3,0)*VLOOKUP('Données projet'!$B$9,Paramètres!$A$1:$I$89,5,0)</f>
        <v>313.77559200000019</v>
      </c>
      <c r="P97" s="14">
        <f t="shared" si="87"/>
        <v>74.056767657464533</v>
      </c>
      <c r="Q97" s="22">
        <f t="shared" si="54"/>
        <v>675.47469307008441</v>
      </c>
      <c r="R97" s="62">
        <f t="shared" si="55"/>
        <v>968.80802640341767</v>
      </c>
      <c r="S97" s="62">
        <f ca="1">AVERAGE(OFFSET($R$3,0,0,'Données projet'!$E$9+1,1))-AVERAGE(OFFSET($H$3,0,0,'Données projet'!$E$9+1,1))</f>
        <v>581.88778927327667</v>
      </c>
      <c r="T97" s="62">
        <f t="shared" si="88"/>
        <v>269.67340993773422</v>
      </c>
      <c r="U97" s="16">
        <f>IF(ISNA(VLOOKUP(A97,'Données projet'!$A$35:$I$55,3,0)),0,VLOOKUP(A97,'Données projet'!$A$35:$I$55,3,0))</f>
        <v>7</v>
      </c>
      <c r="V97" s="16">
        <f>IF(ISNA(VLOOKUP(A97,'Données projet'!$A$35:$I$55,4,0)),0,VLOOKUP(A97,'Données projet'!$A$35:$I$55,4,0))</f>
        <v>61.85</v>
      </c>
      <c r="W97" s="17">
        <f>IF(ISNA(VLOOKUP(A97,'Données projet'!$A$35:$I$55,5,0)),0%,VLOOKUP(A97,'Données projet'!$A$35:$I$55,5,0)*VLOOKUP('Données projet'!$B$9,Paramètres!$A$1:$I$89,7,0))</f>
        <v>0.215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35.664694624072609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35.664694624072609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</v>
      </c>
      <c r="AI97" s="14">
        <f>IF('Données projet'!$A$62&gt;35,AI96+AH97-AQ96,IF(A97&lt;'Données projet'!$A$62,$AF$205^A97,IF(A97='Données projet'!$A$62,'Données projet'!$B$62,AI96+AH97-AQ96)))</f>
        <v>249</v>
      </c>
      <c r="AJ97" s="14">
        <f>AI97*VLOOKUP('Données projet'!$B$10,Paramètres!$A$1:$I$89,3,0)*VLOOKUP('Données projet'!$B$10,Paramètres!$A$1:$I$89,5,0)</f>
        <v>217.52640000000005</v>
      </c>
      <c r="AK97" s="14">
        <f t="shared" si="89"/>
        <v>53.576907690651254</v>
      </c>
      <c r="AL97" s="22">
        <f t="shared" si="58"/>
        <v>472.17159422788433</v>
      </c>
      <c r="AM97" s="62">
        <f t="shared" si="59"/>
        <v>765.50492756121764</v>
      </c>
      <c r="AN97" s="62">
        <f ca="1">AVERAGE(OFFSET($AM$3,0,0,'Données projet'!$E$10+1,1))-AVERAGE(OFFSET($H$3,0,0,'Données projet'!$E$10+1,1))</f>
        <v>354.24684313982857</v>
      </c>
      <c r="AO97" s="62">
        <f t="shared" si="90"/>
        <v>322.65043486962185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27.622265930004289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27.622265930004289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6.8</v>
      </c>
      <c r="BD97" s="13">
        <f>IF('Données projet'!$A$88&gt;35,BD96+BC97-BL96,IF(A97&lt;'Données projet'!$A$88,$BA$205^A97,IF(A97='Données projet'!$A$88,'Données projet'!$B$88,BD96+BC97-BL96)))</f>
        <v>303.20000000000033</v>
      </c>
      <c r="BE97" s="14">
        <f>BD97*VLOOKUP('Données projet'!$B$11,Paramètres!$A$1:$I$89,3,0)*VLOOKUP('Données projet'!$B$11,Paramètres!$A$1:$I$89,5,0)</f>
        <v>288.5251200000003</v>
      </c>
      <c r="BF97" s="14">
        <f t="shared" si="91"/>
        <v>68.765454951707682</v>
      </c>
      <c r="BG97" s="22">
        <f t="shared" si="61"/>
        <v>622.28108470755797</v>
      </c>
      <c r="BH97" s="62">
        <f t="shared" si="62"/>
        <v>915.61441804089122</v>
      </c>
      <c r="BI97" s="62">
        <f ca="1">AVERAGE(OFFSET($BH$3,0,0,'Données projet'!$E$11+1,1))-AVERAGE(OFFSET($H$3,0,0,'Données projet'!$E$11+1,1))</f>
        <v>460.77543902152325</v>
      </c>
      <c r="BJ97" s="62">
        <f t="shared" si="92"/>
        <v>341.4342976721104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49.426269332790987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49.426269332790987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-5.6843418860808015E-13</v>
      </c>
      <c r="BZ97" s="14">
        <f>BY97*VLOOKUP('Données projet'!$B$12,Paramètres!$A$1:$I$89,3,0)*VLOOKUP('Données projet'!$B$12,Paramètres!$A$1:$I$89,5,0)</f>
        <v>-3.39923644787632E-13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438.68915237247444</v>
      </c>
      <c r="CE97" s="62">
        <f t="shared" si="94"/>
        <v>376.94419168335452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177.96613821641276</v>
      </c>
      <c r="CL97" s="23">
        <f>EXP(-LN(2)/25)*CL96+(1-EXP(-LN(2)/25))/(LN(2)/25)*Calculateur!CG97*Calculateur!CI97*VLOOKUP('Données projet'!$B$12,Paramètres!$A$1:$I$89,3,0)*0.475*44/12</f>
        <v>23.662087142886989</v>
      </c>
      <c r="CM97" s="23">
        <f>EXP(-LN(2)/2)*CM96+(1-EXP(-LN(2)/2))/(LN(2)/2)*CG97*CJ97*VLOOKUP('Données projet'!$B$12,Paramètres!$A$1:$I$89,3,0)*0.475*44/12</f>
        <v>8.0264500002336189E-2</v>
      </c>
      <c r="CN97" s="24">
        <f t="shared" si="66"/>
        <v>201.70848985930206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10.114285714285716</v>
      </c>
      <c r="CT97" s="13">
        <f>IF('Données projet'!$A$140&gt;35,CT96+CS97-DB96,IF(A97&lt;'Données projet'!$A$140,$CQ$205^A97,IF(A97='Données projet'!$A$140,'Données projet'!$B$140,CT96+CS97-DB96)))</f>
        <v>415.84714285714244</v>
      </c>
      <c r="CU97" s="18">
        <f>CT97*VLOOKUP('Données projet'!$B$13,Paramètres!$A$1:$I$89,3,0)*VLOOKUP('Données projet'!$B$13,Paramètres!$A$1:$I$89,5,0)</f>
        <v>194.61646285714266</v>
      </c>
      <c r="CV97" s="14">
        <f t="shared" si="95"/>
        <v>48.559156853467215</v>
      </c>
      <c r="CW97" s="22">
        <f t="shared" si="67"/>
        <v>423.53087099597883</v>
      </c>
      <c r="CX97" s="62">
        <f t="shared" si="68"/>
        <v>716.86420432931209</v>
      </c>
      <c r="CY97" s="62">
        <f ca="1">AVERAGE(OFFSET($CX$3,0,0,'Données projet'!$E$13+1,1))-AVERAGE(OFFSET($H$3,0,0,'Données projet'!$E$13+1,1))</f>
        <v>302.06513069580848</v>
      </c>
      <c r="CZ97" s="62">
        <f t="shared" si="96"/>
        <v>164.1450425611464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51.621813488860525</v>
      </c>
      <c r="DG97" s="23">
        <f>EXP(-LN(2)/25)*DG96+(1-EXP(-LN(2)/25))/(LN(2)/25)*Calculateur!DB97*Calculateur!DD97*VLOOKUP('Données projet'!$B$13,Paramètres!$A$1:$I$89,3,0)*0.475*44/12</f>
        <v>18.368628729498926</v>
      </c>
      <c r="DH97" s="23">
        <f>EXP(-LN(2)/2)*DH96+(1-EXP(-LN(2)/2))/(LN(2)/2)*DB97*DE97*VLOOKUP('Données projet'!$B$13,Paramètres!$A$1:$I$89,3,0)*0.475*44/12</f>
        <v>0.29512486528778298</v>
      </c>
      <c r="DI97" s="24">
        <f t="shared" si="69"/>
        <v>70.285567083647237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8.0470000000000024</v>
      </c>
      <c r="N98" s="14">
        <f>IF('Données projet'!$A$36&gt;35,N97+M98-V97,IF(A98&lt;'Données projet'!$A$36,$K$205^A98,IF(A98='Données projet'!$A$36,'Données projet'!$B$36,N97+M98-V97)))</f>
        <v>292.98700000000025</v>
      </c>
      <c r="O98" s="14">
        <f>N98*VLOOKUP('Données projet'!$B$9,Paramètres!$A$1:$I$89,3,0)*VLOOKUP('Données projet'!$B$9,Paramètres!$A$1:$I$89,5,0)</f>
        <v>265.09463760000023</v>
      </c>
      <c r="P98" s="14">
        <f t="shared" si="87"/>
        <v>63.807119294189917</v>
      </c>
      <c r="Q98" s="22">
        <f t="shared" si="54"/>
        <v>572.83722659071452</v>
      </c>
      <c r="R98" s="62">
        <f t="shared" si="55"/>
        <v>866.17055992404789</v>
      </c>
      <c r="S98" s="62">
        <f ca="1">AVERAGE(OFFSET($R$3,0,0,'Données projet'!$E$9+1,1))-AVERAGE(OFFSET($H$3,0,0,'Données projet'!$E$9+1,1))</f>
        <v>581.88778927327667</v>
      </c>
      <c r="T98" s="62">
        <f t="shared" si="88"/>
        <v>269.67340993773422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34.965331715810308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34.965331715810308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252</v>
      </c>
      <c r="AG98" s="13">
        <f>VLOOKUP(A98,'Données projet'!$A$61:$I$81,9,0)</f>
        <v>3</v>
      </c>
      <c r="AH98" s="13">
        <f t="array" ref="AH98">INDEX(AG:AG,MIN(IF(ISNUMBER(AG98:AG294),ROW(AG98:AG294),"")))</f>
        <v>3</v>
      </c>
      <c r="AI98" s="14">
        <f>IF('Données projet'!$A$62&gt;35,AI97+AH98-AQ97,IF(A98&lt;'Données projet'!$A$62,$AF$205^A98,IF(A98='Données projet'!$A$62,'Données projet'!$B$62,AI97+AH98-AQ97)))</f>
        <v>252</v>
      </c>
      <c r="AJ98" s="14">
        <f>AI98*VLOOKUP('Données projet'!$B$10,Paramètres!$A$1:$I$89,3,0)*VLOOKUP('Données projet'!$B$10,Paramètres!$A$1:$I$89,5,0)</f>
        <v>220.14720000000003</v>
      </c>
      <c r="AK98" s="14">
        <f t="shared" si="89"/>
        <v>54.146877667769687</v>
      </c>
      <c r="AL98" s="22">
        <f t="shared" si="58"/>
        <v>477.72885193803222</v>
      </c>
      <c r="AM98" s="62">
        <f t="shared" si="59"/>
        <v>771.06218527136548</v>
      </c>
      <c r="AN98" s="62">
        <f ca="1">AVERAGE(OFFSET($AM$3,0,0,'Données projet'!$E$10+1,1))-AVERAGE(OFFSET($H$3,0,0,'Données projet'!$E$10+1,1))</f>
        <v>354.24684313982857</v>
      </c>
      <c r="AO98" s="62">
        <f t="shared" si="90"/>
        <v>322.65043486962185</v>
      </c>
      <c r="AP98" s="16">
        <f>IF(ISNA(VLOOKUP(A98,'Données projet'!$A$61:$I$81,3,0)),0,VLOOKUP(A98,'Données projet'!$A$61:$I$81,3,0))</f>
        <v>18</v>
      </c>
      <c r="AQ98" s="16">
        <f>IF(ISNA(VLOOKUP(A98,'Données projet'!$A$61:$I$81,4,0)),0,VLOOKUP(A98,'Données projet'!$A$61:$I$81,4,0))</f>
        <v>12</v>
      </c>
      <c r="AR98" s="17">
        <f>IF(ISNA(VLOOKUP(A98,'Données projet'!$A$61:$I$81,5,0)),0%,VLOOKUP(A98,'Données projet'!$A$61:$I$81,5,0)*VLOOKUP('Données projet'!$B$10,Paramètres!$A$1:$I$89,7,0))</f>
        <v>0.34400000000000003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31.067180419491148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31.067180419491148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310</v>
      </c>
      <c r="BB98" s="13">
        <f>VLOOKUP(A98,'Données projet'!$A$87:$I$107,9,0)</f>
        <v>6.8</v>
      </c>
      <c r="BC98" s="13">
        <f t="array" ref="BC98">INDEX(BB:BB,MIN(IF(ISNUMBER(BB98:BB294),ROW(BB98:BB294),"")))</f>
        <v>6.8</v>
      </c>
      <c r="BD98" s="13">
        <f>IF('Données projet'!$A$88&gt;35,BD97+BC98-BL97,IF(A98&lt;'Données projet'!$A$88,$BA$205^A98,IF(A98='Données projet'!$A$88,'Données projet'!$B$88,BD97+BC98-BL97)))</f>
        <v>310.00000000000034</v>
      </c>
      <c r="BE98" s="14">
        <f>BD98*VLOOKUP('Données projet'!$B$11,Paramètres!$A$1:$I$89,3,0)*VLOOKUP('Données projet'!$B$11,Paramètres!$A$1:$I$89,5,0)</f>
        <v>294.99600000000032</v>
      </c>
      <c r="BF98" s="14">
        <f t="shared" si="91"/>
        <v>70.126408118585516</v>
      </c>
      <c r="BG98" s="22">
        <f t="shared" si="61"/>
        <v>635.92152747320358</v>
      </c>
      <c r="BH98" s="62">
        <f t="shared" si="62"/>
        <v>929.25486080653695</v>
      </c>
      <c r="BI98" s="62">
        <f ca="1">AVERAGE(OFFSET($BH$3,0,0,'Données projet'!$E$11+1,1))-AVERAGE(OFFSET($H$3,0,0,'Données projet'!$E$11+1,1))</f>
        <v>460.77543902152325</v>
      </c>
      <c r="BJ98" s="62">
        <f t="shared" si="92"/>
        <v>341.4342976721104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30</v>
      </c>
      <c r="BM98" s="17">
        <f>IF(ISNA(VLOOKUP(A98,'Données projet'!$A$87:$I$107,5,0)),0%,VLOOKUP(A98,'Données projet'!$A$87:$I$107,5,0)*VLOOKUP('Données projet'!$B$11,Paramètres!$A$1:$I$89,7,0))</f>
        <v>0.30099999999999999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57.956299825089374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57.956299825089374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-5.6843418860808015E-13</v>
      </c>
      <c r="BZ98" s="14">
        <f>BY98*VLOOKUP('Données projet'!$B$12,Paramètres!$A$1:$I$89,3,0)*VLOOKUP('Données projet'!$B$12,Paramètres!$A$1:$I$89,5,0)</f>
        <v>-3.39923644787632E-13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438.68915237247444</v>
      </c>
      <c r="CE98" s="62">
        <f t="shared" si="94"/>
        <v>376.94419168335452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174.47633079461494</v>
      </c>
      <c r="CL98" s="23">
        <f>EXP(-LN(2)/25)*CL97+(1-EXP(-LN(2)/25))/(LN(2)/25)*Calculateur!CG98*Calculateur!CI98*VLOOKUP('Données projet'!$B$12,Paramètres!$A$1:$I$89,3,0)*0.475*44/12</f>
        <v>23.015046125629663</v>
      </c>
      <c r="CM98" s="23">
        <f>EXP(-LN(2)/2)*CM97+(1-EXP(-LN(2)/2))/(LN(2)/2)*CG98*CJ98*VLOOKUP('Données projet'!$B$12,Paramètres!$A$1:$I$89,3,0)*0.475*44/12</f>
        <v>5.675557224019958E-2</v>
      </c>
      <c r="CN98" s="24">
        <f t="shared" si="66"/>
        <v>197.5481324924848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10.114285714285716</v>
      </c>
      <c r="CT98" s="13">
        <f>IF('Données projet'!$A$140&gt;35,CT97+CS98-DB97,IF(A98&lt;'Données projet'!$A$140,$CQ$205^A98,IF(A98='Données projet'!$A$140,'Données projet'!$B$140,CT97+CS98-DB97)))</f>
        <v>425.96142857142814</v>
      </c>
      <c r="CU98" s="18">
        <f>CT98*VLOOKUP('Données projet'!$B$13,Paramètres!$A$1:$I$89,3,0)*VLOOKUP('Données projet'!$B$13,Paramètres!$A$1:$I$89,5,0)</f>
        <v>199.34994857142837</v>
      </c>
      <c r="CV98" s="14">
        <f t="shared" si="95"/>
        <v>49.601279039324432</v>
      </c>
      <c r="CW98" s="22">
        <f t="shared" si="67"/>
        <v>433.59005475539442</v>
      </c>
      <c r="CX98" s="62">
        <f t="shared" si="68"/>
        <v>726.92338808872773</v>
      </c>
      <c r="CY98" s="62">
        <f ca="1">AVERAGE(OFFSET($CX$3,0,0,'Données projet'!$E$13+1,1))-AVERAGE(OFFSET($H$3,0,0,'Données projet'!$E$13+1,1))</f>
        <v>302.06513069580848</v>
      </c>
      <c r="CZ98" s="62">
        <f t="shared" si="96"/>
        <v>164.1450425611464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50.609541212541195</v>
      </c>
      <c r="DG98" s="23">
        <f>EXP(-LN(2)/25)*DG97+(1-EXP(-LN(2)/25))/(LN(2)/25)*Calculateur!DB98*Calculateur!DD98*VLOOKUP('Données projet'!$B$13,Paramètres!$A$1:$I$89,3,0)*0.475*44/12</f>
        <v>17.866337610926575</v>
      </c>
      <c r="DH98" s="23">
        <f>EXP(-LN(2)/2)*DH97+(1-EXP(-LN(2)/2))/(LN(2)/2)*DB98*DE98*VLOOKUP('Données projet'!$B$13,Paramètres!$A$1:$I$89,3,0)*0.475*44/12</f>
        <v>0.20868479354175767</v>
      </c>
      <c r="DI98" s="24">
        <f t="shared" si="69"/>
        <v>68.68456361700953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8.0470000000000024</v>
      </c>
      <c r="N99" s="14">
        <f>IF('Données projet'!$A$36&gt;35,N98+M99-V98,IF(A99&lt;'Données projet'!$A$36,$K$205^A99,IF(A99='Données projet'!$A$36,'Données projet'!$B$36,N98+M99-V98)))</f>
        <v>301.03400000000028</v>
      </c>
      <c r="O99" s="14">
        <f>N99*VLOOKUP('Données projet'!$B$9,Paramètres!$A$1:$I$89,3,0)*VLOOKUP('Données projet'!$B$9,Paramètres!$A$1:$I$89,5,0)</f>
        <v>272.37556320000027</v>
      </c>
      <c r="P99" s="14">
        <f t="shared" si="87"/>
        <v>65.35316643513535</v>
      </c>
      <c r="Q99" s="22">
        <f t="shared" ref="Q99:Q130" si="107">(O99+P99)*0.475*44/12</f>
        <v>588.21087078119456</v>
      </c>
      <c r="R99" s="62">
        <f t="shared" si="55"/>
        <v>881.54420411452793</v>
      </c>
      <c r="S99" s="62">
        <f ca="1">AVERAGE(OFFSET($R$3,0,0,'Données projet'!$E$9+1,1))-AVERAGE(OFFSET($H$3,0,0,'Données projet'!$E$9+1,1))</f>
        <v>581.88778927327667</v>
      </c>
      <c r="T99" s="62">
        <f t="shared" si="88"/>
        <v>269.67340993773422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34.279682887609773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34.279682887609773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</v>
      </c>
      <c r="AI99" s="14">
        <f>IF('Données projet'!$A$62&gt;35,AI98+AH99-AQ98,IF(A99&lt;'Données projet'!$A$62,$AF$205^A99,IF(A99='Données projet'!$A$62,'Données projet'!$B$62,AI98+AH99-AQ98)))</f>
        <v>243</v>
      </c>
      <c r="AJ99" s="14">
        <f>AI99*VLOOKUP('Données projet'!$B$10,Paramètres!$A$1:$I$89,3,0)*VLOOKUP('Données projet'!$B$10,Paramètres!$A$1:$I$89,5,0)</f>
        <v>212.28480000000002</v>
      </c>
      <c r="AK99" s="14">
        <f t="shared" si="89"/>
        <v>52.434557099704193</v>
      </c>
      <c r="AL99" s="22">
        <f t="shared" si="58"/>
        <v>461.05288028198476</v>
      </c>
      <c r="AM99" s="62">
        <f t="shared" si="59"/>
        <v>754.38621361531807</v>
      </c>
      <c r="AN99" s="62">
        <f ca="1">AVERAGE(OFFSET($AM$3,0,0,'Données projet'!$E$10+1,1))-AVERAGE(OFFSET($H$3,0,0,'Données projet'!$E$10+1,1))</f>
        <v>354.24684313982857</v>
      </c>
      <c r="AO99" s="62">
        <f t="shared" si="90"/>
        <v>322.65043486962185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30.457971960573914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30.457971960573914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6.4</v>
      </c>
      <c r="BD99" s="13">
        <f>IF('Données projet'!$A$88&gt;35,BD98+BC99-BL98,IF(A99&lt;'Données projet'!$A$88,$BA$205^A99,IF(A99='Données projet'!$A$88,'Données projet'!$B$88,BD98+BC99-BL98)))</f>
        <v>286.40000000000032</v>
      </c>
      <c r="BE99" s="14">
        <f>BD99*VLOOKUP('Données projet'!$B$11,Paramètres!$A$1:$I$89,3,0)*VLOOKUP('Données projet'!$B$11,Paramètres!$A$1:$I$89,5,0)</f>
        <v>272.53824000000031</v>
      </c>
      <c r="BF99" s="14">
        <f t="shared" si="91"/>
        <v>65.387654174541225</v>
      </c>
      <c r="BG99" s="22">
        <f t="shared" si="61"/>
        <v>588.55426568732651</v>
      </c>
      <c r="BH99" s="62">
        <f t="shared" si="62"/>
        <v>881.88759902065976</v>
      </c>
      <c r="BI99" s="62">
        <f ca="1">AVERAGE(OFFSET($BH$3,0,0,'Données projet'!$E$11+1,1))-AVERAGE(OFFSET($H$3,0,0,'Données projet'!$E$11+1,1))</f>
        <v>460.77543902152325</v>
      </c>
      <c r="BJ99" s="62">
        <f t="shared" si="92"/>
        <v>341.4342976721104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56.819812135371755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56.819812135371755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-5.6843418860808015E-13</v>
      </c>
      <c r="BZ99" s="14">
        <f>BY99*VLOOKUP('Données projet'!$B$12,Paramètres!$A$1:$I$89,3,0)*VLOOKUP('Données projet'!$B$12,Paramètres!$A$1:$I$89,5,0)</f>
        <v>-3.39923644787632E-13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438.68915237247444</v>
      </c>
      <c r="CE99" s="62">
        <f t="shared" si="94"/>
        <v>376.94419168335452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171.05495636778622</v>
      </c>
      <c r="CL99" s="23">
        <f>EXP(-LN(2)/25)*CL98+(1-EXP(-LN(2)/25))/(LN(2)/25)*Calculateur!CG99*Calculateur!CI99*VLOOKUP('Données projet'!$B$12,Paramètres!$A$1:$I$89,3,0)*0.475*44/12</f>
        <v>22.385698479015645</v>
      </c>
      <c r="CM99" s="23">
        <f>EXP(-LN(2)/2)*CM98+(1-EXP(-LN(2)/2))/(LN(2)/2)*CG99*CJ99*VLOOKUP('Données projet'!$B$12,Paramètres!$A$1:$I$89,3,0)*0.475*44/12</f>
        <v>4.0132250001168095E-2</v>
      </c>
      <c r="CN99" s="24">
        <f t="shared" si="66"/>
        <v>193.48078709680303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10.114285714285716</v>
      </c>
      <c r="CT99" s="13">
        <f>IF('Données projet'!$A$140&gt;35,CT98+CS99-DB98,IF(A99&lt;'Données projet'!$A$140,$CQ$205^A99,IF(A99='Données projet'!$A$140,'Données projet'!$B$140,CT98+CS99-DB98)))</f>
        <v>436.07571428571384</v>
      </c>
      <c r="CU99" s="18">
        <f>CT99*VLOOKUP('Données projet'!$B$13,Paramètres!$A$1:$I$89,3,0)*VLOOKUP('Données projet'!$B$13,Paramètres!$A$1:$I$89,5,0)</f>
        <v>204.08343428571408</v>
      </c>
      <c r="CV99" s="14">
        <f t="shared" si="95"/>
        <v>50.64052462390368</v>
      </c>
      <c r="CW99" s="22">
        <f t="shared" si="67"/>
        <v>443.64422843425086</v>
      </c>
      <c r="CX99" s="62">
        <f t="shared" si="68"/>
        <v>736.97756176758412</v>
      </c>
      <c r="CY99" s="62">
        <f ca="1">AVERAGE(OFFSET($CX$3,0,0,'Données projet'!$E$13+1,1))-AVERAGE(OFFSET($H$3,0,0,'Données projet'!$E$13+1,1))</f>
        <v>302.06513069580848</v>
      </c>
      <c r="CZ99" s="62">
        <f t="shared" si="96"/>
        <v>164.1450425611464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49.617118978135366</v>
      </c>
      <c r="DG99" s="23">
        <f>EXP(-LN(2)/25)*DG98+(1-EXP(-LN(2)/25))/(LN(2)/25)*Calculateur!DB99*Calculateur!DD99*VLOOKUP('Données projet'!$B$13,Paramètres!$A$1:$I$89,3,0)*0.475*44/12</f>
        <v>17.377781669405927</v>
      </c>
      <c r="DH99" s="23">
        <f>EXP(-LN(2)/2)*DH98+(1-EXP(-LN(2)/2))/(LN(2)/2)*DB99*DE99*VLOOKUP('Données projet'!$B$13,Paramètres!$A$1:$I$89,3,0)*0.475*44/12</f>
        <v>0.14756243264389149</v>
      </c>
      <c r="DI99" s="24">
        <f t="shared" si="69"/>
        <v>67.142463080185195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8.0470000000000024</v>
      </c>
      <c r="N100" s="14">
        <f>IF('Données projet'!$A$36&gt;35,N99+M100-V99,IF(A100&lt;'Données projet'!$A$36,$K$205^A100,IF(A100='Données projet'!$A$36,'Données projet'!$B$36,N99+M100-V99)))</f>
        <v>309.0810000000003</v>
      </c>
      <c r="O100" s="14">
        <f>N100*VLOOKUP('Données projet'!$B$9,Paramètres!$A$1:$I$89,3,0)*VLOOKUP('Données projet'!$B$9,Paramètres!$A$1:$I$89,5,0)</f>
        <v>279.65648880000026</v>
      </c>
      <c r="P100" s="14">
        <f t="shared" si="87"/>
        <v>66.894409904113928</v>
      </c>
      <c r="Q100" s="22">
        <f t="shared" si="107"/>
        <v>603.57614857633223</v>
      </c>
      <c r="R100" s="62">
        <f t="shared" si="55"/>
        <v>896.9094819096656</v>
      </c>
      <c r="S100" s="62">
        <f ca="1">AVERAGE(OFFSET($R$3,0,0,'Données projet'!$E$9+1,1))-AVERAGE(OFFSET($H$3,0,0,'Données projet'!$E$9+1,1))</f>
        <v>581.88778927327667</v>
      </c>
      <c r="T100" s="62">
        <f t="shared" si="88"/>
        <v>269.67340993773422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33.607479214725757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33.607479214725757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</v>
      </c>
      <c r="AI100" s="14">
        <f>IF('Données projet'!$A$62&gt;35,AI99+AH100-AQ99,IF(A100&lt;'Données projet'!$A$62,$AF$205^A100,IF(A100='Données projet'!$A$62,'Données projet'!$B$62,AI99+AH100-AQ99)))</f>
        <v>246</v>
      </c>
      <c r="AJ100" s="14">
        <f>AI100*VLOOKUP('Données projet'!$B$10,Paramètres!$A$1:$I$89,3,0)*VLOOKUP('Données projet'!$B$10,Paramètres!$A$1:$I$89,5,0)</f>
        <v>214.90560000000005</v>
      </c>
      <c r="AK100" s="14">
        <f t="shared" si="89"/>
        <v>53.006137800892326</v>
      </c>
      <c r="AL100" s="22">
        <f t="shared" si="58"/>
        <v>466.61294333655422</v>
      </c>
      <c r="AM100" s="62">
        <f t="shared" si="59"/>
        <v>759.94627666988754</v>
      </c>
      <c r="AN100" s="62">
        <f ca="1">AVERAGE(OFFSET($AM$3,0,0,'Données projet'!$E$10+1,1))-AVERAGE(OFFSET($H$3,0,0,'Données projet'!$E$10+1,1))</f>
        <v>354.24684313982857</v>
      </c>
      <c r="AO100" s="62">
        <f t="shared" si="90"/>
        <v>322.65043486962185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29.860709707955579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29.860709707955579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6.4</v>
      </c>
      <c r="BD100" s="13">
        <f>IF('Données projet'!$A$88&gt;35,BD99+BC100-BL99,IF(A100&lt;'Données projet'!$A$88,$BA$205^A100,IF(A100='Données projet'!$A$88,'Données projet'!$B$88,BD99+BC100-BL99)))</f>
        <v>292.8000000000003</v>
      </c>
      <c r="BE100" s="14">
        <f>BD100*VLOOKUP('Données projet'!$B$11,Paramètres!$A$1:$I$89,3,0)*VLOOKUP('Données projet'!$B$11,Paramètres!$A$1:$I$89,5,0)</f>
        <v>278.62848000000031</v>
      </c>
      <c r="BF100" s="14">
        <f t="shared" si="91"/>
        <v>66.677084499456754</v>
      </c>
      <c r="BG100" s="22">
        <f t="shared" si="61"/>
        <v>601.40719150322104</v>
      </c>
      <c r="BH100" s="62">
        <f t="shared" si="62"/>
        <v>894.74052483655441</v>
      </c>
      <c r="BI100" s="62">
        <f ca="1">AVERAGE(OFFSET($BH$3,0,0,'Données projet'!$E$11+1,1))-AVERAGE(OFFSET($H$3,0,0,'Données projet'!$E$11+1,1))</f>
        <v>460.77543902152325</v>
      </c>
      <c r="BJ100" s="62">
        <f t="shared" si="92"/>
        <v>341.4342976721104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55.705610276060455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55.705610276060455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-5.6843418860808015E-13</v>
      </c>
      <c r="BZ100" s="14">
        <f>BY100*VLOOKUP('Données projet'!$B$12,Paramètres!$A$1:$I$89,3,0)*VLOOKUP('Données projet'!$B$12,Paramètres!$A$1:$I$89,5,0)</f>
        <v>-3.39923644787632E-13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438.68915237247444</v>
      </c>
      <c r="CE100" s="62">
        <f t="shared" si="94"/>
        <v>376.94419168335452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167.70067300663527</v>
      </c>
      <c r="CL100" s="23">
        <f>EXP(-LN(2)/25)*CL99+(1-EXP(-LN(2)/25))/(LN(2)/25)*Calculateur!CG100*Calculateur!CI100*VLOOKUP('Données projet'!$B$12,Paramètres!$A$1:$I$89,3,0)*0.475*44/12</f>
        <v>21.773560376894242</v>
      </c>
      <c r="CM100" s="23">
        <f>EXP(-LN(2)/2)*CM99+(1-EXP(-LN(2)/2))/(LN(2)/2)*CG100*CJ100*VLOOKUP('Données projet'!$B$12,Paramètres!$A$1:$I$89,3,0)*0.475*44/12</f>
        <v>2.837778612009979E-2</v>
      </c>
      <c r="CN100" s="24">
        <f t="shared" si="66"/>
        <v>189.50261116964961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>
        <f>VLOOKUP(A100,'Données projet'!$A$139:$I$159,2,0)</f>
        <v>446.19</v>
      </c>
      <c r="CR100" s="13">
        <f>VLOOKUP(A100,'Données projet'!$A$139:$I$159,9,0)</f>
        <v>10.114285714285716</v>
      </c>
      <c r="CS100" s="13">
        <f t="array" ref="CS100">INDEX(CR:CR,MIN(IF(ISNUMBER(CR100:CR296),ROW(CR100:CR296),"")))</f>
        <v>10.114285714285716</v>
      </c>
      <c r="CT100" s="13">
        <f>IF('Données projet'!$A$140&gt;35,CT99+CS100-DB99,IF(A100&lt;'Données projet'!$A$140,$CQ$205^A100,IF(A100='Données projet'!$A$140,'Données projet'!$B$140,CT99+CS100-DB99)))</f>
        <v>446.18999999999954</v>
      </c>
      <c r="CU100" s="18">
        <f>CT100*VLOOKUP('Données projet'!$B$13,Paramètres!$A$1:$I$89,3,0)*VLOOKUP('Données projet'!$B$13,Paramètres!$A$1:$I$89,5,0)</f>
        <v>208.81691999999978</v>
      </c>
      <c r="CV100" s="14">
        <f t="shared" si="95"/>
        <v>51.676968005915981</v>
      </c>
      <c r="CW100" s="22">
        <f t="shared" si="67"/>
        <v>453.69352161030332</v>
      </c>
      <c r="CX100" s="62">
        <f t="shared" si="68"/>
        <v>747.02685494363664</v>
      </c>
      <c r="CY100" s="62">
        <f ca="1">AVERAGE(OFFSET($CX$3,0,0,'Données projet'!$E$13+1,1))-AVERAGE(OFFSET($H$3,0,0,'Données projet'!$E$13+1,1))</f>
        <v>302.06513069580848</v>
      </c>
      <c r="CZ100" s="62">
        <f t="shared" si="96"/>
        <v>164.1450425611464</v>
      </c>
      <c r="DA100" s="16">
        <f>IF(ISNA(VLOOKUP(A100,'Données projet'!$A$139:$I$159,3,0)),0,VLOOKUP(A100,'Données projet'!$A$139:$I$159,3,0))</f>
        <v>5</v>
      </c>
      <c r="DB100" s="16">
        <f>IF(ISNA(VLOOKUP(A100,'Données projet'!$A$139:$I$159,4,0)),0,VLOOKUP(A100,'Données projet'!$A$139:$I$159,4,0))</f>
        <v>89.6</v>
      </c>
      <c r="DC100" s="17">
        <f>IF(ISNA(VLOOKUP(A100,'Données projet'!$A$139:$I$159,5,0)),0%,VLOOKUP(A100,'Données projet'!$A$139:$I$159,5,0)*VLOOKUP('Données projet'!$B$13,Paramètres!$A$1:$I$89,7,0))</f>
        <v>0.44000000000000006</v>
      </c>
      <c r="DD100" s="17">
        <f>IF(ISNA(VLOOKUP(A100,'Données projet'!$A$139:$I$159,6,0)),0%,VLOOKUP(A100,'Données projet'!$A$139:$I$159,6,0)*VLOOKUP('Données projet'!$B$13,Paramètres!$A$1:$I$89,7,0))</f>
        <v>6.0500000000000005E-2</v>
      </c>
      <c r="DE100" s="17">
        <f>IF(ISNA(VLOOKUP(A100,'Données projet'!$A$139:$I$159,7,0)),0%,VLOOKUP(A100,'Données projet'!$A$139:$I$159,7,0))</f>
        <v>0.09</v>
      </c>
      <c r="DF100" s="23">
        <f>EXP(-LN(2)/35)*DF99+(1-EXP(-LN(2)/35))/(LN(2)/35)*DB100*DC100*VLOOKUP('Données projet'!$B$13,Paramètres!$A$1:$I$89,3,0)*0.475*44/12</f>
        <v>73.119844817132702</v>
      </c>
      <c r="DG100" s="23">
        <f>EXP(-LN(2)/25)*DG99+(1-EXP(-LN(2)/25))/(LN(2)/25)*Calculateur!DB100*Calculateur!DD100*VLOOKUP('Données projet'!$B$13,Paramètres!$A$1:$I$89,3,0)*0.475*44/12</f>
        <v>20.254741426937205</v>
      </c>
      <c r="DH100" s="23">
        <f>EXP(-LN(2)/2)*DH99+(1-EXP(-LN(2)/2))/(LN(2)/2)*DB100*DE100*VLOOKUP('Données projet'!$B$13,Paramètres!$A$1:$I$89,3,0)*0.475*44/12</f>
        <v>4.3773327404854783</v>
      </c>
      <c r="DI100" s="24">
        <f t="shared" si="69"/>
        <v>97.751918984555374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8.0470000000000024</v>
      </c>
      <c r="N101" s="14">
        <f>IF('Données projet'!$A$36&gt;35,N100+M101-V100,IF(A101&lt;'Données projet'!$A$36,$K$205^A101,IF(A101='Données projet'!$A$36,'Données projet'!$B$36,N100+M101-V100)))</f>
        <v>317.12800000000033</v>
      </c>
      <c r="O101" s="14">
        <f>N101*VLOOKUP('Données projet'!$B$9,Paramètres!$A$1:$I$89,3,0)*VLOOKUP('Données projet'!$B$9,Paramètres!$A$1:$I$89,5,0)</f>
        <v>286.93741440000031</v>
      </c>
      <c r="P101" s="14">
        <f t="shared" si="87"/>
        <v>68.430989143985158</v>
      </c>
      <c r="Q101" s="22">
        <f t="shared" si="107"/>
        <v>618.93330283910791</v>
      </c>
      <c r="R101" s="62">
        <f t="shared" si="55"/>
        <v>912.26663617244117</v>
      </c>
      <c r="S101" s="62">
        <f ca="1">AVERAGE(OFFSET($R$3,0,0,'Données projet'!$E$9+1,1))-AVERAGE(OFFSET($H$3,0,0,'Données projet'!$E$9+1,1))</f>
        <v>581.88778927327667</v>
      </c>
      <c r="T101" s="62">
        <f t="shared" si="88"/>
        <v>269.67340993773422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32.948457045863243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32.948457045863243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</v>
      </c>
      <c r="AI101" s="14">
        <f>IF('Données projet'!$A$62&gt;35,AI100+AH101-AQ100,IF(A101&lt;'Données projet'!$A$62,$AF$205^A101,IF(A101='Données projet'!$A$62,'Données projet'!$B$62,AI100+AH101-AQ100)))</f>
        <v>249</v>
      </c>
      <c r="AJ101" s="14">
        <f>AI101*VLOOKUP('Données projet'!$B$10,Paramètres!$A$1:$I$89,3,0)*VLOOKUP('Données projet'!$B$10,Paramètres!$A$1:$I$89,5,0)</f>
        <v>217.52640000000005</v>
      </c>
      <c r="AK101" s="14">
        <f t="shared" si="89"/>
        <v>53.576907690651254</v>
      </c>
      <c r="AL101" s="22">
        <f t="shared" si="58"/>
        <v>472.17159422788433</v>
      </c>
      <c r="AM101" s="62">
        <f t="shared" si="59"/>
        <v>765.50492756121764</v>
      </c>
      <c r="AN101" s="62">
        <f ca="1">AVERAGE(OFFSET($AM$3,0,0,'Données projet'!$E$10+1,1))-AVERAGE(OFFSET($H$3,0,0,'Données projet'!$E$10+1,1))</f>
        <v>354.24684313982857</v>
      </c>
      <c r="AO101" s="62">
        <f t="shared" si="90"/>
        <v>322.65043486962185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29.275159403817085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29.275159403817085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6.4</v>
      </c>
      <c r="BD101" s="13">
        <f>IF('Données projet'!$A$88&gt;35,BD100+BC101-BL100,IF(A101&lt;'Données projet'!$A$88,$BA$205^A101,IF(A101='Données projet'!$A$88,'Données projet'!$B$88,BD100+BC101-BL100)))</f>
        <v>299.20000000000027</v>
      </c>
      <c r="BE101" s="14">
        <f>BD101*VLOOKUP('Données projet'!$B$11,Paramètres!$A$1:$I$89,3,0)*VLOOKUP('Données projet'!$B$11,Paramètres!$A$1:$I$89,5,0)</f>
        <v>284.7187200000003</v>
      </c>
      <c r="BF101" s="14">
        <f t="shared" si="91"/>
        <v>67.963238069504783</v>
      </c>
      <c r="BG101" s="22">
        <f t="shared" si="61"/>
        <v>614.25441030438799</v>
      </c>
      <c r="BH101" s="62">
        <f t="shared" si="62"/>
        <v>907.58774363772136</v>
      </c>
      <c r="BI101" s="62">
        <f ca="1">AVERAGE(OFFSET($BH$3,0,0,'Données projet'!$E$11+1,1))-AVERAGE(OFFSET($H$3,0,0,'Données projet'!$E$11+1,1))</f>
        <v>460.77543902152325</v>
      </c>
      <c r="BJ101" s="62">
        <f t="shared" si="92"/>
        <v>341.4342976721104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54.613257235614221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54.613257235614221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-5.6843418860808015E-13</v>
      </c>
      <c r="BZ101" s="14">
        <f>BY101*VLOOKUP('Données projet'!$B$12,Paramètres!$A$1:$I$89,3,0)*VLOOKUP('Données projet'!$B$12,Paramètres!$A$1:$I$89,5,0)</f>
        <v>-3.39923644787632E-13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438.68915237247444</v>
      </c>
      <c r="CE101" s="62">
        <f t="shared" si="94"/>
        <v>376.94419168335452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164.41216509628566</v>
      </c>
      <c r="CL101" s="23">
        <f>EXP(-LN(2)/25)*CL100+(1-EXP(-LN(2)/25))/(LN(2)/25)*Calculateur!CG101*Calculateur!CI101*VLOOKUP('Données projet'!$B$12,Paramètres!$A$1:$I$89,3,0)*0.475*44/12</f>
        <v>21.178161223366292</v>
      </c>
      <c r="CM101" s="23">
        <f>EXP(-LN(2)/2)*CM100+(1-EXP(-LN(2)/2))/(LN(2)/2)*CG101*CJ101*VLOOKUP('Données projet'!$B$12,Paramètres!$A$1:$I$89,3,0)*0.475*44/12</f>
        <v>2.0066125000584047E-2</v>
      </c>
      <c r="CN101" s="24">
        <f t="shared" si="66"/>
        <v>185.61039244465255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8.9866666666666593</v>
      </c>
      <c r="CT101" s="13">
        <f>IF('Données projet'!$A$140&gt;35,CT100+CS101-DB100,IF(A101&lt;'Données projet'!$A$140,$CQ$205^A101,IF(A101='Données projet'!$A$140,'Données projet'!$B$140,CT100+CS101-DB100)))</f>
        <v>365.57666666666626</v>
      </c>
      <c r="CU101" s="18">
        <f>CT101*VLOOKUP('Données projet'!$B$13,Paramètres!$A$1:$I$89,3,0)*VLOOKUP('Données projet'!$B$13,Paramètres!$A$1:$I$89,5,0)</f>
        <v>171.08987999999982</v>
      </c>
      <c r="CV101" s="14">
        <f t="shared" si="95"/>
        <v>43.334029587999623</v>
      </c>
      <c r="CW101" s="22">
        <f t="shared" si="67"/>
        <v>373.45497586576568</v>
      </c>
      <c r="CX101" s="62">
        <f t="shared" si="68"/>
        <v>666.78830919909899</v>
      </c>
      <c r="CY101" s="62">
        <f ca="1">AVERAGE(OFFSET($CX$3,0,0,'Données projet'!$E$13+1,1))-AVERAGE(OFFSET($H$3,0,0,'Données projet'!$E$13+1,1))</f>
        <v>302.06513069580848</v>
      </c>
      <c r="CZ101" s="62">
        <f t="shared" si="96"/>
        <v>164.1450425611464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71.686009258970316</v>
      </c>
      <c r="DG101" s="23">
        <f>EXP(-LN(2)/25)*DG100+(1-EXP(-LN(2)/25))/(LN(2)/25)*Calculateur!DB101*Calculateur!DD101*VLOOKUP('Données projet'!$B$13,Paramètres!$A$1:$I$89,3,0)*0.475*44/12</f>
        <v>19.700874457467048</v>
      </c>
      <c r="DH101" s="23">
        <f>EXP(-LN(2)/2)*DH100+(1-EXP(-LN(2)/2))/(LN(2)/2)*DB101*DE101*VLOOKUP('Données projet'!$B$13,Paramètres!$A$1:$I$89,3,0)*0.475*44/12</f>
        <v>3.0952416643071756</v>
      </c>
      <c r="DI101" s="24">
        <f t="shared" si="69"/>
        <v>94.482125380744549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8.0470000000000024</v>
      </c>
      <c r="N102" s="14">
        <f>IF('Données projet'!$A$36&gt;35,N101+M102-V101,IF(A102&lt;'Données projet'!$A$36,$K$205^A102,IF(A102='Données projet'!$A$36,'Données projet'!$B$36,N101+M102-V101)))</f>
        <v>325.17500000000035</v>
      </c>
      <c r="O102" s="14">
        <f>N102*VLOOKUP('Données projet'!$B$9,Paramètres!$A$1:$I$89,3,0)*VLOOKUP('Données projet'!$B$9,Paramètres!$A$1:$I$89,5,0)</f>
        <v>294.2183400000003</v>
      </c>
      <c r="P102" s="14">
        <f t="shared" si="87"/>
        <v>69.963036117759913</v>
      </c>
      <c r="Q102" s="22">
        <f t="shared" si="107"/>
        <v>634.28256340509904</v>
      </c>
      <c r="R102" s="62">
        <f t="shared" si="55"/>
        <v>927.61589673843241</v>
      </c>
      <c r="S102" s="62">
        <f ca="1">AVERAGE(OFFSET($R$3,0,0,'Données projet'!$E$9+1,1))-AVERAGE(OFFSET($H$3,0,0,'Données projet'!$E$9+1,1))</f>
        <v>581.88778927327667</v>
      </c>
      <c r="T102" s="62">
        <f t="shared" si="88"/>
        <v>269.67340993773422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32.302357899768289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32.302357899768289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</v>
      </c>
      <c r="AI102" s="14">
        <f>IF('Données projet'!$A$62&gt;35,AI101+AH102-AQ101,IF(A102&lt;'Données projet'!$A$62,$AF$205^A102,IF(A102='Données projet'!$A$62,'Données projet'!$B$62,AI101+AH102-AQ101)))</f>
        <v>252</v>
      </c>
      <c r="AJ102" s="14">
        <f>AI102*VLOOKUP('Données projet'!$B$10,Paramètres!$A$1:$I$89,3,0)*VLOOKUP('Données projet'!$B$10,Paramètres!$A$1:$I$89,5,0)</f>
        <v>220.14720000000003</v>
      </c>
      <c r="AK102" s="14">
        <f t="shared" si="89"/>
        <v>54.146877667769687</v>
      </c>
      <c r="AL102" s="22">
        <f t="shared" si="58"/>
        <v>477.72885193803222</v>
      </c>
      <c r="AM102" s="62">
        <f t="shared" si="59"/>
        <v>771.06218527136548</v>
      </c>
      <c r="AN102" s="62">
        <f ca="1">AVERAGE(OFFSET($AM$3,0,0,'Données projet'!$E$10+1,1))-AVERAGE(OFFSET($H$3,0,0,'Données projet'!$E$10+1,1))</f>
        <v>354.24684313982857</v>
      </c>
      <c r="AO102" s="62">
        <f t="shared" si="90"/>
        <v>322.65043486962185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28.701091383992328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28.701091383992328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6.4</v>
      </c>
      <c r="BD102" s="13">
        <f>IF('Données projet'!$A$88&gt;35,BD101+BC102-BL101,IF(A102&lt;'Données projet'!$A$88,$BA$205^A102,IF(A102='Données projet'!$A$88,'Données projet'!$B$88,BD101+BC102-BL101)))</f>
        <v>305.60000000000025</v>
      </c>
      <c r="BE102" s="14">
        <f>BD102*VLOOKUP('Données projet'!$B$11,Paramètres!$A$1:$I$89,3,0)*VLOOKUP('Données projet'!$B$11,Paramètres!$A$1:$I$89,5,0)</f>
        <v>290.80896000000024</v>
      </c>
      <c r="BF102" s="14">
        <f t="shared" si="91"/>
        <v>69.246193048996432</v>
      </c>
      <c r="BG102" s="22">
        <f t="shared" si="61"/>
        <v>627.09605822700246</v>
      </c>
      <c r="BH102" s="62">
        <f t="shared" si="62"/>
        <v>920.42939156033572</v>
      </c>
      <c r="BI102" s="62">
        <f ca="1">AVERAGE(OFFSET($BH$3,0,0,'Données projet'!$E$11+1,1))-AVERAGE(OFFSET($H$3,0,0,'Données projet'!$E$11+1,1))</f>
        <v>460.77543902152325</v>
      </c>
      <c r="BJ102" s="62">
        <f t="shared" si="92"/>
        <v>341.4342976721104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53.54232457202157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53.54232457202157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-5.6843418860808015E-13</v>
      </c>
      <c r="BZ102" s="14">
        <f>BY102*VLOOKUP('Données projet'!$B$12,Paramètres!$A$1:$I$89,3,0)*VLOOKUP('Données projet'!$B$12,Paramètres!$A$1:$I$89,5,0)</f>
        <v>-3.39923644787632E-13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438.68915237247444</v>
      </c>
      <c r="CE102" s="62">
        <f t="shared" si="94"/>
        <v>376.94419168335452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161.18814282026622</v>
      </c>
      <c r="CL102" s="23">
        <f>EXP(-LN(2)/25)*CL101+(1-EXP(-LN(2)/25))/(LN(2)/25)*Calculateur!CG102*Calculateur!CI102*VLOOKUP('Données projet'!$B$12,Paramètres!$A$1:$I$89,3,0)*0.475*44/12</f>
        <v>20.599043291002246</v>
      </c>
      <c r="CM102" s="23">
        <f>EXP(-LN(2)/2)*CM101+(1-EXP(-LN(2)/2))/(LN(2)/2)*CG102*CJ102*VLOOKUP('Données projet'!$B$12,Paramètres!$A$1:$I$89,3,0)*0.475*44/12</f>
        <v>1.4188893060049895E-2</v>
      </c>
      <c r="CN102" s="24">
        <f t="shared" si="66"/>
        <v>181.80137500432849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8.9866666666666593</v>
      </c>
      <c r="CT102" s="13">
        <f>IF('Données projet'!$A$140&gt;35,CT101+CS102-DB101,IF(A102&lt;'Données projet'!$A$140,$CQ$205^A102,IF(A102='Données projet'!$A$140,'Données projet'!$B$140,CT101+CS102-DB101)))</f>
        <v>374.56333333333293</v>
      </c>
      <c r="CU102" s="18">
        <f>CT102*VLOOKUP('Données projet'!$B$13,Paramètres!$A$1:$I$89,3,0)*VLOOKUP('Données projet'!$B$13,Paramètres!$A$1:$I$89,5,0)</f>
        <v>175.29563999999979</v>
      </c>
      <c r="CV102" s="14">
        <f t="shared" si="95"/>
        <v>44.273945028575589</v>
      </c>
      <c r="CW102" s="22">
        <f t="shared" si="67"/>
        <v>382.41702725810211</v>
      </c>
      <c r="CX102" s="62">
        <f t="shared" si="68"/>
        <v>675.75036059143542</v>
      </c>
      <c r="CY102" s="62">
        <f ca="1">AVERAGE(OFFSET($CX$3,0,0,'Données projet'!$E$13+1,1))-AVERAGE(OFFSET($H$3,0,0,'Données projet'!$E$13+1,1))</f>
        <v>302.06513069580848</v>
      </c>
      <c r="CZ102" s="62">
        <f t="shared" si="96"/>
        <v>164.1450425611464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70.280290341550156</v>
      </c>
      <c r="DG102" s="23">
        <f>EXP(-LN(2)/25)*DG101+(1-EXP(-LN(2)/25))/(LN(2)/25)*Calculateur!DB102*Calculateur!DD102*VLOOKUP('Données projet'!$B$13,Paramètres!$A$1:$I$89,3,0)*0.475*44/12</f>
        <v>19.162153009403649</v>
      </c>
      <c r="DH102" s="23">
        <f>EXP(-LN(2)/2)*DH101+(1-EXP(-LN(2)/2))/(LN(2)/2)*DB102*DE102*VLOOKUP('Données projet'!$B$13,Paramètres!$A$1:$I$89,3,0)*0.475*44/12</f>
        <v>2.1886663702427396</v>
      </c>
      <c r="DI102" s="24">
        <f t="shared" si="69"/>
        <v>91.631109721196552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8.0470000000000024</v>
      </c>
      <c r="N103" s="14">
        <f>IF('Données projet'!$A$36&gt;35,N102+M103-V102,IF(A103&lt;'Données projet'!$A$36,$K$205^A103,IF(A103='Données projet'!$A$36,'Données projet'!$B$36,N102+M103-V102)))</f>
        <v>333.22200000000038</v>
      </c>
      <c r="O103" s="14">
        <f>N103*VLOOKUP('Données projet'!$B$9,Paramètres!$A$1:$I$89,3,0)*VLOOKUP('Données projet'!$B$9,Paramètres!$A$1:$I$89,5,0)</f>
        <v>301.49926560000034</v>
      </c>
      <c r="P103" s="14">
        <f t="shared" si="87"/>
        <v>71.490675884857296</v>
      </c>
      <c r="Q103" s="22">
        <f t="shared" si="107"/>
        <v>649.62414808612709</v>
      </c>
      <c r="R103" s="62">
        <f t="shared" si="55"/>
        <v>942.95748141946046</v>
      </c>
      <c r="S103" s="62">
        <f ca="1">AVERAGE(OFFSET($R$3,0,0,'Données projet'!$E$9+1,1))-AVERAGE(OFFSET($H$3,0,0,'Données projet'!$E$9+1,1))</f>
        <v>581.88778927327667</v>
      </c>
      <c r="T103" s="62">
        <f t="shared" si="88"/>
        <v>269.67340993773422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31.668928363846693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31.668928363846693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255</v>
      </c>
      <c r="AG103" s="13">
        <f>VLOOKUP(A103,'Données projet'!$A$61:$I$81,9,0)</f>
        <v>3</v>
      </c>
      <c r="AH103" s="13">
        <f t="array" ref="AH103">INDEX(AG:AG,MIN(IF(ISNUMBER(AG103:AG299),ROW(AG103:AG299),"")))</f>
        <v>3</v>
      </c>
      <c r="AI103" s="14">
        <f>IF('Données projet'!$A$62&gt;35,AI102+AH103-AQ102,IF(A103&lt;'Données projet'!$A$62,$AF$205^A103,IF(A103='Données projet'!$A$62,'Données projet'!$B$62,AI102+AH103-AQ102)))</f>
        <v>255</v>
      </c>
      <c r="AJ103" s="14">
        <f>AI103*VLOOKUP('Données projet'!$B$10,Paramètres!$A$1:$I$89,3,0)*VLOOKUP('Données projet'!$B$10,Paramètres!$A$1:$I$89,5,0)</f>
        <v>222.76800000000003</v>
      </c>
      <c r="AK103" s="14">
        <f t="shared" si="89"/>
        <v>54.716058356609508</v>
      </c>
      <c r="AL103" s="22">
        <f t="shared" si="58"/>
        <v>483.28473497109491</v>
      </c>
      <c r="AM103" s="62">
        <f t="shared" si="59"/>
        <v>776.61806830442822</v>
      </c>
      <c r="AN103" s="62">
        <f ca="1">AVERAGE(OFFSET($AM$3,0,0,'Données projet'!$E$10+1,1))-AVERAGE(OFFSET($H$3,0,0,'Données projet'!$E$10+1,1))</f>
        <v>354.24684313982857</v>
      </c>
      <c r="AO103" s="62">
        <f t="shared" si="90"/>
        <v>322.65043486962185</v>
      </c>
      <c r="AP103" s="16">
        <f>IF(ISNA(VLOOKUP(A103,'Données projet'!$A$61:$I$81,3,0)),0,VLOOKUP(A103,'Données projet'!$A$61:$I$81,3,0))</f>
        <v>19</v>
      </c>
      <c r="AQ103" s="16">
        <f>IF(ISNA(VLOOKUP(A103,'Données projet'!$A$61:$I$81,4,0)),0,VLOOKUP(A103,'Données projet'!$A$61:$I$81,4,0))</f>
        <v>255</v>
      </c>
      <c r="AR103" s="17">
        <f>IF(ISNA(VLOOKUP(A103,'Données projet'!$A$61:$I$81,5,0)),0%,VLOOKUP(A103,'Données projet'!$A$61:$I$81,5,0)*VLOOKUP('Données projet'!$B$10,Paramètres!$A$1:$I$89,7,0))</f>
        <v>0.34400000000000003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112.85289886257134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112.85289886257134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312</v>
      </c>
      <c r="BB103" s="13">
        <f>VLOOKUP(A103,'Données projet'!$A$87:$I$107,9,0)</f>
        <v>6.4</v>
      </c>
      <c r="BC103" s="13">
        <f t="array" ref="BC103">INDEX(BB:BB,MIN(IF(ISNUMBER(BB103:BB299),ROW(BB103:BB299),"")))</f>
        <v>6.4</v>
      </c>
      <c r="BD103" s="13">
        <f>IF('Données projet'!$A$88&gt;35,BD102+BC103-BL102,IF(A103&lt;'Données projet'!$A$88,$BA$205^A103,IF(A103='Données projet'!$A$88,'Données projet'!$B$88,BD102+BC103-BL102)))</f>
        <v>312.00000000000023</v>
      </c>
      <c r="BE103" s="14">
        <f>BD103*VLOOKUP('Données projet'!$B$11,Paramètres!$A$1:$I$89,3,0)*VLOOKUP('Données projet'!$B$11,Paramètres!$A$1:$I$89,5,0)</f>
        <v>296.89920000000023</v>
      </c>
      <c r="BF103" s="14">
        <f t="shared" si="91"/>
        <v>70.52602414126423</v>
      </c>
      <c r="BG103" s="22">
        <f t="shared" si="61"/>
        <v>639.93226537936891</v>
      </c>
      <c r="BH103" s="62">
        <f t="shared" si="62"/>
        <v>933.26559871270229</v>
      </c>
      <c r="BI103" s="62">
        <f ca="1">AVERAGE(OFFSET($BH$3,0,0,'Données projet'!$E$11+1,1))-AVERAGE(OFFSET($H$3,0,0,'Données projet'!$E$11+1,1))</f>
        <v>460.77543902152325</v>
      </c>
      <c r="BJ103" s="62">
        <f t="shared" si="92"/>
        <v>341.4342976721104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29</v>
      </c>
      <c r="BM103" s="17">
        <f>IF(ISNA(VLOOKUP(A103,'Données projet'!$A$87:$I$107,5,0)),0%,VLOOKUP(A103,'Données projet'!$A$87:$I$107,5,0)*VLOOKUP('Données projet'!$B$11,Paramètres!$A$1:$I$89,7,0))</f>
        <v>0.34400000000000003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62.986801201677174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62.986801201677174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-5.6843418860808015E-13</v>
      </c>
      <c r="BZ103" s="14">
        <f>BY103*VLOOKUP('Données projet'!$B$12,Paramètres!$A$1:$I$89,3,0)*VLOOKUP('Données projet'!$B$12,Paramètres!$A$1:$I$89,5,0)</f>
        <v>-3.39923644787632E-13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438.68915237247444</v>
      </c>
      <c r="CE103" s="62">
        <f t="shared" si="94"/>
        <v>376.94419168335452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158.0273416546201</v>
      </c>
      <c r="CL103" s="23">
        <f>EXP(-LN(2)/25)*CL102+(1-EXP(-LN(2)/25))/(LN(2)/25)*Calculateur!CG103*Calculateur!CI103*VLOOKUP('Données projet'!$B$12,Paramètres!$A$1:$I$89,3,0)*0.475*44/12</f>
        <v>20.035761368953182</v>
      </c>
      <c r="CM103" s="23">
        <f>EXP(-LN(2)/2)*CM102+(1-EXP(-LN(2)/2))/(LN(2)/2)*CG103*CJ103*VLOOKUP('Données projet'!$B$12,Paramètres!$A$1:$I$89,3,0)*0.475*44/12</f>
        <v>1.0033062500292024E-2</v>
      </c>
      <c r="CN103" s="24">
        <f t="shared" si="66"/>
        <v>178.07313608607359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383.55</v>
      </c>
      <c r="CR103" s="13">
        <f>VLOOKUP(A103,'Données projet'!$A$139:$I$159,9,0)</f>
        <v>8.9866666666666593</v>
      </c>
      <c r="CS103" s="13">
        <f t="array" ref="CS103">INDEX(CR:CR,MIN(IF(ISNUMBER(CR103:CR299),ROW(CR103:CR299),"")))</f>
        <v>8.9866666666666593</v>
      </c>
      <c r="CT103" s="13">
        <f>IF('Données projet'!$A$140&gt;35,CT102+CS103-DB102,IF(A103&lt;'Données projet'!$A$140,$CQ$205^A103,IF(A103='Données projet'!$A$140,'Données projet'!$B$140,CT102+CS103-DB102)))</f>
        <v>383.54999999999961</v>
      </c>
      <c r="CU103" s="18">
        <f>CT103*VLOOKUP('Données projet'!$B$13,Paramètres!$A$1:$I$89,3,0)*VLOOKUP('Données projet'!$B$13,Paramètres!$A$1:$I$89,5,0)</f>
        <v>179.50139999999982</v>
      </c>
      <c r="CV103" s="14">
        <f t="shared" si="95"/>
        <v>45.211238950904111</v>
      </c>
      <c r="CW103" s="22">
        <f t="shared" si="67"/>
        <v>391.37451283949099</v>
      </c>
      <c r="CX103" s="62">
        <f t="shared" si="68"/>
        <v>684.70784617282425</v>
      </c>
      <c r="CY103" s="62">
        <f ca="1">AVERAGE(OFFSET($CX$3,0,0,'Données projet'!$E$13+1,1))-AVERAGE(OFFSET($H$3,0,0,'Données projet'!$E$13+1,1))</f>
        <v>302.06513069580848</v>
      </c>
      <c r="CZ103" s="62">
        <f t="shared" si="96"/>
        <v>164.1450425611464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68.902136714696724</v>
      </c>
      <c r="DG103" s="23">
        <f>EXP(-LN(2)/25)*DG102+(1-EXP(-LN(2)/25))/(LN(2)/25)*Calculateur!DB103*Calculateur!DD103*VLOOKUP('Données projet'!$B$13,Paramètres!$A$1:$I$89,3,0)*0.475*44/12</f>
        <v>18.638162927667675</v>
      </c>
      <c r="DH103" s="23">
        <f>EXP(-LN(2)/2)*DH102+(1-EXP(-LN(2)/2))/(LN(2)/2)*DB103*DE103*VLOOKUP('Données projet'!$B$13,Paramètres!$A$1:$I$89,3,0)*0.475*44/12</f>
        <v>1.5476208321535883</v>
      </c>
      <c r="DI103" s="24">
        <f t="shared" si="69"/>
        <v>89.087920474517986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8.0470000000000024</v>
      </c>
      <c r="N104" s="14">
        <f>IF('Données projet'!$A$36&gt;35,N103+M104-V103,IF(A104&lt;'Données projet'!$A$36,$K$205^A104,IF(A104='Données projet'!$A$36,'Données projet'!$B$36,N103+M104-V103)))</f>
        <v>341.2690000000004</v>
      </c>
      <c r="O104" s="14">
        <f>N104*VLOOKUP('Données projet'!$B$9,Paramètres!$A$1:$I$89,3,0)*VLOOKUP('Données projet'!$B$9,Paramètres!$A$1:$I$89,5,0)</f>
        <v>308.78019120000033</v>
      </c>
      <c r="P104" s="14">
        <f t="shared" si="87"/>
        <v>73.014027120130123</v>
      </c>
      <c r="Q104" s="22">
        <f t="shared" si="107"/>
        <v>664.95826357422709</v>
      </c>
      <c r="R104" s="62">
        <f t="shared" si="55"/>
        <v>958.29159690756046</v>
      </c>
      <c r="S104" s="62">
        <f ca="1">AVERAGE(OFFSET($R$3,0,0,'Données projet'!$E$9+1,1))-AVERAGE(OFFSET($H$3,0,0,'Données projet'!$E$9+1,1))</f>
        <v>581.88778927327667</v>
      </c>
      <c r="T104" s="62">
        <f t="shared" si="88"/>
        <v>269.67340993773422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31.047919994770652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31.047919994770652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354.24684313982857</v>
      </c>
      <c r="AO104" s="62">
        <f t="shared" si="90"/>
        <v>322.65043486962185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110.63992234934788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110.63992234934788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6.2</v>
      </c>
      <c r="BD104" s="13">
        <f>IF('Données projet'!$A$88&gt;35,BD103+BC104-BL103,IF(A104&lt;'Données projet'!$A$88,$BA$205^A104,IF(A104='Données projet'!$A$88,'Données projet'!$B$88,BD103+BC104-BL103)))</f>
        <v>289.20000000000022</v>
      </c>
      <c r="BE104" s="14">
        <f>BD104*VLOOKUP('Données projet'!$B$11,Paramètres!$A$1:$I$89,3,0)*VLOOKUP('Données projet'!$B$11,Paramètres!$A$1:$I$89,5,0)</f>
        <v>275.20272000000017</v>
      </c>
      <c r="BF104" s="14">
        <f t="shared" si="91"/>
        <v>65.952188294449357</v>
      </c>
      <c r="BG104" s="22">
        <f t="shared" si="61"/>
        <v>594.17813194616622</v>
      </c>
      <c r="BH104" s="62">
        <f t="shared" si="62"/>
        <v>887.51146527949959</v>
      </c>
      <c r="BI104" s="62">
        <f ca="1">AVERAGE(OFFSET($BH$3,0,0,'Données projet'!$E$11+1,1))-AVERAGE(OFFSET($H$3,0,0,'Données projet'!$E$11+1,1))</f>
        <v>460.77543902152325</v>
      </c>
      <c r="BJ104" s="62">
        <f t="shared" si="92"/>
        <v>341.4342976721104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61.751668448267537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61.751668448267537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-5.6843418860808015E-13</v>
      </c>
      <c r="BZ104" s="14">
        <f>BY104*VLOOKUP('Données projet'!$B$12,Paramètres!$A$1:$I$89,3,0)*VLOOKUP('Données projet'!$B$12,Paramètres!$A$1:$I$89,5,0)</f>
        <v>-3.39923644787632E-13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438.68915237247444</v>
      </c>
      <c r="CE104" s="62">
        <f t="shared" si="94"/>
        <v>376.94419168335452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154.92852187193398</v>
      </c>
      <c r="CL104" s="23">
        <f>EXP(-LN(2)/25)*CL103+(1-EXP(-LN(2)/25))/(LN(2)/25)*Calculateur!CG104*Calculateur!CI104*VLOOKUP('Données projet'!$B$12,Paramètres!$A$1:$I$89,3,0)*0.475*44/12</f>
        <v>19.487882420684258</v>
      </c>
      <c r="CM104" s="23">
        <f>EXP(-LN(2)/2)*CM103+(1-EXP(-LN(2)/2))/(LN(2)/2)*CG104*CJ104*VLOOKUP('Données projet'!$B$12,Paramètres!$A$1:$I$89,3,0)*0.475*44/12</f>
        <v>7.0944465300249475E-3</v>
      </c>
      <c r="CN104" s="24">
        <f t="shared" si="66"/>
        <v>174.42349873914827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9.0579999999999927</v>
      </c>
      <c r="CT104" s="13">
        <f>IF('Données projet'!$A$140&gt;35,CT103+CS104-DB103,IF(A104&lt;'Données projet'!$A$140,$CQ$205^A104,IF(A104='Données projet'!$A$140,'Données projet'!$B$140,CT103+CS104-DB103)))</f>
        <v>392.60799999999961</v>
      </c>
      <c r="CU104" s="18">
        <f>CT104*VLOOKUP('Données projet'!$B$13,Paramètres!$A$1:$I$89,3,0)*VLOOKUP('Données projet'!$B$13,Paramètres!$A$1:$I$89,5,0)</f>
        <v>183.7405439999998</v>
      </c>
      <c r="CV104" s="14">
        <f t="shared" si="95"/>
        <v>46.153389489473831</v>
      </c>
      <c r="CW104" s="22">
        <f t="shared" si="67"/>
        <v>400.39860082749988</v>
      </c>
      <c r="CX104" s="62">
        <f t="shared" si="68"/>
        <v>693.73193416083313</v>
      </c>
      <c r="CY104" s="62">
        <f ca="1">AVERAGE(OFFSET($CX$3,0,0,'Données projet'!$E$13+1,1))-AVERAGE(OFFSET($H$3,0,0,'Données projet'!$E$13+1,1))</f>
        <v>302.06513069580848</v>
      </c>
      <c r="CZ104" s="62">
        <f t="shared" si="96"/>
        <v>164.1450425611464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67.551007839875183</v>
      </c>
      <c r="DG104" s="23">
        <f>EXP(-LN(2)/25)*DG103+(1-EXP(-LN(2)/25))/(LN(2)/25)*Calculateur!DB104*Calculateur!DD104*VLOOKUP('Données projet'!$B$13,Paramètres!$A$1:$I$89,3,0)*0.475*44/12</f>
        <v>18.128501382272212</v>
      </c>
      <c r="DH104" s="23">
        <f>EXP(-LN(2)/2)*DH103+(1-EXP(-LN(2)/2))/(LN(2)/2)*DB104*DE104*VLOOKUP('Données projet'!$B$13,Paramètres!$A$1:$I$89,3,0)*0.475*44/12</f>
        <v>1.09433318512137</v>
      </c>
      <c r="DI104" s="24">
        <f t="shared" si="69"/>
        <v>86.773842407268774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8.0470000000000024</v>
      </c>
      <c r="N105" s="14">
        <f>IF('Données projet'!$A$36&gt;35,N104+M105-V104,IF(A105&lt;'Données projet'!$A$36,$K$205^A105,IF(A105='Données projet'!$A$36,'Données projet'!$B$36,N104+M105-V104)))</f>
        <v>349.31600000000043</v>
      </c>
      <c r="O105" s="14">
        <f>N105*VLOOKUP('Données projet'!$B$9,Paramètres!$A$1:$I$89,3,0)*VLOOKUP('Données projet'!$B$9,Paramètres!$A$1:$I$89,5,0)</f>
        <v>316.06111680000038</v>
      </c>
      <c r="P105" s="14">
        <f t="shared" si="87"/>
        <v>74.533202582557081</v>
      </c>
      <c r="Q105" s="22">
        <f t="shared" si="107"/>
        <v>680.28510625795423</v>
      </c>
      <c r="R105" s="62">
        <f t="shared" si="55"/>
        <v>973.6184395912876</v>
      </c>
      <c r="S105" s="62">
        <f ca="1">AVERAGE(OFFSET($R$3,0,0,'Données projet'!$E$9+1,1))-AVERAGE(OFFSET($H$3,0,0,'Données projet'!$E$9+1,1))</f>
        <v>581.88778927327667</v>
      </c>
      <c r="T105" s="62">
        <f t="shared" si="88"/>
        <v>269.67340993773422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30.439089221034486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30.439089221034486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354.24684313982857</v>
      </c>
      <c r="AO105" s="62">
        <f t="shared" si="90"/>
        <v>322.65043486962185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108.47034095576635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108.47034095576635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6.2</v>
      </c>
      <c r="BD105" s="13">
        <f>IF('Données projet'!$A$88&gt;35,BD104+BC105-BL104,IF(A105&lt;'Données projet'!$A$88,$BA$205^A105,IF(A105='Données projet'!$A$88,'Données projet'!$B$88,BD104+BC105-BL104)))</f>
        <v>295.4000000000002</v>
      </c>
      <c r="BE105" s="14">
        <f>BD105*VLOOKUP('Données projet'!$B$11,Paramètres!$A$1:$I$89,3,0)*VLOOKUP('Données projet'!$B$11,Paramètres!$A$1:$I$89,5,0)</f>
        <v>281.10264000000024</v>
      </c>
      <c r="BF105" s="14">
        <f t="shared" si="91"/>
        <v>67.199975082239746</v>
      </c>
      <c r="BG105" s="22">
        <f t="shared" si="61"/>
        <v>606.62705460156792</v>
      </c>
      <c r="BH105" s="62">
        <f t="shared" si="62"/>
        <v>899.96038793490129</v>
      </c>
      <c r="BI105" s="62">
        <f ca="1">AVERAGE(OFFSET($BH$3,0,0,'Données projet'!$E$11+1,1))-AVERAGE(OFFSET($H$3,0,0,'Données projet'!$E$11+1,1))</f>
        <v>460.77543902152325</v>
      </c>
      <c r="BJ105" s="62">
        <f t="shared" si="92"/>
        <v>341.4342976721104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60.540755894795673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60.540755894795673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-5.6843418860808015E-13</v>
      </c>
      <c r="BZ105" s="14">
        <f>BY105*VLOOKUP('Données projet'!$B$12,Paramètres!$A$1:$I$89,3,0)*VLOOKUP('Données projet'!$B$12,Paramètres!$A$1:$I$89,5,0)</f>
        <v>-3.39923644787632E-13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438.68915237247444</v>
      </c>
      <c r="CE105" s="62">
        <f t="shared" si="94"/>
        <v>376.94419168335452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151.8904680550929</v>
      </c>
      <c r="CL105" s="23">
        <f>EXP(-LN(2)/25)*CL104+(1-EXP(-LN(2)/25))/(LN(2)/25)*Calculateur!CG105*Calculateur!CI105*VLOOKUP('Données projet'!$B$12,Paramètres!$A$1:$I$89,3,0)*0.475*44/12</f>
        <v>18.954985251067452</v>
      </c>
      <c r="CM105" s="23">
        <f>EXP(-LN(2)/2)*CM104+(1-EXP(-LN(2)/2))/(LN(2)/2)*CG105*CJ105*VLOOKUP('Données projet'!$B$12,Paramètres!$A$1:$I$89,3,0)*0.475*44/12</f>
        <v>5.0165312501460118E-3</v>
      </c>
      <c r="CN105" s="24">
        <f t="shared" si="66"/>
        <v>170.85046983741049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9.0579999999999927</v>
      </c>
      <c r="CT105" s="13">
        <f>IF('Données projet'!$A$140&gt;35,CT104+CS105-DB104,IF(A105&lt;'Données projet'!$A$140,$CQ$205^A105,IF(A105='Données projet'!$A$140,'Données projet'!$B$140,CT104+CS105-DB104)))</f>
        <v>401.6659999999996</v>
      </c>
      <c r="CU105" s="18">
        <f>CT105*VLOOKUP('Données projet'!$B$13,Paramètres!$A$1:$I$89,3,0)*VLOOKUP('Données projet'!$B$13,Paramètres!$A$1:$I$89,5,0)</f>
        <v>187.97968799999984</v>
      </c>
      <c r="CV105" s="14">
        <f t="shared" si="95"/>
        <v>47.093013034362791</v>
      </c>
      <c r="CW105" s="22">
        <f t="shared" si="67"/>
        <v>409.41828763484824</v>
      </c>
      <c r="CX105" s="62">
        <f t="shared" si="68"/>
        <v>702.75162096818156</v>
      </c>
      <c r="CY105" s="62">
        <f ca="1">AVERAGE(OFFSET($CX$3,0,0,'Données projet'!$E$13+1,1))-AVERAGE(OFFSET($H$3,0,0,'Données projet'!$E$13+1,1))</f>
        <v>302.06513069580848</v>
      </c>
      <c r="CZ105" s="62">
        <f t="shared" si="96"/>
        <v>164.1450425611464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66.226373778181653</v>
      </c>
      <c r="DG105" s="23">
        <f>EXP(-LN(2)/25)*DG104+(1-EXP(-LN(2)/25))/(LN(2)/25)*Calculateur!DB105*Calculateur!DD105*VLOOKUP('Données projet'!$B$13,Paramètres!$A$1:$I$89,3,0)*0.475*44/12</f>
        <v>17.632776558637524</v>
      </c>
      <c r="DH105" s="23">
        <f>EXP(-LN(2)/2)*DH104+(1-EXP(-LN(2)/2))/(LN(2)/2)*DB105*DE105*VLOOKUP('Données projet'!$B$13,Paramètres!$A$1:$I$89,3,0)*0.475*44/12</f>
        <v>0.77381041607679424</v>
      </c>
      <c r="DI105" s="24">
        <f t="shared" si="69"/>
        <v>84.632960752895968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8.0470000000000024</v>
      </c>
      <c r="N106" s="14">
        <f>IF('Données projet'!$A$36&gt;35,N105+M106-V105,IF(A106&lt;'Données projet'!$A$36,$K$205^A106,IF(A106='Données projet'!$A$36,'Données projet'!$B$36,N105+M106-V105)))</f>
        <v>357.36300000000045</v>
      </c>
      <c r="O106" s="14">
        <f>N106*VLOOKUP('Données projet'!$B$9,Paramètres!$A$1:$I$89,3,0)*VLOOKUP('Données projet'!$B$9,Paramètres!$A$1:$I$89,5,0)</f>
        <v>323.34204240000037</v>
      </c>
      <c r="P106" s="14">
        <f t="shared" si="87"/>
        <v>76.048309539529996</v>
      </c>
      <c r="Q106" s="22">
        <f t="shared" si="107"/>
        <v>695.60486296134877</v>
      </c>
      <c r="R106" s="62">
        <f t="shared" si="55"/>
        <v>988.93819629468203</v>
      </c>
      <c r="S106" s="62">
        <f ca="1">AVERAGE(OFFSET($R$3,0,0,'Données projet'!$E$9+1,1))-AVERAGE(OFFSET($H$3,0,0,'Données projet'!$E$9+1,1))</f>
        <v>581.88778927327667</v>
      </c>
      <c r="T106" s="62">
        <f t="shared" si="88"/>
        <v>269.67340993773422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29.842197247421183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29.842197247421183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354.24684313982857</v>
      </c>
      <c r="AO106" s="62">
        <f t="shared" si="90"/>
        <v>322.65043486962185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106.34330372999895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106.34330372999895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6.2</v>
      </c>
      <c r="BD106" s="13">
        <f>IF('Données projet'!$A$88&gt;35,BD105+BC106-BL105,IF(A106&lt;'Données projet'!$A$88,$BA$205^A106,IF(A106='Données projet'!$A$88,'Données projet'!$B$88,BD105+BC106-BL105)))</f>
        <v>301.60000000000019</v>
      </c>
      <c r="BE106" s="14">
        <f>BD106*VLOOKUP('Données projet'!$B$11,Paramètres!$A$1:$I$89,3,0)*VLOOKUP('Données projet'!$B$11,Paramètres!$A$1:$I$89,5,0)</f>
        <v>287.00256000000019</v>
      </c>
      <c r="BF106" s="14">
        <f t="shared" si="91"/>
        <v>68.444716936118624</v>
      </c>
      <c r="BG106" s="22">
        <f t="shared" si="61"/>
        <v>619.07067399707353</v>
      </c>
      <c r="BH106" s="62">
        <f t="shared" si="62"/>
        <v>912.40400733040678</v>
      </c>
      <c r="BI106" s="62">
        <f ca="1">AVERAGE(OFFSET($BH$3,0,0,'Données projet'!$E$11+1,1))-AVERAGE(OFFSET($H$3,0,0,'Données projet'!$E$11+1,1))</f>
        <v>460.77543902152325</v>
      </c>
      <c r="BJ106" s="62">
        <f t="shared" si="92"/>
        <v>341.4342976721104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59.353588597913664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59.353588597913664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-5.6843418860808015E-13</v>
      </c>
      <c r="BZ106" s="14">
        <f>BY106*VLOOKUP('Données projet'!$B$12,Paramètres!$A$1:$I$89,3,0)*VLOOKUP('Données projet'!$B$12,Paramètres!$A$1:$I$89,5,0)</f>
        <v>-3.39923644787632E-13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438.68915237247444</v>
      </c>
      <c r="CE106" s="62">
        <f t="shared" si="94"/>
        <v>376.94419168335452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148.91198862057021</v>
      </c>
      <c r="CL106" s="23">
        <f>EXP(-LN(2)/25)*CL105+(1-EXP(-LN(2)/25))/(LN(2)/25)*Calculateur!CG106*Calculateur!CI106*VLOOKUP('Données projet'!$B$12,Paramètres!$A$1:$I$89,3,0)*0.475*44/12</f>
        <v>18.436660182577661</v>
      </c>
      <c r="CM106" s="23">
        <f>EXP(-LN(2)/2)*CM105+(1-EXP(-LN(2)/2))/(LN(2)/2)*CG106*CJ106*VLOOKUP('Données projet'!$B$12,Paramètres!$A$1:$I$89,3,0)*0.475*44/12</f>
        <v>3.5472232650124737E-3</v>
      </c>
      <c r="CN106" s="24">
        <f t="shared" si="66"/>
        <v>167.35219602641288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9.0579999999999927</v>
      </c>
      <c r="CT106" s="13">
        <f>IF('Données projet'!$A$140&gt;35,CT105+CS106-DB105,IF(A106&lt;'Données projet'!$A$140,$CQ$205^A106,IF(A106='Données projet'!$A$140,'Données projet'!$B$140,CT105+CS106-DB105)))</f>
        <v>410.72399999999959</v>
      </c>
      <c r="CU106" s="18">
        <f>CT106*VLOOKUP('Données projet'!$B$13,Paramètres!$A$1:$I$89,3,0)*VLOOKUP('Données projet'!$B$13,Paramètres!$A$1:$I$89,5,0)</f>
        <v>192.21883199999982</v>
      </c>
      <c r="CV106" s="14">
        <f t="shared" si="95"/>
        <v>48.030173132671585</v>
      </c>
      <c r="CW106" s="22">
        <f t="shared" si="67"/>
        <v>418.43368393940273</v>
      </c>
      <c r="CX106" s="62">
        <f t="shared" si="68"/>
        <v>711.76701727273598</v>
      </c>
      <c r="CY106" s="62">
        <f ca="1">AVERAGE(OFFSET($CX$3,0,0,'Données projet'!$E$13+1,1))-AVERAGE(OFFSET($H$3,0,0,'Données projet'!$E$13+1,1))</f>
        <v>302.06513069580848</v>
      </c>
      <c r="CZ106" s="62">
        <f t="shared" si="96"/>
        <v>164.1450425611464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64.927714982490926</v>
      </c>
      <c r="DG106" s="23">
        <f>EXP(-LN(2)/25)*DG105+(1-EXP(-LN(2)/25))/(LN(2)/25)*Calculateur!DB106*Calculateur!DD106*VLOOKUP('Données projet'!$B$13,Paramètres!$A$1:$I$89,3,0)*0.475*44/12</f>
        <v>17.150607356374163</v>
      </c>
      <c r="DH106" s="23">
        <f>EXP(-LN(2)/2)*DH105+(1-EXP(-LN(2)/2))/(LN(2)/2)*DB106*DE106*VLOOKUP('Données projet'!$B$13,Paramètres!$A$1:$I$89,3,0)*0.475*44/12</f>
        <v>0.54716659256068512</v>
      </c>
      <c r="DI106" s="24">
        <f t="shared" si="69"/>
        <v>82.625488931425778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>
        <f>VLOOKUP(A107,'Données projet'!$A$35:$I$55,2,0)</f>
        <v>365.41</v>
      </c>
      <c r="L107" s="13">
        <f>VLOOKUP(A107,'Données projet'!$A$35:$I$55,9,0)</f>
        <v>8.0470000000000024</v>
      </c>
      <c r="M107" s="13">
        <f t="array" ref="M107">INDEX(L:L,MIN(IF(ISNUMBER(L107:L303),ROW(L107:L303),"")))</f>
        <v>8.0470000000000024</v>
      </c>
      <c r="N107" s="14">
        <f>IF('Données projet'!$A$36&gt;35,N106+M107-V106,IF(A107&lt;'Données projet'!$A$36,$K$205^A107,IF(A107='Données projet'!$A$36,'Données projet'!$B$36,N106+M107-V106)))</f>
        <v>365.41000000000048</v>
      </c>
      <c r="O107" s="14">
        <f>N107*VLOOKUP('Données projet'!$B$9,Paramètres!$A$1:$I$89,3,0)*VLOOKUP('Données projet'!$B$9,Paramètres!$A$1:$I$89,5,0)</f>
        <v>330.62296800000041</v>
      </c>
      <c r="P107" s="14">
        <f t="shared" si="87"/>
        <v>77.559450151847827</v>
      </c>
      <c r="Q107" s="22">
        <f t="shared" si="107"/>
        <v>710.91771161446911</v>
      </c>
      <c r="R107" s="62">
        <f t="shared" si="55"/>
        <v>1004.2510449478025</v>
      </c>
      <c r="S107" s="62">
        <f ca="1">AVERAGE(OFFSET($R$3,0,0,'Données projet'!$E$9+1,1))-AVERAGE(OFFSET($H$3,0,0,'Données projet'!$E$9+1,1))</f>
        <v>581.88778927327667</v>
      </c>
      <c r="T107" s="62">
        <f t="shared" si="88"/>
        <v>269.67340993773422</v>
      </c>
      <c r="U107" s="16">
        <f>IF(ISNA(VLOOKUP(A107,'Données projet'!$A$35:$I$55,3,0)),0,VLOOKUP(A107,'Données projet'!$A$35:$I$55,3,0))</f>
        <v>8</v>
      </c>
      <c r="V107" s="16">
        <f>IF(ISNA(VLOOKUP(A107,'Données projet'!$A$35:$I$55,4,0)),0,VLOOKUP(A107,'Données projet'!$A$35:$I$55,4,0))</f>
        <v>60.19</v>
      </c>
      <c r="W107" s="17">
        <f>IF(ISNA(VLOOKUP(A107,'Données projet'!$A$35:$I$55,5,0)),0%,VLOOKUP(A107,'Données projet'!$A$35:$I$55,5,0)*VLOOKUP('Données projet'!$B$9,Paramètres!$A$1:$I$89,7,0))</f>
        <v>0.215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42.200831172756061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42.200831172756061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354.24684313982857</v>
      </c>
      <c r="AO107" s="62">
        <f t="shared" si="90"/>
        <v>322.65043486962185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104.25797640686426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104.25797640686426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6.2</v>
      </c>
      <c r="BD107" s="13">
        <f>IF('Données projet'!$A$88&gt;35,BD106+BC107-BL106,IF(A107&lt;'Données projet'!$A$88,$BA$205^A107,IF(A107='Données projet'!$A$88,'Données projet'!$B$88,BD106+BC107-BL106)))</f>
        <v>307.80000000000018</v>
      </c>
      <c r="BE107" s="14">
        <f>BD107*VLOOKUP('Données projet'!$B$11,Paramètres!$A$1:$I$89,3,0)*VLOOKUP('Données projet'!$B$11,Paramètres!$A$1:$I$89,5,0)</f>
        <v>292.90248000000014</v>
      </c>
      <c r="BF107" s="14">
        <f t="shared" si="91"/>
        <v>69.686483663301132</v>
      </c>
      <c r="BG107" s="22">
        <f t="shared" si="61"/>
        <v>631.50911171358302</v>
      </c>
      <c r="BH107" s="62">
        <f t="shared" si="62"/>
        <v>924.84244504691628</v>
      </c>
      <c r="BI107" s="62">
        <f ca="1">AVERAGE(OFFSET($BH$3,0,0,'Données projet'!$E$11+1,1))-AVERAGE(OFFSET($H$3,0,0,'Données projet'!$E$11+1,1))</f>
        <v>460.77543902152325</v>
      </c>
      <c r="BJ107" s="62">
        <f t="shared" si="92"/>
        <v>341.4342976721104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58.189700927622958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58.189700927622958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-5.6843418860808015E-13</v>
      </c>
      <c r="BZ107" s="14">
        <f>BY107*VLOOKUP('Données projet'!$B$12,Paramètres!$A$1:$I$89,3,0)*VLOOKUP('Données projet'!$B$12,Paramètres!$A$1:$I$89,5,0)</f>
        <v>-3.39923644787632E-13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438.68915237247444</v>
      </c>
      <c r="CE107" s="62">
        <f t="shared" si="94"/>
        <v>376.94419168335452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145.99191535106544</v>
      </c>
      <c r="CL107" s="23">
        <f>EXP(-LN(2)/25)*CL106+(1-EXP(-LN(2)/25))/(LN(2)/25)*Calculateur!CG107*Calculateur!CI107*VLOOKUP('Données projet'!$B$12,Paramètres!$A$1:$I$89,3,0)*0.475*44/12</f>
        <v>17.932508740343252</v>
      </c>
      <c r="CM107" s="23">
        <f>EXP(-LN(2)/2)*CM106+(1-EXP(-LN(2)/2))/(LN(2)/2)*CG107*CJ107*VLOOKUP('Données projet'!$B$12,Paramètres!$A$1:$I$89,3,0)*0.475*44/12</f>
        <v>2.5082656250730059E-3</v>
      </c>
      <c r="CN107" s="24">
        <f t="shared" si="66"/>
        <v>163.92693235703376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9.0579999999999927</v>
      </c>
      <c r="CT107" s="13">
        <f>IF('Données projet'!$A$140&gt;35,CT106+CS107-DB106,IF(A107&lt;'Données projet'!$A$140,$CQ$205^A107,IF(A107='Données projet'!$A$140,'Données projet'!$B$140,CT106+CS107-DB106)))</f>
        <v>419.78199999999958</v>
      </c>
      <c r="CU107" s="18">
        <f>CT107*VLOOKUP('Données projet'!$B$13,Paramètres!$A$1:$I$89,3,0)*VLOOKUP('Données projet'!$B$13,Paramètres!$A$1:$I$89,5,0)</f>
        <v>196.4579759999998</v>
      </c>
      <c r="CV107" s="14">
        <f t="shared" si="95"/>
        <v>48.964930368551549</v>
      </c>
      <c r="CW107" s="22">
        <f t="shared" si="67"/>
        <v>427.44489525856028</v>
      </c>
      <c r="CX107" s="62">
        <f t="shared" si="68"/>
        <v>720.77822859189359</v>
      </c>
      <c r="CY107" s="62">
        <f ca="1">AVERAGE(OFFSET($CX$3,0,0,'Données projet'!$E$13+1,1))-AVERAGE(OFFSET($H$3,0,0,'Données projet'!$E$13+1,1))</f>
        <v>302.06513069580848</v>
      </c>
      <c r="CZ107" s="62">
        <f t="shared" si="96"/>
        <v>164.1450425611464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63.654522093680043</v>
      </c>
      <c r="DG107" s="23">
        <f>EXP(-LN(2)/25)*DG106+(1-EXP(-LN(2)/25))/(LN(2)/25)*Calculateur!DB107*Calculateur!DD107*VLOOKUP('Données projet'!$B$13,Paramètres!$A$1:$I$89,3,0)*0.475*44/12</f>
        <v>16.681623096302868</v>
      </c>
      <c r="DH107" s="23">
        <f>EXP(-LN(2)/2)*DH106+(1-EXP(-LN(2)/2))/(LN(2)/2)*DB107*DE107*VLOOKUP('Données projet'!$B$13,Paramètres!$A$1:$I$89,3,0)*0.475*44/12</f>
        <v>0.38690520803839717</v>
      </c>
      <c r="DI107" s="24">
        <f t="shared" si="69"/>
        <v>80.723050398021314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7.9349999999999969</v>
      </c>
      <c r="N108" s="14">
        <f>IF('Données projet'!$A$36&gt;35,N107+M108-V107,IF(A108&lt;'Données projet'!$A$36,$K$205^A108,IF(A108='Données projet'!$A$36,'Données projet'!$B$36,N107+M108-V107)))</f>
        <v>313.15500000000048</v>
      </c>
      <c r="O108" s="14">
        <f>N108*VLOOKUP('Données projet'!$B$9,Paramètres!$A$1:$I$89,3,0)*VLOOKUP('Données projet'!$B$9,Paramètres!$A$1:$I$89,5,0)</f>
        <v>283.34264400000046</v>
      </c>
      <c r="P108" s="14">
        <f t="shared" si="87"/>
        <v>67.672917015543916</v>
      </c>
      <c r="Q108" s="22">
        <f t="shared" si="107"/>
        <v>611.3521021020731</v>
      </c>
      <c r="R108" s="62">
        <f t="shared" si="55"/>
        <v>904.68543543540636</v>
      </c>
      <c r="S108" s="62">
        <f ca="1">AVERAGE(OFFSET($R$3,0,0,'Données projet'!$E$9+1,1))-AVERAGE(OFFSET($H$3,0,0,'Données projet'!$E$9+1,1))</f>
        <v>581.88778927327667</v>
      </c>
      <c r="T108" s="62">
        <f t="shared" si="88"/>
        <v>269.67340993773422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41.373298613423721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41.373298613423721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354.24684313982857</v>
      </c>
      <c r="AO108" s="62">
        <f t="shared" si="90"/>
        <v>322.65043486962185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102.21354108061216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102.21354108061216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314</v>
      </c>
      <c r="BB108" s="13">
        <f>VLOOKUP(A108,'Données projet'!$A$87:$I$107,9,0)</f>
        <v>6.2</v>
      </c>
      <c r="BC108" s="13">
        <f t="array" ref="BC108">INDEX(BB:BB,MIN(IF(ISNUMBER(BB108:BB304),ROW(BB108:BB304),"")))</f>
        <v>6.2</v>
      </c>
      <c r="BD108" s="13">
        <f>IF('Données projet'!$A$88&gt;35,BD107+BC108-BL107,IF(A108&lt;'Données projet'!$A$88,$BA$205^A108,IF(A108='Données projet'!$A$88,'Données projet'!$B$88,BD107+BC108-BL107)))</f>
        <v>314.00000000000017</v>
      </c>
      <c r="BE108" s="14">
        <f>BD108*VLOOKUP('Données projet'!$B$11,Paramètres!$A$1:$I$89,3,0)*VLOOKUP('Données projet'!$B$11,Paramètres!$A$1:$I$89,5,0)</f>
        <v>298.80240000000015</v>
      </c>
      <c r="BF108" s="14">
        <f t="shared" si="91"/>
        <v>70.925342097965824</v>
      </c>
      <c r="BG108" s="22">
        <f t="shared" si="61"/>
        <v>643.94248415395737</v>
      </c>
      <c r="BH108" s="62">
        <f t="shared" si="62"/>
        <v>937.27581748729062</v>
      </c>
      <c r="BI108" s="62">
        <f ca="1">AVERAGE(OFFSET($BH$3,0,0,'Données projet'!$E$11+1,1))-AVERAGE(OFFSET($H$3,0,0,'Données projet'!$E$11+1,1))</f>
        <v>460.77543902152325</v>
      </c>
      <c r="BJ108" s="62">
        <f t="shared" si="92"/>
        <v>341.4342976721104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28</v>
      </c>
      <c r="BM108" s="17">
        <f>IF(ISNA(VLOOKUP(A108,'Données projet'!$A$87:$I$107,5,0)),0%,VLOOKUP(A108,'Données projet'!$A$87:$I$107,5,0)*VLOOKUP('Données projet'!$B$11,Paramètres!$A$1:$I$89,7,0))</f>
        <v>0.34400000000000003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67.181169170636636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67.181169170636636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-5.6843418860808015E-13</v>
      </c>
      <c r="BZ108" s="14">
        <f>BY108*VLOOKUP('Données projet'!$B$12,Paramètres!$A$1:$I$89,3,0)*VLOOKUP('Données projet'!$B$12,Paramètres!$A$1:$I$89,5,0)</f>
        <v>-3.39923644787632E-13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438.68915237247444</v>
      </c>
      <c r="CE108" s="62">
        <f t="shared" si="94"/>
        <v>376.94419168335452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143.12910293730681</v>
      </c>
      <c r="CL108" s="23">
        <f>EXP(-LN(2)/25)*CL107+(1-EXP(-LN(2)/25))/(LN(2)/25)*Calculateur!CG108*Calculateur!CI108*VLOOKUP('Données projet'!$B$12,Paramètres!$A$1:$I$89,3,0)*0.475*44/12</f>
        <v>17.442143345808915</v>
      </c>
      <c r="CM108" s="23">
        <f>EXP(-LN(2)/2)*CM107+(1-EXP(-LN(2)/2))/(LN(2)/2)*CG108*CJ108*VLOOKUP('Données projet'!$B$12,Paramètres!$A$1:$I$89,3,0)*0.475*44/12</f>
        <v>1.7736116325062369E-3</v>
      </c>
      <c r="CN108" s="24">
        <f t="shared" si="66"/>
        <v>160.57301989474823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428.84</v>
      </c>
      <c r="CR108" s="13">
        <f>VLOOKUP(A108,'Données projet'!$A$139:$I$159,9,0)</f>
        <v>9.0579999999999927</v>
      </c>
      <c r="CS108" s="13">
        <f t="array" ref="CS108">INDEX(CR:CR,MIN(IF(ISNUMBER(CR108:CR304),ROW(CR108:CR304),"")))</f>
        <v>9.0579999999999927</v>
      </c>
      <c r="CT108" s="13">
        <f>IF('Données projet'!$A$140&gt;35,CT107+CS108-DB107,IF(A108&lt;'Données projet'!$A$140,$CQ$205^A108,IF(A108='Données projet'!$A$140,'Données projet'!$B$140,CT107+CS108-DB107)))</f>
        <v>428.83999999999958</v>
      </c>
      <c r="CU108" s="18">
        <f>CT108*VLOOKUP('Données projet'!$B$13,Paramètres!$A$1:$I$89,3,0)*VLOOKUP('Données projet'!$B$13,Paramètres!$A$1:$I$89,5,0)</f>
        <v>200.69711999999981</v>
      </c>
      <c r="CV108" s="14">
        <f t="shared" si="95"/>
        <v>49.897342562260832</v>
      </c>
      <c r="CW108" s="22">
        <f t="shared" si="67"/>
        <v>436.4520222959373</v>
      </c>
      <c r="CX108" s="62">
        <f t="shared" si="68"/>
        <v>729.78535562927061</v>
      </c>
      <c r="CY108" s="62">
        <f ca="1">AVERAGE(OFFSET($CX$3,0,0,'Données projet'!$E$13+1,1))-AVERAGE(OFFSET($H$3,0,0,'Données projet'!$E$13+1,1))</f>
        <v>302.06513069580848</v>
      </c>
      <c r="CZ108" s="62">
        <f t="shared" si="96"/>
        <v>164.1450425611464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62.40629574084776</v>
      </c>
      <c r="DG108" s="23">
        <f>EXP(-LN(2)/25)*DG107+(1-EXP(-LN(2)/25))/(LN(2)/25)*Calculateur!DB108*Calculateur!DD108*VLOOKUP('Données projet'!$B$13,Paramètres!$A$1:$I$89,3,0)*0.475*44/12</f>
        <v>16.225463235486036</v>
      </c>
      <c r="DH108" s="23">
        <f>EXP(-LN(2)/2)*DH107+(1-EXP(-LN(2)/2))/(LN(2)/2)*DB108*DE108*VLOOKUP('Données projet'!$B$13,Paramètres!$A$1:$I$89,3,0)*0.475*44/12</f>
        <v>0.27358329628034256</v>
      </c>
      <c r="DI108" s="24">
        <f t="shared" si="69"/>
        <v>78.905342272614135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7.9349999999999969</v>
      </c>
      <c r="N109" s="14">
        <f>IF('Données projet'!$A$36&gt;35,N108+M109-V108,IF(A109&lt;'Données projet'!$A$36,$K$205^A109,IF(A109='Données projet'!$A$36,'Données projet'!$B$36,N108+M109-V108)))</f>
        <v>321.09000000000049</v>
      </c>
      <c r="O109" s="14">
        <f>N109*VLOOKUP('Données projet'!$B$9,Paramètres!$A$1:$I$89,3,0)*VLOOKUP('Données projet'!$B$9,Paramètres!$A$1:$I$89,5,0)</f>
        <v>290.52223200000043</v>
      </c>
      <c r="P109" s="14">
        <f t="shared" si="87"/>
        <v>69.185862279978352</v>
      </c>
      <c r="Q109" s="22">
        <f t="shared" si="107"/>
        <v>626.49159753762979</v>
      </c>
      <c r="R109" s="62">
        <f t="shared" si="55"/>
        <v>919.82493087096304</v>
      </c>
      <c r="S109" s="62">
        <f ca="1">AVERAGE(OFFSET($R$3,0,0,'Données projet'!$E$9+1,1))-AVERAGE(OFFSET($H$3,0,0,'Données projet'!$E$9+1,1))</f>
        <v>581.88778927327667</v>
      </c>
      <c r="T109" s="62">
        <f t="shared" si="88"/>
        <v>269.67340993773422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40.561993462834863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40.561993462834863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354.24684313982857</v>
      </c>
      <c r="AO109" s="62">
        <f t="shared" si="90"/>
        <v>322.65043486962185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100.20919588412545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100.20919588412545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6</v>
      </c>
      <c r="BD109" s="13">
        <f>IF('Données projet'!$A$88&gt;35,BD108+BC109-BL108,IF(A109&lt;'Données projet'!$A$88,$BA$205^A109,IF(A109='Données projet'!$A$88,'Données projet'!$B$88,BD108+BC109-BL108)))</f>
        <v>292.00000000000017</v>
      </c>
      <c r="BE109" s="14">
        <f>BD109*VLOOKUP('Données projet'!$B$11,Paramètres!$A$1:$I$89,3,0)*VLOOKUP('Données projet'!$B$11,Paramètres!$A$1:$I$89,5,0)</f>
        <v>277.86720000000014</v>
      </c>
      <c r="BF109" s="14">
        <f t="shared" si="91"/>
        <v>66.516086548657384</v>
      </c>
      <c r="BG109" s="22">
        <f t="shared" si="61"/>
        <v>599.80089073891179</v>
      </c>
      <c r="BH109" s="62">
        <f t="shared" si="62"/>
        <v>893.13422407224516</v>
      </c>
      <c r="BI109" s="62">
        <f ca="1">AVERAGE(OFFSET($BH$3,0,0,'Données projet'!$E$11+1,1))-AVERAGE(OFFSET($H$3,0,0,'Données projet'!$E$11+1,1))</f>
        <v>460.77543902152325</v>
      </c>
      <c r="BJ109" s="62">
        <f t="shared" si="92"/>
        <v>341.4342976721104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65.86378741966756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65.86378741966756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-5.6843418860808015E-13</v>
      </c>
      <c r="BZ109" s="14">
        <f>BY109*VLOOKUP('Données projet'!$B$12,Paramètres!$A$1:$I$89,3,0)*VLOOKUP('Données projet'!$B$12,Paramètres!$A$1:$I$89,5,0)</f>
        <v>-3.39923644787632E-13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438.68915237247444</v>
      </c>
      <c r="CE109" s="62">
        <f t="shared" si="94"/>
        <v>376.94419168335452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140.32242852883886</v>
      </c>
      <c r="CL109" s="23">
        <f>EXP(-LN(2)/25)*CL108+(1-EXP(-LN(2)/25))/(LN(2)/25)*Calculateur!CG109*Calculateur!CI109*VLOOKUP('Données projet'!$B$12,Paramètres!$A$1:$I$89,3,0)*0.475*44/12</f>
        <v>16.965187018775318</v>
      </c>
      <c r="CM109" s="23">
        <f>EXP(-LN(2)/2)*CM108+(1-EXP(-LN(2)/2))/(LN(2)/2)*CG109*CJ109*VLOOKUP('Données projet'!$B$12,Paramètres!$A$1:$I$89,3,0)*0.475*44/12</f>
        <v>1.254132812536503E-3</v>
      </c>
      <c r="CN109" s="24">
        <f t="shared" si="66"/>
        <v>157.2888696804267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9.0800000000000125</v>
      </c>
      <c r="CT109" s="13">
        <f>IF('Données projet'!$A$140&gt;35,CT108+CS109-DB108,IF(A109&lt;'Données projet'!$A$140,$CQ$205^A109,IF(A109='Données projet'!$A$140,'Données projet'!$B$140,CT108+CS109-DB108)))</f>
        <v>437.91999999999962</v>
      </c>
      <c r="CU109" s="18">
        <f>CT109*VLOOKUP('Données projet'!$B$13,Paramètres!$A$1:$I$89,3,0)*VLOOKUP('Données projet'!$B$13,Paramètres!$A$1:$I$89,5,0)</f>
        <v>204.94655999999981</v>
      </c>
      <c r="CV109" s="14">
        <f t="shared" si="95"/>
        <v>50.829721281867194</v>
      </c>
      <c r="CW109" s="22">
        <f t="shared" si="67"/>
        <v>445.477023232585</v>
      </c>
      <c r="CX109" s="62">
        <f t="shared" si="68"/>
        <v>738.81035656591826</v>
      </c>
      <c r="CY109" s="62">
        <f ca="1">AVERAGE(OFFSET($CX$3,0,0,'Données projet'!$E$13+1,1))-AVERAGE(OFFSET($H$3,0,0,'Données projet'!$E$13+1,1))</f>
        <v>302.06513069580848</v>
      </c>
      <c r="CZ109" s="62">
        <f t="shared" si="96"/>
        <v>164.1450425611464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61.18254634545162</v>
      </c>
      <c r="DG109" s="23">
        <f>EXP(-LN(2)/25)*DG108+(1-EXP(-LN(2)/25))/(LN(2)/25)*Calculateur!DB109*Calculateur!DD109*VLOOKUP('Données projet'!$B$13,Paramètres!$A$1:$I$89,3,0)*0.475*44/12</f>
        <v>15.781777090051643</v>
      </c>
      <c r="DH109" s="23">
        <f>EXP(-LN(2)/2)*DH108+(1-EXP(-LN(2)/2))/(LN(2)/2)*DB109*DE109*VLOOKUP('Données projet'!$B$13,Paramètres!$A$1:$I$89,3,0)*0.475*44/12</f>
        <v>0.19345260401919859</v>
      </c>
      <c r="DI109" s="24">
        <f t="shared" si="69"/>
        <v>77.15777603952246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7.9349999999999969</v>
      </c>
      <c r="N110" s="14">
        <f>IF('Données projet'!$A$36&gt;35,N109+M110-V109,IF(A110&lt;'Données projet'!$A$36,$K$205^A110,IF(A110='Données projet'!$A$36,'Données projet'!$B$36,N109+M110-V109)))</f>
        <v>329.02500000000049</v>
      </c>
      <c r="O110" s="14">
        <f>N110*VLOOKUP('Données projet'!$B$9,Paramètres!$A$1:$I$89,3,0)*VLOOKUP('Données projet'!$B$9,Paramètres!$A$1:$I$89,5,0)</f>
        <v>297.70182000000045</v>
      </c>
      <c r="P110" s="14">
        <f t="shared" si="87"/>
        <v>70.69446125561177</v>
      </c>
      <c r="Q110" s="22">
        <f t="shared" si="107"/>
        <v>641.62352318685794</v>
      </c>
      <c r="R110" s="62">
        <f t="shared" si="55"/>
        <v>934.9568565201912</v>
      </c>
      <c r="S110" s="62">
        <f ca="1">AVERAGE(OFFSET($R$3,0,0,'Données projet'!$E$9+1,1))-AVERAGE(OFFSET($H$3,0,0,'Données projet'!$E$9+1,1))</f>
        <v>581.88778927327667</v>
      </c>
      <c r="T110" s="62">
        <f t="shared" si="88"/>
        <v>269.67340993773422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39.766597511401777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39.766597511401777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354.24684313982857</v>
      </c>
      <c r="AO110" s="62">
        <f t="shared" si="90"/>
        <v>322.65043486962185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98.244154674411988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98.244154674411988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6</v>
      </c>
      <c r="BD110" s="13">
        <f>IF('Données projet'!$A$88&gt;35,BD109+BC110-BL109,IF(A110&lt;'Données projet'!$A$88,$BA$205^A110,IF(A110='Données projet'!$A$88,'Données projet'!$B$88,BD109+BC110-BL109)))</f>
        <v>298.00000000000017</v>
      </c>
      <c r="BE110" s="14">
        <f>BD110*VLOOKUP('Données projet'!$B$11,Paramètres!$A$1:$I$89,3,0)*VLOOKUP('Données projet'!$B$11,Paramètres!$A$1:$I$89,5,0)</f>
        <v>283.57680000000016</v>
      </c>
      <c r="BF110" s="14">
        <f t="shared" si="91"/>
        <v>67.722330225853455</v>
      </c>
      <c r="BG110" s="22">
        <f t="shared" si="61"/>
        <v>611.84598514336176</v>
      </c>
      <c r="BH110" s="62">
        <f t="shared" si="62"/>
        <v>905.17931847669502</v>
      </c>
      <c r="BI110" s="62">
        <f ca="1">AVERAGE(OFFSET($BH$3,0,0,'Données projet'!$E$11+1,1))-AVERAGE(OFFSET($H$3,0,0,'Données projet'!$E$11+1,1))</f>
        <v>460.77543902152325</v>
      </c>
      <c r="BJ110" s="62">
        <f t="shared" si="92"/>
        <v>341.4342976721104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64.57223872131145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64.57223872131145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-5.6843418860808015E-13</v>
      </c>
      <c r="BZ110" s="14">
        <f>BY110*VLOOKUP('Données projet'!$B$12,Paramètres!$A$1:$I$89,3,0)*VLOOKUP('Données projet'!$B$12,Paramètres!$A$1:$I$89,5,0)</f>
        <v>-3.39923644787632E-13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438.68915237247444</v>
      </c>
      <c r="CE110" s="62">
        <f t="shared" si="94"/>
        <v>376.94419168335452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137.57079129361858</v>
      </c>
      <c r="CL110" s="23">
        <f>EXP(-LN(2)/25)*CL109+(1-EXP(-LN(2)/25))/(LN(2)/25)*Calculateur!CG110*Calculateur!CI110*VLOOKUP('Données projet'!$B$12,Paramètres!$A$1:$I$89,3,0)*0.475*44/12</f>
        <v>16.501273087586494</v>
      </c>
      <c r="CM110" s="23">
        <f>EXP(-LN(2)/2)*CM109+(1-EXP(-LN(2)/2))/(LN(2)/2)*CG110*CJ110*VLOOKUP('Données projet'!$B$12,Paramètres!$A$1:$I$89,3,0)*0.475*44/12</f>
        <v>8.8680581625311843E-4</v>
      </c>
      <c r="CN110" s="24">
        <f t="shared" si="66"/>
        <v>154.07295118702135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9.0800000000000125</v>
      </c>
      <c r="CT110" s="13">
        <f>IF('Données projet'!$A$140&gt;35,CT109+CS110-DB109,IF(A110&lt;'Données projet'!$A$140,$CQ$205^A110,IF(A110='Données projet'!$A$140,'Données projet'!$B$140,CT109+CS110-DB109)))</f>
        <v>446.99999999999966</v>
      </c>
      <c r="CU110" s="18">
        <f>CT110*VLOOKUP('Données projet'!$B$13,Paramètres!$A$1:$I$89,3,0)*VLOOKUP('Données projet'!$B$13,Paramètres!$A$1:$I$89,5,0)</f>
        <v>209.19599999999986</v>
      </c>
      <c r="CV110" s="14">
        <f t="shared" si="95"/>
        <v>51.759852265375784</v>
      </c>
      <c r="CW110" s="22">
        <f t="shared" si="67"/>
        <v>454.49810936219592</v>
      </c>
      <c r="CX110" s="62">
        <f t="shared" si="68"/>
        <v>747.83144269552918</v>
      </c>
      <c r="CY110" s="62">
        <f ca="1">AVERAGE(OFFSET($CX$3,0,0,'Données projet'!$E$13+1,1))-AVERAGE(OFFSET($H$3,0,0,'Données projet'!$E$13+1,1))</f>
        <v>302.06513069580848</v>
      </c>
      <c r="CZ110" s="62">
        <f t="shared" si="96"/>
        <v>164.1450425611464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59.982793929285769</v>
      </c>
      <c r="DG110" s="23">
        <f>EXP(-LN(2)/25)*DG109+(1-EXP(-LN(2)/25))/(LN(2)/25)*Calculateur!DB110*Calculateur!DD110*VLOOKUP('Données projet'!$B$13,Paramètres!$A$1:$I$89,3,0)*0.475*44/12</f>
        <v>15.350223565596593</v>
      </c>
      <c r="DH110" s="23">
        <f>EXP(-LN(2)/2)*DH109+(1-EXP(-LN(2)/2))/(LN(2)/2)*DB110*DE110*VLOOKUP('Données projet'!$B$13,Paramètres!$A$1:$I$89,3,0)*0.475*44/12</f>
        <v>0.13679164814017128</v>
      </c>
      <c r="DI110" s="24">
        <f t="shared" si="69"/>
        <v>75.469809143022545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7.9349999999999969</v>
      </c>
      <c r="N111" s="14">
        <f>IF('Données projet'!$A$36&gt;35,N110+M111-V110,IF(A111&lt;'Données projet'!$A$36,$K$205^A111,IF(A111='Données projet'!$A$36,'Données projet'!$B$36,N110+M111-V110)))</f>
        <v>336.96000000000049</v>
      </c>
      <c r="O111" s="14">
        <f>N111*VLOOKUP('Données projet'!$B$9,Paramètres!$A$1:$I$89,3,0)*VLOOKUP('Données projet'!$B$9,Paramètres!$A$1:$I$89,5,0)</f>
        <v>304.88140800000042</v>
      </c>
      <c r="P111" s="14">
        <f t="shared" si="87"/>
        <v>72.198830820277394</v>
      </c>
      <c r="Q111" s="22">
        <f t="shared" si="107"/>
        <v>656.74808261198393</v>
      </c>
      <c r="R111" s="62">
        <f t="shared" si="55"/>
        <v>950.0814159453173</v>
      </c>
      <c r="S111" s="62">
        <f ca="1">AVERAGE(OFFSET($R$3,0,0,'Données projet'!$E$9+1,1))-AVERAGE(OFFSET($H$3,0,0,'Données projet'!$E$9+1,1))</f>
        <v>581.88778927327667</v>
      </c>
      <c r="T111" s="62">
        <f t="shared" si="88"/>
        <v>269.67340993773422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38.986798789432662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38.986798789432662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354.24684313982857</v>
      </c>
      <c r="AO111" s="62">
        <f t="shared" si="90"/>
        <v>322.65043486962185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96.317646724264208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96.317646724264208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6</v>
      </c>
      <c r="BD111" s="13">
        <f>IF('Données projet'!$A$88&gt;35,BD110+BC111-BL110,IF(A111&lt;'Données projet'!$A$88,$BA$205^A111,IF(A111='Données projet'!$A$88,'Données projet'!$B$88,BD110+BC111-BL110)))</f>
        <v>304.00000000000017</v>
      </c>
      <c r="BE111" s="14">
        <f>BD111*VLOOKUP('Données projet'!$B$11,Paramètres!$A$1:$I$89,3,0)*VLOOKUP('Données projet'!$B$11,Paramètres!$A$1:$I$89,5,0)</f>
        <v>289.28640000000019</v>
      </c>
      <c r="BF111" s="14">
        <f t="shared" si="91"/>
        <v>68.925750029647361</v>
      </c>
      <c r="BG111" s="22">
        <f t="shared" si="61"/>
        <v>623.88616130163609</v>
      </c>
      <c r="BH111" s="62">
        <f t="shared" si="62"/>
        <v>917.21949463496935</v>
      </c>
      <c r="BI111" s="62">
        <f ca="1">AVERAGE(OFFSET($BH$3,0,0,'Données projet'!$E$11+1,1))-AVERAGE(OFFSET($H$3,0,0,'Données projet'!$E$11+1,1))</f>
        <v>460.77543902152325</v>
      </c>
      <c r="BJ111" s="62">
        <f t="shared" si="92"/>
        <v>341.4342976721104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63.306016505163193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63.306016505163193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-5.6843418860808015E-13</v>
      </c>
      <c r="BZ111" s="14">
        <f>BY111*VLOOKUP('Données projet'!$B$12,Paramètres!$A$1:$I$89,3,0)*VLOOKUP('Données projet'!$B$12,Paramètres!$A$1:$I$89,5,0)</f>
        <v>-3.39923644787632E-13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438.68915237247444</v>
      </c>
      <c r="CE111" s="62">
        <f t="shared" si="94"/>
        <v>376.94419168335452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134.87311198624801</v>
      </c>
      <c r="CL111" s="23">
        <f>EXP(-LN(2)/25)*CL110+(1-EXP(-LN(2)/25))/(LN(2)/25)*Calculateur!CG111*Calculateur!CI111*VLOOKUP('Données projet'!$B$12,Paramètres!$A$1:$I$89,3,0)*0.475*44/12</f>
        <v>16.050044907242203</v>
      </c>
      <c r="CM111" s="23">
        <f>EXP(-LN(2)/2)*CM110+(1-EXP(-LN(2)/2))/(LN(2)/2)*CG111*CJ111*VLOOKUP('Données projet'!$B$12,Paramètres!$A$1:$I$89,3,0)*0.475*44/12</f>
        <v>6.2706640626825148E-4</v>
      </c>
      <c r="CN111" s="24">
        <f t="shared" si="66"/>
        <v>150.9237839598965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9.0800000000000125</v>
      </c>
      <c r="CT111" s="13">
        <f>IF('Données projet'!$A$140&gt;35,CT110+CS111-DB110,IF(A111&lt;'Données projet'!$A$140,$CQ$205^A111,IF(A111='Données projet'!$A$140,'Données projet'!$B$140,CT110+CS111-DB110)))</f>
        <v>456.0799999999997</v>
      </c>
      <c r="CU111" s="18">
        <f>CT111*VLOOKUP('Données projet'!$B$13,Paramètres!$A$1:$I$89,3,0)*VLOOKUP('Données projet'!$B$13,Paramètres!$A$1:$I$89,5,0)</f>
        <v>213.44543999999985</v>
      </c>
      <c r="CV111" s="14">
        <f t="shared" si="95"/>
        <v>52.687786433025259</v>
      </c>
      <c r="CW111" s="22">
        <f t="shared" si="67"/>
        <v>463.51536937085211</v>
      </c>
      <c r="CX111" s="62">
        <f t="shared" si="68"/>
        <v>756.84870270418537</v>
      </c>
      <c r="CY111" s="62">
        <f ca="1">AVERAGE(OFFSET($CX$3,0,0,'Données projet'!$E$13+1,1))-AVERAGE(OFFSET($H$3,0,0,'Données projet'!$E$13+1,1))</f>
        <v>302.06513069580848</v>
      </c>
      <c r="CZ111" s="62">
        <f t="shared" si="96"/>
        <v>164.1450425611464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58.806567926224218</v>
      </c>
      <c r="DG111" s="23">
        <f>EXP(-LN(2)/25)*DG110+(1-EXP(-LN(2)/25))/(LN(2)/25)*Calculateur!DB111*Calculateur!DD111*VLOOKUP('Données projet'!$B$13,Paramètres!$A$1:$I$89,3,0)*0.475*44/12</f>
        <v>14.93047089496218</v>
      </c>
      <c r="DH111" s="23">
        <f>EXP(-LN(2)/2)*DH110+(1-EXP(-LN(2)/2))/(LN(2)/2)*DB111*DE111*VLOOKUP('Données projet'!$B$13,Paramètres!$A$1:$I$89,3,0)*0.475*44/12</f>
        <v>9.6726302009599294E-2</v>
      </c>
      <c r="DI111" s="24">
        <f t="shared" si="69"/>
        <v>73.833765123196002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7.9349999999999969</v>
      </c>
      <c r="N112" s="14">
        <f>IF('Données projet'!$A$36&gt;35,N111+M112-V111,IF(A112&lt;'Données projet'!$A$36,$K$205^A112,IF(A112='Données projet'!$A$36,'Données projet'!$B$36,N111+M112-V111)))</f>
        <v>344.89500000000049</v>
      </c>
      <c r="O112" s="14">
        <f>N112*VLOOKUP('Données projet'!$B$9,Paramètres!$A$1:$I$89,3,0)*VLOOKUP('Données projet'!$B$9,Paramètres!$A$1:$I$89,5,0)</f>
        <v>312.06099600000044</v>
      </c>
      <c r="P112" s="14">
        <f t="shared" si="87"/>
        <v>73.699082033131035</v>
      </c>
      <c r="Q112" s="22">
        <f t="shared" si="107"/>
        <v>671.86546924103743</v>
      </c>
      <c r="R112" s="62">
        <f t="shared" si="55"/>
        <v>965.1988025743708</v>
      </c>
      <c r="S112" s="62">
        <f ca="1">AVERAGE(OFFSET($R$3,0,0,'Données projet'!$E$9+1,1))-AVERAGE(OFFSET($H$3,0,0,'Données projet'!$E$9+1,1))</f>
        <v>581.88778927327667</v>
      </c>
      <c r="T112" s="62">
        <f t="shared" si="88"/>
        <v>269.67340993773422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38.222291444771109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38.222291444771109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354.24684313982857</v>
      </c>
      <c r="AO112" s="62">
        <f t="shared" si="90"/>
        <v>322.65043486962185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94.428916419965006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94.428916419965006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6</v>
      </c>
      <c r="BD112" s="13">
        <f>IF('Données projet'!$A$88&gt;35,BD111+BC112-BL111,IF(A112&lt;'Données projet'!$A$88,$BA$205^A112,IF(A112='Données projet'!$A$88,'Données projet'!$B$88,BD111+BC112-BL111)))</f>
        <v>310.00000000000017</v>
      </c>
      <c r="BE112" s="14">
        <f>BD112*VLOOKUP('Données projet'!$B$11,Paramètres!$A$1:$I$89,3,0)*VLOOKUP('Données projet'!$B$11,Paramètres!$A$1:$I$89,5,0)</f>
        <v>294.99600000000015</v>
      </c>
      <c r="BF112" s="14">
        <f t="shared" si="91"/>
        <v>70.126408118585445</v>
      </c>
      <c r="BG112" s="22">
        <f t="shared" si="61"/>
        <v>635.92152747320313</v>
      </c>
      <c r="BH112" s="62">
        <f t="shared" si="62"/>
        <v>929.2548608065365</v>
      </c>
      <c r="BI112" s="62">
        <f ca="1">AVERAGE(OFFSET($BH$3,0,0,'Données projet'!$E$11+1,1))-AVERAGE(OFFSET($H$3,0,0,'Données projet'!$E$11+1,1))</f>
        <v>460.77543902152325</v>
      </c>
      <c r="BJ112" s="62">
        <f t="shared" si="92"/>
        <v>341.4342976721104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62.064624134354311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62.064624134354311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-5.6843418860808015E-13</v>
      </c>
      <c r="BZ112" s="14">
        <f>BY112*VLOOKUP('Données projet'!$B$12,Paramètres!$A$1:$I$89,3,0)*VLOOKUP('Données projet'!$B$12,Paramètres!$A$1:$I$89,5,0)</f>
        <v>-3.39923644787632E-13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438.68915237247444</v>
      </c>
      <c r="CE112" s="62">
        <f t="shared" si="94"/>
        <v>376.94419168335452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132.22833252467305</v>
      </c>
      <c r="CL112" s="23">
        <f>EXP(-LN(2)/25)*CL111+(1-EXP(-LN(2)/25))/(LN(2)/25)*Calculateur!CG112*Calculateur!CI112*VLOOKUP('Données projet'!$B$12,Paramètres!$A$1:$I$89,3,0)*0.475*44/12</f>
        <v>15.611155585218485</v>
      </c>
      <c r="CM112" s="23">
        <f>EXP(-LN(2)/2)*CM111+(1-EXP(-LN(2)/2))/(LN(2)/2)*CG112*CJ112*VLOOKUP('Données projet'!$B$12,Paramètres!$A$1:$I$89,3,0)*0.475*44/12</f>
        <v>4.4340290812655922E-4</v>
      </c>
      <c r="CN112" s="24">
        <f t="shared" si="66"/>
        <v>147.83993151279967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>
        <f>VLOOKUP(A112,'Données projet'!$A$139:$I$159,2,0)</f>
        <v>465.16</v>
      </c>
      <c r="CR112" s="13">
        <f>VLOOKUP(A112,'Données projet'!$A$139:$I$159,9,0)</f>
        <v>9.0800000000000125</v>
      </c>
      <c r="CS112" s="13">
        <f t="array" ref="CS112">INDEX(CR:CR,MIN(IF(ISNUMBER(CR112:CR308),ROW(CR112:CR308),"")))</f>
        <v>9.0800000000000125</v>
      </c>
      <c r="CT112" s="13">
        <f>IF('Données projet'!$A$140&gt;35,CT111+CS112-DB111,IF(A112&lt;'Données projet'!$A$140,$CQ$205^A112,IF(A112='Données projet'!$A$140,'Données projet'!$B$140,CT111+CS112-DB111)))</f>
        <v>465.15999999999974</v>
      </c>
      <c r="CU112" s="18">
        <f>CT112*VLOOKUP('Données projet'!$B$13,Paramètres!$A$1:$I$89,3,0)*VLOOKUP('Données projet'!$B$13,Paramètres!$A$1:$I$89,5,0)</f>
        <v>217.69487999999987</v>
      </c>
      <c r="CV112" s="14">
        <f t="shared" si="95"/>
        <v>53.613572561591639</v>
      </c>
      <c r="CW112" s="22">
        <f t="shared" si="67"/>
        <v>472.52888821143847</v>
      </c>
      <c r="CX112" s="62">
        <f t="shared" si="68"/>
        <v>765.86222154477173</v>
      </c>
      <c r="CY112" s="62">
        <f ca="1">AVERAGE(OFFSET($CX$3,0,0,'Données projet'!$E$13+1,1))-AVERAGE(OFFSET($H$3,0,0,'Données projet'!$E$13+1,1))</f>
        <v>302.06513069580848</v>
      </c>
      <c r="CZ112" s="62">
        <f t="shared" si="96"/>
        <v>164.1450425611464</v>
      </c>
      <c r="DA112" s="16">
        <f>IF(ISNA(VLOOKUP(A112,'Données projet'!$A$139:$I$159,3,0)),0,VLOOKUP(A112,'Données projet'!$A$139:$I$159,3,0))</f>
        <v>6</v>
      </c>
      <c r="DB112" s="16">
        <f>IF(ISNA(VLOOKUP(A112,'Données projet'!$A$139:$I$159,4,0)),0,VLOOKUP(A112,'Données projet'!$A$139:$I$159,4,0))</f>
        <v>91.09</v>
      </c>
      <c r="DC112" s="17">
        <f>IF(ISNA(VLOOKUP(A112,'Données projet'!$A$139:$I$159,5,0)),0%,VLOOKUP(A112,'Données projet'!$A$139:$I$159,5,0)*VLOOKUP('Données projet'!$B$13,Paramètres!$A$1:$I$89,7,0))</f>
        <v>0.44000000000000006</v>
      </c>
      <c r="DD112" s="17">
        <f>IF(ISNA(VLOOKUP(A112,'Données projet'!$A$139:$I$159,6,0)),0%,VLOOKUP(A112,'Données projet'!$A$139:$I$159,6,0)*VLOOKUP('Données projet'!$B$13,Paramètres!$A$1:$I$89,7,0))</f>
        <v>6.0500000000000005E-2</v>
      </c>
      <c r="DE112" s="17">
        <f>IF(ISNA(VLOOKUP(A112,'Données projet'!$A$139:$I$159,7,0)),0%,VLOOKUP(A112,'Données projet'!$A$139:$I$159,7,0))</f>
        <v>0.09</v>
      </c>
      <c r="DF112" s="23">
        <f>EXP(-LN(2)/35)*DF111+(1-EXP(-LN(2)/35))/(LN(2)/35)*DB112*DC112*VLOOKUP('Données projet'!$B$13,Paramètres!$A$1:$I$89,3,0)*0.475*44/12</f>
        <v>82.536111843829474</v>
      </c>
      <c r="DG112" s="23">
        <f>EXP(-LN(2)/25)*DG111+(1-EXP(-LN(2)/25))/(LN(2)/25)*Calculateur!DB112*Calculateur!DD112*VLOOKUP('Données projet'!$B$13,Paramètres!$A$1:$I$89,3,0)*0.475*44/12</f>
        <v>17.930097054649426</v>
      </c>
      <c r="DH112" s="23">
        <f>EXP(-LN(2)/2)*DH111+(1-EXP(-LN(2)/2))/(LN(2)/2)*DB112*DE112*VLOOKUP('Données projet'!$B$13,Paramètres!$A$1:$I$89,3,0)*0.475*44/12</f>
        <v>4.4124437080986896</v>
      </c>
      <c r="DI112" s="24">
        <f t="shared" si="69"/>
        <v>104.87865260657759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7.9349999999999969</v>
      </c>
      <c r="N113" s="14">
        <f>IF('Données projet'!$A$36&gt;35,N112+M113-V112,IF(A113&lt;'Données projet'!$A$36,$K$205^A113,IF(A113='Données projet'!$A$36,'Données projet'!$B$36,N112+M113-V112)))</f>
        <v>352.8300000000005</v>
      </c>
      <c r="O113" s="14">
        <f>N113*VLOOKUP('Données projet'!$B$9,Paramètres!$A$1:$I$89,3,0)*VLOOKUP('Données projet'!$B$9,Paramètres!$A$1:$I$89,5,0)</f>
        <v>319.24058400000041</v>
      </c>
      <c r="P113" s="14">
        <f t="shared" si="87"/>
        <v>75.195320551435159</v>
      </c>
      <c r="Q113" s="22">
        <f t="shared" si="107"/>
        <v>686.97586709375025</v>
      </c>
      <c r="R113" s="62">
        <f t="shared" si="55"/>
        <v>980.30920042708362</v>
      </c>
      <c r="S113" s="62">
        <f ca="1">AVERAGE(OFFSET($R$3,0,0,'Données projet'!$E$9+1,1))-AVERAGE(OFFSET($H$3,0,0,'Données projet'!$E$9+1,1))</f>
        <v>581.88778927327667</v>
      </c>
      <c r="T113" s="62">
        <f t="shared" si="88"/>
        <v>269.67340993773422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37.472775622834931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37.472775622834931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354.24684313982857</v>
      </c>
      <c r="AO113" s="62">
        <f t="shared" si="90"/>
        <v>322.65043486962185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92.577222964921376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92.577222964921376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316</v>
      </c>
      <c r="BB113" s="13">
        <f>VLOOKUP(A113,'Données projet'!$A$87:$I$107,9,0)</f>
        <v>6</v>
      </c>
      <c r="BC113" s="13">
        <f t="array" ref="BC113">INDEX(BB:BB,MIN(IF(ISNUMBER(BB113:BB309),ROW(BB113:BB309),"")))</f>
        <v>6</v>
      </c>
      <c r="BD113" s="13">
        <f>IF('Données projet'!$A$88&gt;35,BD112+BC113-BL112,IF(A113&lt;'Données projet'!$A$88,$BA$205^A113,IF(A113='Données projet'!$A$88,'Données projet'!$B$88,BD112+BC113-BL112)))</f>
        <v>316.00000000000017</v>
      </c>
      <c r="BE113" s="14">
        <f>BD113*VLOOKUP('Données projet'!$B$11,Paramètres!$A$1:$I$89,3,0)*VLOOKUP('Données projet'!$B$11,Paramètres!$A$1:$I$89,5,0)</f>
        <v>300.70560000000017</v>
      </c>
      <c r="BF113" s="14">
        <f t="shared" si="91"/>
        <v>71.32436410742946</v>
      </c>
      <c r="BG113" s="22">
        <f t="shared" si="61"/>
        <v>647.95218748710658</v>
      </c>
      <c r="BH113" s="62">
        <f t="shared" si="62"/>
        <v>941.28552082043984</v>
      </c>
      <c r="BI113" s="62">
        <f ca="1">AVERAGE(OFFSET($BH$3,0,0,'Données projet'!$E$11+1,1))-AVERAGE(OFFSET($H$3,0,0,'Données projet'!$E$11+1,1))</f>
        <v>460.77543902152325</v>
      </c>
      <c r="BJ113" s="62">
        <f t="shared" si="92"/>
        <v>341.4342976721104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28</v>
      </c>
      <c r="BM113" s="17">
        <f>IF(ISNA(VLOOKUP(A113,'Données projet'!$A$87:$I$107,5,0)),0%,VLOOKUP(A113,'Données projet'!$A$87:$I$107,5,0)*VLOOKUP('Données projet'!$B$11,Paramètres!$A$1:$I$89,7,0))</f>
        <v>0.34400000000000003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70.980107496753774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70.980107496753774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-5.6843418860808015E-13</v>
      </c>
      <c r="BZ113" s="14">
        <f>BY113*VLOOKUP('Données projet'!$B$12,Paramètres!$A$1:$I$89,3,0)*VLOOKUP('Données projet'!$B$12,Paramètres!$A$1:$I$89,5,0)</f>
        <v>-3.39923644787632E-13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438.68915237247444</v>
      </c>
      <c r="CE113" s="62">
        <f t="shared" si="94"/>
        <v>376.94419168335452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129.6354155751834</v>
      </c>
      <c r="CL113" s="23">
        <f>EXP(-LN(2)/25)*CL112+(1-EXP(-LN(2)/25))/(LN(2)/25)*Calculateur!CG113*Calculateur!CI113*VLOOKUP('Données projet'!$B$12,Paramètres!$A$1:$I$89,3,0)*0.475*44/12</f>
        <v>15.184267714785694</v>
      </c>
      <c r="CM113" s="23">
        <f>EXP(-LN(2)/2)*CM112+(1-EXP(-LN(2)/2))/(LN(2)/2)*CG113*CJ113*VLOOKUP('Données projet'!$B$12,Paramètres!$A$1:$I$89,3,0)*0.475*44/12</f>
        <v>3.1353320313412574E-4</v>
      </c>
      <c r="CN113" s="24">
        <f t="shared" si="66"/>
        <v>144.81999682317223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8.1166666666666547</v>
      </c>
      <c r="CT113" s="13">
        <f>IF('Données projet'!$A$140&gt;35,CT112+CS113-DB112,IF(A113&lt;'Données projet'!$A$140,$CQ$205^A113,IF(A113='Données projet'!$A$140,'Données projet'!$B$140,CT112+CS113-DB112)))</f>
        <v>382.18666666666638</v>
      </c>
      <c r="CU113" s="18">
        <f>CT113*VLOOKUP('Données projet'!$B$13,Paramètres!$A$1:$I$89,3,0)*VLOOKUP('Données projet'!$B$13,Paramètres!$A$1:$I$89,5,0)</f>
        <v>178.86335999999986</v>
      </c>
      <c r="CV113" s="14">
        <f t="shared" si="95"/>
        <v>45.069211551412238</v>
      </c>
      <c r="CW113" s="22">
        <f t="shared" si="67"/>
        <v>390.01589545204268</v>
      </c>
      <c r="CX113" s="62">
        <f t="shared" si="68"/>
        <v>683.349228785376</v>
      </c>
      <c r="CY113" s="62">
        <f ca="1">AVERAGE(OFFSET($CX$3,0,0,'Données projet'!$E$13+1,1))-AVERAGE(OFFSET($H$3,0,0,'Données projet'!$E$13+1,1))</f>
        <v>302.06513069580848</v>
      </c>
      <c r="CZ113" s="62">
        <f t="shared" si="96"/>
        <v>164.1450425611464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80.917629032629335</v>
      </c>
      <c r="DG113" s="23">
        <f>EXP(-LN(2)/25)*DG112+(1-EXP(-LN(2)/25))/(LN(2)/25)*Calculateur!DB113*Calculateur!DD113*VLOOKUP('Données projet'!$B$13,Paramètres!$A$1:$I$89,3,0)*0.475*44/12</f>
        <v>17.439797607787213</v>
      </c>
      <c r="DH113" s="23">
        <f>EXP(-LN(2)/2)*DH112+(1-EXP(-LN(2)/2))/(LN(2)/2)*DB113*DE113*VLOOKUP('Données projet'!$B$13,Paramètres!$A$1:$I$89,3,0)*0.475*44/12</f>
        <v>3.1200688676004988</v>
      </c>
      <c r="DI113" s="24">
        <f t="shared" si="69"/>
        <v>101.47749550801704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7.9349999999999969</v>
      </c>
      <c r="N114" s="14">
        <f>IF('Données projet'!$A$36&gt;35,N113+M114-V113,IF(A114&lt;'Données projet'!$A$36,$K$205^A114,IF(A114='Données projet'!$A$36,'Données projet'!$B$36,N113+M114-V113)))</f>
        <v>360.7650000000005</v>
      </c>
      <c r="O114" s="14">
        <f>N114*VLOOKUP('Données projet'!$B$9,Paramètres!$A$1:$I$89,3,0)*VLOOKUP('Données projet'!$B$9,Paramètres!$A$1:$I$89,5,0)</f>
        <v>326.42017200000043</v>
      </c>
      <c r="P114" s="14">
        <f t="shared" si="87"/>
        <v>76.687647008791089</v>
      </c>
      <c r="Q114" s="22">
        <f t="shared" si="107"/>
        <v>702.07945144031191</v>
      </c>
      <c r="R114" s="62">
        <f t="shared" si="55"/>
        <v>995.41278477364517</v>
      </c>
      <c r="S114" s="62">
        <f ca="1">AVERAGE(OFFSET($R$3,0,0,'Données projet'!$E$9+1,1))-AVERAGE(OFFSET($H$3,0,0,'Données projet'!$E$9+1,1))</f>
        <v>581.88778927327667</v>
      </c>
      <c r="T114" s="62">
        <f t="shared" si="88"/>
        <v>269.67340993773422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36.737957349007409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36.737957349007409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354.24684313982857</v>
      </c>
      <c r="AO114" s="62">
        <f t="shared" si="90"/>
        <v>322.65043486962185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90.761840089109668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90.761840089109668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5.8</v>
      </c>
      <c r="BD114" s="13">
        <f>IF('Données projet'!$A$88&gt;35,BD113+BC114-BL113,IF(A114&lt;'Données projet'!$A$88,$BA$205^A114,IF(A114='Données projet'!$A$88,'Données projet'!$B$88,BD113+BC114-BL113)))</f>
        <v>293.80000000000018</v>
      </c>
      <c r="BE114" s="14">
        <f>BD114*VLOOKUP('Données projet'!$B$11,Paramètres!$A$1:$I$89,3,0)*VLOOKUP('Données projet'!$B$11,Paramètres!$A$1:$I$89,5,0)</f>
        <v>279.58008000000018</v>
      </c>
      <c r="BF114" s="14">
        <f t="shared" si="91"/>
        <v>66.878259963882243</v>
      </c>
      <c r="BG114" s="22">
        <f t="shared" si="61"/>
        <v>603.41494210376175</v>
      </c>
      <c r="BH114" s="62">
        <f t="shared" si="62"/>
        <v>896.74827543709512</v>
      </c>
      <c r="BI114" s="62">
        <f ca="1">AVERAGE(OFFSET($BH$3,0,0,'Données projet'!$E$11+1,1))-AVERAGE(OFFSET($H$3,0,0,'Données projet'!$E$11+1,1))</f>
        <v>460.77543902152325</v>
      </c>
      <c r="BJ114" s="62">
        <f t="shared" si="92"/>
        <v>341.4342976721104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69.588230882333121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69.588230882333121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-5.6843418860808015E-13</v>
      </c>
      <c r="BZ114" s="14">
        <f>BY114*VLOOKUP('Données projet'!$B$12,Paramètres!$A$1:$I$89,3,0)*VLOOKUP('Données projet'!$B$12,Paramètres!$A$1:$I$89,5,0)</f>
        <v>-3.39923644787632E-13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438.68915237247444</v>
      </c>
      <c r="CE114" s="62">
        <f t="shared" si="94"/>
        <v>376.94419168335452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127.09334414555006</v>
      </c>
      <c r="CL114" s="23">
        <f>EXP(-LN(2)/25)*CL113+(1-EXP(-LN(2)/25))/(LN(2)/25)*Calculateur!CG114*Calculateur!CI114*VLOOKUP('Données projet'!$B$12,Paramètres!$A$1:$I$89,3,0)*0.475*44/12</f>
        <v>14.769053115618943</v>
      </c>
      <c r="CM114" s="23">
        <f>EXP(-LN(2)/2)*CM113+(1-EXP(-LN(2)/2))/(LN(2)/2)*CG114*CJ114*VLOOKUP('Données projet'!$B$12,Paramètres!$A$1:$I$89,3,0)*0.475*44/12</f>
        <v>2.2170145406327961E-4</v>
      </c>
      <c r="CN114" s="24">
        <f t="shared" si="66"/>
        <v>141.86261896262306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8.1166666666666547</v>
      </c>
      <c r="CT114" s="13">
        <f>IF('Données projet'!$A$140&gt;35,CT113+CS114-DB113,IF(A114&lt;'Données projet'!$A$140,$CQ$205^A114,IF(A114='Données projet'!$A$140,'Données projet'!$B$140,CT113+CS114-DB113)))</f>
        <v>390.30333333333306</v>
      </c>
      <c r="CU114" s="18">
        <f>CT114*VLOOKUP('Données projet'!$B$13,Paramètres!$A$1:$I$89,3,0)*VLOOKUP('Données projet'!$B$13,Paramètres!$A$1:$I$89,5,0)</f>
        <v>182.66195999999988</v>
      </c>
      <c r="CV114" s="14">
        <f t="shared" si="95"/>
        <v>45.913916267712978</v>
      </c>
      <c r="CW114" s="22">
        <f t="shared" si="67"/>
        <v>398.10298449959987</v>
      </c>
      <c r="CX114" s="62">
        <f t="shared" si="68"/>
        <v>691.43631783293313</v>
      </c>
      <c r="CY114" s="62">
        <f ca="1">AVERAGE(OFFSET($CX$3,0,0,'Données projet'!$E$13+1,1))-AVERAGE(OFFSET($H$3,0,0,'Données projet'!$E$13+1,1))</f>
        <v>302.06513069580848</v>
      </c>
      <c r="CZ114" s="62">
        <f t="shared" si="96"/>
        <v>164.1450425611464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79.330883682179788</v>
      </c>
      <c r="DG114" s="23">
        <f>EXP(-LN(2)/25)*DG113+(1-EXP(-LN(2)/25))/(LN(2)/25)*Calculateur!DB114*Calculateur!DD114*VLOOKUP('Données projet'!$B$13,Paramètres!$A$1:$I$89,3,0)*0.475*44/12</f>
        <v>16.962905425083175</v>
      </c>
      <c r="DH114" s="23">
        <f>EXP(-LN(2)/2)*DH113+(1-EXP(-LN(2)/2))/(LN(2)/2)*DB114*DE114*VLOOKUP('Données projet'!$B$13,Paramètres!$A$1:$I$89,3,0)*0.475*44/12</f>
        <v>2.2062218540493452</v>
      </c>
      <c r="DI114" s="24">
        <f t="shared" si="69"/>
        <v>98.500010961312313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7.9349999999999969</v>
      </c>
      <c r="N115" s="14">
        <f>IF('Données projet'!$A$36&gt;35,N114+M115-V114,IF(A115&lt;'Données projet'!$A$36,$K$205^A115,IF(A115='Données projet'!$A$36,'Données projet'!$B$36,N114+M115-V114)))</f>
        <v>368.7000000000005</v>
      </c>
      <c r="O115" s="14">
        <f>N115*VLOOKUP('Données projet'!$B$9,Paramètres!$A$1:$I$89,3,0)*VLOOKUP('Données projet'!$B$9,Paramètres!$A$1:$I$89,5,0)</f>
        <v>333.59976000000046</v>
      </c>
      <c r="P115" s="14">
        <f t="shared" si="87"/>
        <v>78.17615735915706</v>
      </c>
      <c r="Q115" s="22">
        <f t="shared" si="107"/>
        <v>717.17638940053257</v>
      </c>
      <c r="R115" s="62">
        <f t="shared" si="55"/>
        <v>1010.5097227338658</v>
      </c>
      <c r="S115" s="62">
        <f ca="1">AVERAGE(OFFSET($R$3,0,0,'Données projet'!$E$9+1,1))-AVERAGE(OFFSET($H$3,0,0,'Données projet'!$E$9+1,1))</f>
        <v>581.88778927327667</v>
      </c>
      <c r="T115" s="62">
        <f t="shared" si="88"/>
        <v>269.67340993773422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36.017548413334758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36.017548413334758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354.24684313982857</v>
      </c>
      <c r="AO115" s="62">
        <f t="shared" si="90"/>
        <v>322.65043486962185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88.982055764218416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88.982055764218416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5.8</v>
      </c>
      <c r="BD115" s="13">
        <f>IF('Données projet'!$A$88&gt;35,BD114+BC115-BL114,IF(A115&lt;'Données projet'!$A$88,$BA$205^A115,IF(A115='Données projet'!$A$88,'Données projet'!$B$88,BD114+BC115-BL114)))</f>
        <v>299.60000000000019</v>
      </c>
      <c r="BE115" s="14">
        <f>BD115*VLOOKUP('Données projet'!$B$11,Paramètres!$A$1:$I$89,3,0)*VLOOKUP('Données projet'!$B$11,Paramètres!$A$1:$I$89,5,0)</f>
        <v>285.09936000000016</v>
      </c>
      <c r="BF115" s="14">
        <f t="shared" si="91"/>
        <v>68.043515672394165</v>
      </c>
      <c r="BG115" s="22">
        <f t="shared" si="61"/>
        <v>615.0571751294201</v>
      </c>
      <c r="BH115" s="62">
        <f t="shared" si="62"/>
        <v>908.39050846275336</v>
      </c>
      <c r="BI115" s="62">
        <f ca="1">AVERAGE(OFFSET($BH$3,0,0,'Données projet'!$E$11+1,1))-AVERAGE(OFFSET($H$3,0,0,'Données projet'!$E$11+1,1))</f>
        <v>460.77543902152325</v>
      </c>
      <c r="BJ115" s="62">
        <f t="shared" si="92"/>
        <v>341.4342976721104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68.223648119360348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68.223648119360348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-5.6843418860808015E-13</v>
      </c>
      <c r="BZ115" s="14">
        <f>BY115*VLOOKUP('Données projet'!$B$12,Paramètres!$A$1:$I$89,3,0)*VLOOKUP('Données projet'!$B$12,Paramètres!$A$1:$I$89,5,0)</f>
        <v>-3.39923644787632E-13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438.68915237247444</v>
      </c>
      <c r="CE115" s="62">
        <f t="shared" si="94"/>
        <v>376.94419168335452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124.60112118614136</v>
      </c>
      <c r="CL115" s="23">
        <f>EXP(-LN(2)/25)*CL114+(1-EXP(-LN(2)/25))/(LN(2)/25)*Calculateur!CG115*Calculateur!CI115*VLOOKUP('Données projet'!$B$12,Paramètres!$A$1:$I$89,3,0)*0.475*44/12</f>
        <v>14.365192581501596</v>
      </c>
      <c r="CM115" s="23">
        <f>EXP(-LN(2)/2)*CM114+(1-EXP(-LN(2)/2))/(LN(2)/2)*CG115*CJ115*VLOOKUP('Données projet'!$B$12,Paramètres!$A$1:$I$89,3,0)*0.475*44/12</f>
        <v>1.5676660156706287E-4</v>
      </c>
      <c r="CN115" s="24">
        <f t="shared" si="66"/>
        <v>138.96647053424454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8.1166666666666547</v>
      </c>
      <c r="CT115" s="13">
        <f>IF('Données projet'!$A$140&gt;35,CT114+CS115-DB114,IF(A115&lt;'Données projet'!$A$140,$CQ$205^A115,IF(A115='Données projet'!$A$140,'Données projet'!$B$140,CT114+CS115-DB114)))</f>
        <v>398.41999999999973</v>
      </c>
      <c r="CU115" s="18">
        <f>CT115*VLOOKUP('Données projet'!$B$13,Paramètres!$A$1:$I$89,3,0)*VLOOKUP('Données projet'!$B$13,Paramètres!$A$1:$I$89,5,0)</f>
        <v>186.46055999999987</v>
      </c>
      <c r="CV115" s="14">
        <f t="shared" si="95"/>
        <v>46.756578583495248</v>
      </c>
      <c r="CW115" s="22">
        <f t="shared" si="67"/>
        <v>406.18651636625395</v>
      </c>
      <c r="CX115" s="62">
        <f t="shared" si="68"/>
        <v>699.51984969958721</v>
      </c>
      <c r="CY115" s="62">
        <f ca="1">AVERAGE(OFFSET($CX$3,0,0,'Données projet'!$E$13+1,1))-AVERAGE(OFFSET($H$3,0,0,'Données projet'!$E$13+1,1))</f>
        <v>302.06513069580848</v>
      </c>
      <c r="CZ115" s="62">
        <f t="shared" si="96"/>
        <v>164.1450425611464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77.77525344023347</v>
      </c>
      <c r="DG115" s="23">
        <f>EXP(-LN(2)/25)*DG114+(1-EXP(-LN(2)/25))/(LN(2)/25)*Calculateur!DB115*Calculateur!DD115*VLOOKUP('Données projet'!$B$13,Paramètres!$A$1:$I$89,3,0)*0.475*44/12</f>
        <v>16.499053884193849</v>
      </c>
      <c r="DH115" s="23">
        <f>EXP(-LN(2)/2)*DH114+(1-EXP(-LN(2)/2))/(LN(2)/2)*DB115*DE115*VLOOKUP('Données projet'!$B$13,Paramètres!$A$1:$I$89,3,0)*0.475*44/12</f>
        <v>1.5600344338002496</v>
      </c>
      <c r="DI115" s="24">
        <f t="shared" si="69"/>
        <v>95.83434175822758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7.9349999999999969</v>
      </c>
      <c r="N116" s="14">
        <f>IF('Données projet'!$A$36&gt;35,N115+M116-V115,IF(A116&lt;'Données projet'!$A$36,$K$205^A116,IF(A116='Données projet'!$A$36,'Données projet'!$B$36,N115+M116-V115)))</f>
        <v>376.6350000000005</v>
      </c>
      <c r="O116" s="14">
        <f>N116*VLOOKUP('Données projet'!$B$9,Paramètres!$A$1:$I$89,3,0)*VLOOKUP('Données projet'!$B$9,Paramètres!$A$1:$I$89,5,0)</f>
        <v>340.77934800000043</v>
      </c>
      <c r="P116" s="14">
        <f t="shared" si="87"/>
        <v>79.660943190415296</v>
      </c>
      <c r="Q116" s="22">
        <f t="shared" si="107"/>
        <v>732.26684048997402</v>
      </c>
      <c r="R116" s="62">
        <f t="shared" si="55"/>
        <v>1025.6001738233074</v>
      </c>
      <c r="S116" s="62">
        <f ca="1">AVERAGE(OFFSET($R$3,0,0,'Données projet'!$E$9+1,1))-AVERAGE(OFFSET($H$3,0,0,'Données projet'!$E$9+1,1))</f>
        <v>581.88778927327667</v>
      </c>
      <c r="T116" s="62">
        <f t="shared" si="88"/>
        <v>269.67340993773422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35.311266257484583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35.311266257484583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354.24684313982857</v>
      </c>
      <c r="AO116" s="62">
        <f t="shared" si="90"/>
        <v>322.65043486962185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87.237171924377023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87.237171924377023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5.8</v>
      </c>
      <c r="BD116" s="13">
        <f>IF('Données projet'!$A$88&gt;35,BD115+BC116-BL115,IF(A116&lt;'Données projet'!$A$88,$BA$205^A116,IF(A116='Données projet'!$A$88,'Données projet'!$B$88,BD115+BC116-BL115)))</f>
        <v>305.4000000000002</v>
      </c>
      <c r="BE116" s="14">
        <f>BD116*VLOOKUP('Données projet'!$B$11,Paramètres!$A$1:$I$89,3,0)*VLOOKUP('Données projet'!$B$11,Paramètres!$A$1:$I$89,5,0)</f>
        <v>290.6186400000002</v>
      </c>
      <c r="BF116" s="14">
        <f t="shared" si="91"/>
        <v>69.206148371472011</v>
      </c>
      <c r="BG116" s="22">
        <f t="shared" si="61"/>
        <v>626.69483974698073</v>
      </c>
      <c r="BH116" s="62">
        <f t="shared" si="62"/>
        <v>920.02817308031399</v>
      </c>
      <c r="BI116" s="62">
        <f ca="1">AVERAGE(OFFSET($BH$3,0,0,'Données projet'!$E$11+1,1))-AVERAGE(OFFSET($H$3,0,0,'Données projet'!$E$11+1,1))</f>
        <v>460.77543902152325</v>
      </c>
      <c r="BJ116" s="62">
        <f t="shared" si="92"/>
        <v>341.4342976721104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66.885823992056174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66.885823992056174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-5.6843418860808015E-13</v>
      </c>
      <c r="BZ116" s="14">
        <f>BY116*VLOOKUP('Données projet'!$B$12,Paramètres!$A$1:$I$89,3,0)*VLOOKUP('Données projet'!$B$12,Paramètres!$A$1:$I$89,5,0)</f>
        <v>-3.39923644787632E-13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438.68915237247444</v>
      </c>
      <c r="CE116" s="62">
        <f t="shared" si="94"/>
        <v>376.94419168335452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122.15776919886075</v>
      </c>
      <c r="CL116" s="23">
        <f>EXP(-LN(2)/25)*CL115+(1-EXP(-LN(2)/25))/(LN(2)/25)*Calculateur!CG116*Calculateur!CI116*VLOOKUP('Données projet'!$B$12,Paramètres!$A$1:$I$89,3,0)*0.475*44/12</f>
        <v>13.972375634927788</v>
      </c>
      <c r="CM116" s="23">
        <f>EXP(-LN(2)/2)*CM115+(1-EXP(-LN(2)/2))/(LN(2)/2)*CG116*CJ116*VLOOKUP('Données projet'!$B$12,Paramètres!$A$1:$I$89,3,0)*0.475*44/12</f>
        <v>1.108507270316398E-4</v>
      </c>
      <c r="CN116" s="24">
        <f t="shared" si="66"/>
        <v>136.13025568451556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8.1166666666666547</v>
      </c>
      <c r="CT116" s="13">
        <f>IF('Données projet'!$A$140&gt;35,CT115+CS116-DB115,IF(A116&lt;'Données projet'!$A$140,$CQ$205^A116,IF(A116='Données projet'!$A$140,'Données projet'!$B$140,CT115+CS116-DB115)))</f>
        <v>406.53666666666641</v>
      </c>
      <c r="CU116" s="18">
        <f>CT116*VLOOKUP('Données projet'!$B$13,Paramètres!$A$1:$I$89,3,0)*VLOOKUP('Données projet'!$B$13,Paramètres!$A$1:$I$89,5,0)</f>
        <v>190.25915999999987</v>
      </c>
      <c r="CV116" s="14">
        <f t="shared" si="95"/>
        <v>47.59724490144712</v>
      </c>
      <c r="CW116" s="22">
        <f t="shared" si="67"/>
        <v>414.26657187002019</v>
      </c>
      <c r="CX116" s="62">
        <f t="shared" si="68"/>
        <v>707.5999052033535</v>
      </c>
      <c r="CY116" s="62">
        <f ca="1">AVERAGE(OFFSET($CX$3,0,0,'Données projet'!$E$13+1,1))-AVERAGE(OFFSET($H$3,0,0,'Données projet'!$E$13+1,1))</f>
        <v>302.06513069580848</v>
      </c>
      <c r="CZ116" s="62">
        <f t="shared" si="96"/>
        <v>164.1450425611464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76.250128158490952</v>
      </c>
      <c r="DG116" s="23">
        <f>EXP(-LN(2)/25)*DG115+(1-EXP(-LN(2)/25))/(LN(2)/25)*Calculateur!DB116*Calculateur!DD116*VLOOKUP('Données projet'!$B$13,Paramètres!$A$1:$I$89,3,0)*0.475*44/12</f>
        <v>16.047886388083032</v>
      </c>
      <c r="DH116" s="23">
        <f>EXP(-LN(2)/2)*DH115+(1-EXP(-LN(2)/2))/(LN(2)/2)*DB116*DE116*VLOOKUP('Données projet'!$B$13,Paramètres!$A$1:$I$89,3,0)*0.475*44/12</f>
        <v>1.1031109270246728</v>
      </c>
      <c r="DI116" s="24">
        <f t="shared" si="69"/>
        <v>93.401125473598654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>
        <f>VLOOKUP(A117,'Données projet'!$A$35:$I$55,2,0)</f>
        <v>384.57</v>
      </c>
      <c r="L117" s="13">
        <f>VLOOKUP(A117,'Données projet'!$A$35:$I$55,9,0)</f>
        <v>7.9349999999999969</v>
      </c>
      <c r="M117" s="13">
        <f t="array" ref="M117">INDEX(L:L,MIN(IF(ISNUMBER(L117:L313),ROW(L117:L313),"")))</f>
        <v>7.9349999999999969</v>
      </c>
      <c r="N117" s="14">
        <f>IF('Données projet'!$A$36&gt;35,N116+M117-V116,IF(A117&lt;'Données projet'!$A$36,$K$205^A117,IF(A117='Données projet'!$A$36,'Données projet'!$B$36,N116+M117-V116)))</f>
        <v>384.5700000000005</v>
      </c>
      <c r="O117" s="14">
        <f>N117*VLOOKUP('Données projet'!$B$9,Paramètres!$A$1:$I$89,3,0)*VLOOKUP('Données projet'!$B$9,Paramètres!$A$1:$I$89,5,0)</f>
        <v>347.95893600000045</v>
      </c>
      <c r="P117" s="14">
        <f t="shared" si="87"/>
        <v>81.142092010767954</v>
      </c>
      <c r="Q117" s="22">
        <f t="shared" si="107"/>
        <v>747.35095711875499</v>
      </c>
      <c r="R117" s="62">
        <f t="shared" si="55"/>
        <v>1040.6842904520884</v>
      </c>
      <c r="S117" s="62">
        <f ca="1">AVERAGE(OFFSET($R$3,0,0,'Données projet'!$E$9+1,1))-AVERAGE(OFFSET($H$3,0,0,'Données projet'!$E$9+1,1))</f>
        <v>581.88778927327667</v>
      </c>
      <c r="T117" s="62">
        <f t="shared" si="88"/>
        <v>269.67340993773422</v>
      </c>
      <c r="U117" s="16">
        <f>IF(ISNA(VLOOKUP(A117,'Données projet'!$A$35:$I$55,3,0)),0,VLOOKUP(A117,'Données projet'!$A$35:$I$55,3,0))</f>
        <v>9</v>
      </c>
      <c r="V117" s="16">
        <f>IF(ISNA(VLOOKUP(A117,'Données projet'!$A$35:$I$55,4,0)),0,VLOOKUP(A117,'Données projet'!$A$35:$I$55,4,0))</f>
        <v>56.07</v>
      </c>
      <c r="W117" s="17">
        <f>IF(ISNA(VLOOKUP(A117,'Données projet'!$A$35:$I$55,5,0)),0%,VLOOKUP(A117,'Données projet'!$A$35:$I$55,5,0)*VLOOKUP('Données projet'!$B$9,Paramètres!$A$1:$I$89,7,0))</f>
        <v>0.25800000000000001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49.088215262637867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49.088215262637867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354.24684313982857</v>
      </c>
      <c r="AO117" s="62">
        <f t="shared" si="90"/>
        <v>322.65043486962185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85.526504192360875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85.526504192360875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5.8</v>
      </c>
      <c r="BD117" s="13">
        <f>IF('Données projet'!$A$88&gt;35,BD116+BC117-BL116,IF(A117&lt;'Données projet'!$A$88,$BA$205^A117,IF(A117='Données projet'!$A$88,'Données projet'!$B$88,BD116+BC117-BL116)))</f>
        <v>311.20000000000022</v>
      </c>
      <c r="BE117" s="14">
        <f>BD117*VLOOKUP('Données projet'!$B$11,Paramètres!$A$1:$I$89,3,0)*VLOOKUP('Données projet'!$B$11,Paramètres!$A$1:$I$89,5,0)</f>
        <v>296.13792000000024</v>
      </c>
      <c r="BF117" s="14">
        <f t="shared" si="91"/>
        <v>70.366213619725514</v>
      </c>
      <c r="BG117" s="22">
        <f t="shared" si="61"/>
        <v>638.32803272102228</v>
      </c>
      <c r="BH117" s="62">
        <f t="shared" si="62"/>
        <v>931.66136605435554</v>
      </c>
      <c r="BI117" s="62">
        <f ca="1">AVERAGE(OFFSET($BH$3,0,0,'Données projet'!$E$11+1,1))-AVERAGE(OFFSET($H$3,0,0,'Données projet'!$E$11+1,1))</f>
        <v>460.77543902152325</v>
      </c>
      <c r="BJ117" s="62">
        <f t="shared" si="92"/>
        <v>341.4342976721104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65.574233779896289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65.574233779896289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-5.6843418860808015E-13</v>
      </c>
      <c r="BZ117" s="14">
        <f>BY117*VLOOKUP('Données projet'!$B$12,Paramètres!$A$1:$I$89,3,0)*VLOOKUP('Données projet'!$B$12,Paramètres!$A$1:$I$89,5,0)</f>
        <v>-3.39923644787632E-13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438.68915237247444</v>
      </c>
      <c r="CE117" s="62">
        <f t="shared" si="94"/>
        <v>376.94419168335452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119.76232985375316</v>
      </c>
      <c r="CL117" s="23">
        <f>EXP(-LN(2)/25)*CL116+(1-EXP(-LN(2)/25))/(LN(2)/25)*Calculateur!CG117*Calculateur!CI117*VLOOKUP('Données projet'!$B$12,Paramètres!$A$1:$I$89,3,0)*0.475*44/12</f>
        <v>13.590300288415387</v>
      </c>
      <c r="CM117" s="23">
        <f>EXP(-LN(2)/2)*CM116+(1-EXP(-LN(2)/2))/(LN(2)/2)*CG117*CJ117*VLOOKUP('Données projet'!$B$12,Paramètres!$A$1:$I$89,3,0)*0.475*44/12</f>
        <v>7.8383300783531435E-5</v>
      </c>
      <c r="CN117" s="24">
        <f t="shared" si="66"/>
        <v>133.35270852546932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8.1166666666666547</v>
      </c>
      <c r="CT117" s="13">
        <f>IF('Données projet'!$A$140&gt;35,CT116+CS117-DB116,IF(A117&lt;'Données projet'!$A$140,$CQ$205^A117,IF(A117='Données projet'!$A$140,'Données projet'!$B$140,CT116+CS117-DB116)))</f>
        <v>414.65333333333308</v>
      </c>
      <c r="CU117" s="18">
        <f>CT117*VLOOKUP('Données projet'!$B$13,Paramètres!$A$1:$I$89,3,0)*VLOOKUP('Données projet'!$B$13,Paramètres!$A$1:$I$89,5,0)</f>
        <v>194.05775999999989</v>
      </c>
      <c r="CV117" s="14">
        <f t="shared" si="95"/>
        <v>48.435959665408149</v>
      </c>
      <c r="CW117" s="22">
        <f t="shared" si="67"/>
        <v>422.34322841725231</v>
      </c>
      <c r="CX117" s="62">
        <f t="shared" si="68"/>
        <v>715.67656175058562</v>
      </c>
      <c r="CY117" s="62">
        <f ca="1">AVERAGE(OFFSET($CX$3,0,0,'Données projet'!$E$13+1,1))-AVERAGE(OFFSET($H$3,0,0,'Données projet'!$E$13+1,1))</f>
        <v>302.06513069580848</v>
      </c>
      <c r="CZ117" s="62">
        <f t="shared" si="96"/>
        <v>164.1450425611464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74.754909653288834</v>
      </c>
      <c r="DG117" s="23">
        <f>EXP(-LN(2)/25)*DG116+(1-EXP(-LN(2)/25))/(LN(2)/25)*Calculateur!DB117*Calculateur!DD117*VLOOKUP('Données projet'!$B$13,Paramètres!$A$1:$I$89,3,0)*0.475*44/12</f>
        <v>15.609056090879236</v>
      </c>
      <c r="DH117" s="23">
        <f>EXP(-LN(2)/2)*DH116+(1-EXP(-LN(2)/2))/(LN(2)/2)*DB117*DE117*VLOOKUP('Données projet'!$B$13,Paramètres!$A$1:$I$89,3,0)*0.475*44/12</f>
        <v>0.78001721690012493</v>
      </c>
      <c r="DI117" s="24">
        <f t="shared" si="69"/>
        <v>91.14398296106819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7.9920000000000018</v>
      </c>
      <c r="N118" s="14">
        <f>IF('Données projet'!$A$36&gt;35,N117+M118-V117,IF(A118&lt;'Données projet'!$A$36,$K$205^A118,IF(A118='Données projet'!$A$36,'Données projet'!$B$36,N117+M118-V117)))</f>
        <v>336.49200000000053</v>
      </c>
      <c r="O118" s="14">
        <f>N118*VLOOKUP('Données projet'!$B$9,Paramètres!$A$1:$I$89,3,0)*VLOOKUP('Données projet'!$B$9,Paramètres!$A$1:$I$89,5,0)</f>
        <v>304.45796160000049</v>
      </c>
      <c r="P118" s="14">
        <f t="shared" si="87"/>
        <v>72.11021964481435</v>
      </c>
      <c r="Q118" s="22">
        <f t="shared" si="107"/>
        <v>655.85624900138566</v>
      </c>
      <c r="R118" s="62">
        <f t="shared" si="55"/>
        <v>949.18958233471903</v>
      </c>
      <c r="S118" s="62">
        <f ca="1">AVERAGE(OFFSET($R$3,0,0,'Données projet'!$E$9+1,1))-AVERAGE(OFFSET($H$3,0,0,'Données projet'!$E$9+1,1))</f>
        <v>581.88778927327667</v>
      </c>
      <c r="T118" s="62">
        <f t="shared" si="88"/>
        <v>269.67340993773422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48.125625302192432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48.125625302192432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354.24684313982857</v>
      </c>
      <c r="AO118" s="62">
        <f t="shared" si="90"/>
        <v>322.65043486962185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83.849381611165271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83.849381611165271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317</v>
      </c>
      <c r="BB118" s="13">
        <f>VLOOKUP(A118,'Données projet'!$A$87:$I$107,9,0)</f>
        <v>5.8</v>
      </c>
      <c r="BC118" s="13">
        <f t="array" ref="BC118">INDEX(BB:BB,MIN(IF(ISNUMBER(BB118:BB314),ROW(BB118:BB314),"")))</f>
        <v>5.8</v>
      </c>
      <c r="BD118" s="13">
        <f>IF('Données projet'!$A$88&gt;35,BD117+BC118-BL117,IF(A118&lt;'Données projet'!$A$88,$BA$205^A118,IF(A118='Données projet'!$A$88,'Données projet'!$B$88,BD117+BC118-BL117)))</f>
        <v>317.00000000000023</v>
      </c>
      <c r="BE118" s="14">
        <f>BD118*VLOOKUP('Données projet'!$B$11,Paramètres!$A$1:$I$89,3,0)*VLOOKUP('Données projet'!$B$11,Paramètres!$A$1:$I$89,5,0)</f>
        <v>301.65720000000022</v>
      </c>
      <c r="BF118" s="14">
        <f t="shared" si="91"/>
        <v>71.523764786280211</v>
      </c>
      <c r="BG118" s="22">
        <f t="shared" si="61"/>
        <v>649.95684700277172</v>
      </c>
      <c r="BH118" s="62">
        <f t="shared" si="62"/>
        <v>943.2901803361051</v>
      </c>
      <c r="BI118" s="62">
        <f ca="1">AVERAGE(OFFSET($BH$3,0,0,'Données projet'!$E$11+1,1))-AVERAGE(OFFSET($H$3,0,0,'Données projet'!$E$11+1,1))</f>
        <v>460.77543902152325</v>
      </c>
      <c r="BJ118" s="62">
        <f t="shared" si="92"/>
        <v>341.4342976721104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27</v>
      </c>
      <c r="BM118" s="17">
        <f>IF(ISNA(VLOOKUP(A118,'Données projet'!$A$87:$I$107,5,0)),0%,VLOOKUP(A118,'Données projet'!$A$87:$I$107,5,0)*VLOOKUP('Données projet'!$B$11,Paramètres!$A$1:$I$89,7,0))</f>
        <v>0.34400000000000003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74.05901966686892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74.05901966686892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-5.6843418860808015E-13</v>
      </c>
      <c r="BZ118" s="14">
        <f>BY118*VLOOKUP('Données projet'!$B$12,Paramètres!$A$1:$I$89,3,0)*VLOOKUP('Données projet'!$B$12,Paramètres!$A$1:$I$89,5,0)</f>
        <v>-3.39923644787632E-13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438.68915237247444</v>
      </c>
      <c r="CE118" s="62">
        <f t="shared" si="94"/>
        <v>376.94419168335452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117.41386361312939</v>
      </c>
      <c r="CL118" s="23">
        <f>EXP(-LN(2)/25)*CL117+(1-EXP(-LN(2)/25))/(LN(2)/25)*Calculateur!CG118*Calculateur!CI118*VLOOKUP('Données projet'!$B$12,Paramètres!$A$1:$I$89,3,0)*0.475*44/12</f>
        <v>13.218672812345837</v>
      </c>
      <c r="CM118" s="23">
        <f>EXP(-LN(2)/2)*CM117+(1-EXP(-LN(2)/2))/(LN(2)/2)*CG118*CJ118*VLOOKUP('Données projet'!$B$12,Paramètres!$A$1:$I$89,3,0)*0.475*44/12</f>
        <v>5.5425363515819902E-5</v>
      </c>
      <c r="CN118" s="24">
        <f t="shared" si="66"/>
        <v>130.63259185083874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422.77</v>
      </c>
      <c r="CR118" s="13">
        <f>VLOOKUP(A118,'Données projet'!$A$139:$I$159,9,0)</f>
        <v>8.1166666666666547</v>
      </c>
      <c r="CS118" s="13">
        <f t="array" ref="CS118">INDEX(CR:CR,MIN(IF(ISNUMBER(CR118:CR314),ROW(CR118:CR314),"")))</f>
        <v>8.1166666666666547</v>
      </c>
      <c r="CT118" s="13">
        <f>IF('Données projet'!$A$140&gt;35,CT117+CS118-DB117,IF(A118&lt;'Données projet'!$A$140,$CQ$205^A118,IF(A118='Données projet'!$A$140,'Données projet'!$B$140,CT117+CS118-DB117)))</f>
        <v>422.76999999999975</v>
      </c>
      <c r="CU118" s="18">
        <f>CT118*VLOOKUP('Données projet'!$B$13,Paramètres!$A$1:$I$89,3,0)*VLOOKUP('Données projet'!$B$13,Paramètres!$A$1:$I$89,5,0)</f>
        <v>197.85635999999988</v>
      </c>
      <c r="CV118" s="14">
        <f t="shared" si="95"/>
        <v>49.272765479757702</v>
      </c>
      <c r="CW118" s="22">
        <f t="shared" si="67"/>
        <v>430.41656021057776</v>
      </c>
      <c r="CX118" s="62">
        <f t="shared" si="68"/>
        <v>723.74989354391107</v>
      </c>
      <c r="CY118" s="62">
        <f ca="1">AVERAGE(OFFSET($CX$3,0,0,'Données projet'!$E$13+1,1))-AVERAGE(OFFSET($H$3,0,0,'Données projet'!$E$13+1,1))</f>
        <v>302.06513069580848</v>
      </c>
      <c r="CZ118" s="62">
        <f t="shared" si="96"/>
        <v>164.1450425611464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73.289011470980498</v>
      </c>
      <c r="DG118" s="23">
        <f>EXP(-LN(2)/25)*DG117+(1-EXP(-LN(2)/25))/(LN(2)/25)*Calculateur!DB118*Calculateur!DD118*VLOOKUP('Données projet'!$B$13,Paramètres!$A$1:$I$89,3,0)*0.475*44/12</f>
        <v>15.182225631229558</v>
      </c>
      <c r="DH118" s="23">
        <f>EXP(-LN(2)/2)*DH117+(1-EXP(-LN(2)/2))/(LN(2)/2)*DB118*DE118*VLOOKUP('Données projet'!$B$13,Paramètres!$A$1:$I$89,3,0)*0.475*44/12</f>
        <v>0.55155546351233642</v>
      </c>
      <c r="DI118" s="24">
        <f t="shared" si="69"/>
        <v>89.022792565722384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7.9920000000000018</v>
      </c>
      <c r="N119" s="14">
        <f>IF('Données projet'!$A$36&gt;35,N118+M119-V118,IF(A119&lt;'Données projet'!$A$36,$K$205^A119,IF(A119='Données projet'!$A$36,'Données projet'!$B$36,N118+M119-V118)))</f>
        <v>344.48400000000055</v>
      </c>
      <c r="O119" s="14">
        <f>N119*VLOOKUP('Données projet'!$B$9,Paramètres!$A$1:$I$89,3,0)*VLOOKUP('Données projet'!$B$9,Paramètres!$A$1:$I$89,5,0)</f>
        <v>311.68912320000049</v>
      </c>
      <c r="P119" s="14">
        <f t="shared" si="87"/>
        <v>73.621474685301479</v>
      </c>
      <c r="Q119" s="22">
        <f t="shared" si="107"/>
        <v>671.08262465023415</v>
      </c>
      <c r="R119" s="62">
        <f t="shared" si="55"/>
        <v>964.41595798356752</v>
      </c>
      <c r="S119" s="62">
        <f ca="1">AVERAGE(OFFSET($R$3,0,0,'Données projet'!$E$9+1,1))-AVERAGE(OFFSET($H$3,0,0,'Données projet'!$E$9+1,1))</f>
        <v>581.88778927327667</v>
      </c>
      <c r="T119" s="62">
        <f t="shared" si="88"/>
        <v>269.67340993773422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47.181911143749431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47.181911143749431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354.24684313982857</v>
      </c>
      <c r="AO119" s="62">
        <f t="shared" si="90"/>
        <v>322.65043486962185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82.205146380843146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82.205146380843146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5.6</v>
      </c>
      <c r="BD119" s="13">
        <f>IF('Données projet'!$A$88&gt;35,BD118+BC119-BL118,IF(A119&lt;'Données projet'!$A$88,$BA$205^A119,IF(A119='Données projet'!$A$88,'Données projet'!$B$88,BD118+BC119-BL118)))</f>
        <v>295.60000000000025</v>
      </c>
      <c r="BE119" s="14">
        <f>BD119*VLOOKUP('Données projet'!$B$11,Paramètres!$A$1:$I$89,3,0)*VLOOKUP('Données projet'!$B$11,Paramètres!$A$1:$I$89,5,0)</f>
        <v>281.29296000000022</v>
      </c>
      <c r="BF119" s="14">
        <f t="shared" si="91"/>
        <v>67.240175189777617</v>
      </c>
      <c r="BG119" s="22">
        <f t="shared" si="61"/>
        <v>607.02854378886298</v>
      </c>
      <c r="BH119" s="62">
        <f t="shared" si="62"/>
        <v>900.36187712219635</v>
      </c>
      <c r="BI119" s="62">
        <f ca="1">AVERAGE(OFFSET($BH$3,0,0,'Données projet'!$E$11+1,1))-AVERAGE(OFFSET($H$3,0,0,'Données projet'!$E$11+1,1))</f>
        <v>460.77543902152325</v>
      </c>
      <c r="BJ119" s="62">
        <f t="shared" si="92"/>
        <v>341.4342976721104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72.606767462743292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72.606767462743292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-5.6843418860808015E-13</v>
      </c>
      <c r="BZ119" s="14">
        <f>BY119*VLOOKUP('Données projet'!$B$12,Paramètres!$A$1:$I$89,3,0)*VLOOKUP('Données projet'!$B$12,Paramètres!$A$1:$I$89,5,0)</f>
        <v>-3.39923644787632E-13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438.68915237247444</v>
      </c>
      <c r="CE119" s="62">
        <f t="shared" si="94"/>
        <v>376.94419168335452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115.1114493630613</v>
      </c>
      <c r="CL119" s="23">
        <f>EXP(-LN(2)/25)*CL118+(1-EXP(-LN(2)/25))/(LN(2)/25)*Calculateur!CG119*Calculateur!CI119*VLOOKUP('Données projet'!$B$12,Paramètres!$A$1:$I$89,3,0)*0.475*44/12</f>
        <v>12.857207509152449</v>
      </c>
      <c r="CM119" s="23">
        <f>EXP(-LN(2)/2)*CM118+(1-EXP(-LN(2)/2))/(LN(2)/2)*CG119*CJ119*VLOOKUP('Données projet'!$B$12,Paramètres!$A$1:$I$89,3,0)*0.475*44/12</f>
        <v>3.9191650391765717E-5</v>
      </c>
      <c r="CN119" s="24">
        <f t="shared" si="66"/>
        <v>127.96869606386413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8.0750000000000082</v>
      </c>
      <c r="CT119" s="13">
        <f>IF('Données projet'!$A$140&gt;35,CT118+CS119-DB118,IF(A119&lt;'Données projet'!$A$140,$CQ$205^A119,IF(A119='Données projet'!$A$140,'Données projet'!$B$140,CT118+CS119-DB118)))</f>
        <v>430.84499999999974</v>
      </c>
      <c r="CU119" s="18">
        <f>CT119*VLOOKUP('Données projet'!$B$13,Paramètres!$A$1:$I$89,3,0)*VLOOKUP('Données projet'!$B$13,Paramètres!$A$1:$I$89,5,0)</f>
        <v>201.63545999999988</v>
      </c>
      <c r="CV119" s="14">
        <f t="shared" si="95"/>
        <v>50.103421794276827</v>
      </c>
      <c r="CW119" s="22">
        <f t="shared" si="67"/>
        <v>438.44521912503188</v>
      </c>
      <c r="CX119" s="62">
        <f t="shared" si="68"/>
        <v>731.7785524583652</v>
      </c>
      <c r="CY119" s="62">
        <f ca="1">AVERAGE(OFFSET($CX$3,0,0,'Données projet'!$E$13+1,1))-AVERAGE(OFFSET($H$3,0,0,'Données projet'!$E$13+1,1))</f>
        <v>302.06513069580848</v>
      </c>
      <c r="CZ119" s="62">
        <f t="shared" si="96"/>
        <v>164.1450425611464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71.851858657917617</v>
      </c>
      <c r="DG119" s="23">
        <f>EXP(-LN(2)/25)*DG118+(1-EXP(-LN(2)/25))/(LN(2)/25)*Calculateur!DB119*Calculateur!DD119*VLOOKUP('Données projet'!$B$13,Paramètres!$A$1:$I$89,3,0)*0.475*44/12</f>
        <v>14.767066872945039</v>
      </c>
      <c r="DH119" s="23">
        <f>EXP(-LN(2)/2)*DH118+(1-EXP(-LN(2)/2))/(LN(2)/2)*DB119*DE119*VLOOKUP('Données projet'!$B$13,Paramètres!$A$1:$I$89,3,0)*0.475*44/12</f>
        <v>0.39000860845006247</v>
      </c>
      <c r="DI119" s="24">
        <f t="shared" si="69"/>
        <v>87.008934139312714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7.9920000000000018</v>
      </c>
      <c r="N120" s="14">
        <f>IF('Données projet'!$A$36&gt;35,N119+M120-V119,IF(A120&lt;'Données projet'!$A$36,$K$205^A120,IF(A120='Données projet'!$A$36,'Données projet'!$B$36,N119+M120-V119)))</f>
        <v>352.47600000000057</v>
      </c>
      <c r="O120" s="14">
        <f>N120*VLOOKUP('Données projet'!$B$9,Paramètres!$A$1:$I$89,3,0)*VLOOKUP('Données projet'!$B$9,Paramètres!$A$1:$I$89,5,0)</f>
        <v>318.9202848000005</v>
      </c>
      <c r="P120" s="14">
        <f t="shared" si="87"/>
        <v>75.128653745521831</v>
      </c>
      <c r="Q120" s="22">
        <f t="shared" si="107"/>
        <v>686.30190130011806</v>
      </c>
      <c r="R120" s="62">
        <f t="shared" si="55"/>
        <v>979.63523463345132</v>
      </c>
      <c r="S120" s="62">
        <f ca="1">AVERAGE(OFFSET($R$3,0,0,'Données projet'!$E$9+1,1))-AVERAGE(OFFSET($H$3,0,0,'Données projet'!$E$9+1,1))</f>
        <v>581.88778927327667</v>
      </c>
      <c r="T120" s="62">
        <f t="shared" si="88"/>
        <v>269.67340993773422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46.256702644344699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46.256702644344699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354.24684313982857</v>
      </c>
      <c r="AO120" s="62">
        <f t="shared" si="90"/>
        <v>322.65043486962185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80.593153600503172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80.593153600503172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5.6</v>
      </c>
      <c r="BD120" s="13">
        <f>IF('Données projet'!$A$88&gt;35,BD119+BC120-BL119,IF(A120&lt;'Données projet'!$A$88,$BA$205^A120,IF(A120='Données projet'!$A$88,'Données projet'!$B$88,BD119+BC120-BL119)))</f>
        <v>301.20000000000027</v>
      </c>
      <c r="BE120" s="14">
        <f>BD120*VLOOKUP('Données projet'!$B$11,Paramètres!$A$1:$I$89,3,0)*VLOOKUP('Données projet'!$B$11,Paramètres!$A$1:$I$89,5,0)</f>
        <v>286.62192000000027</v>
      </c>
      <c r="BF120" s="14">
        <f t="shared" si="91"/>
        <v>68.364501521838903</v>
      </c>
      <c r="BG120" s="22">
        <f t="shared" si="61"/>
        <v>618.26801748386993</v>
      </c>
      <c r="BH120" s="62">
        <f t="shared" si="62"/>
        <v>911.60135081720318</v>
      </c>
      <c r="BI120" s="62">
        <f ca="1">AVERAGE(OFFSET($BH$3,0,0,'Données projet'!$E$11+1,1))-AVERAGE(OFFSET($H$3,0,0,'Données projet'!$E$11+1,1))</f>
        <v>460.77543902152325</v>
      </c>
      <c r="BJ120" s="62">
        <f t="shared" si="92"/>
        <v>341.4342976721104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71.182993038554187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71.182993038554187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-5.6843418860808015E-13</v>
      </c>
      <c r="BZ120" s="14">
        <f>BY120*VLOOKUP('Données projet'!$B$12,Paramètres!$A$1:$I$89,3,0)*VLOOKUP('Données projet'!$B$12,Paramètres!$A$1:$I$89,5,0)</f>
        <v>-3.39923644787632E-13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438.68915237247444</v>
      </c>
      <c r="CE120" s="62">
        <f t="shared" si="94"/>
        <v>376.94419168335452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112.85418405210301</v>
      </c>
      <c r="CL120" s="23">
        <f>EXP(-LN(2)/25)*CL119+(1-EXP(-LN(2)/25))/(LN(2)/25)*Calculateur!CG120*Calculateur!CI120*VLOOKUP('Données projet'!$B$12,Paramètres!$A$1:$I$89,3,0)*0.475*44/12</f>
        <v>12.505626493683518</v>
      </c>
      <c r="CM120" s="23">
        <f>EXP(-LN(2)/2)*CM119+(1-EXP(-LN(2)/2))/(LN(2)/2)*CG120*CJ120*VLOOKUP('Données projet'!$B$12,Paramètres!$A$1:$I$89,3,0)*0.475*44/12</f>
        <v>2.7712681757909951E-5</v>
      </c>
      <c r="CN120" s="24">
        <f t="shared" si="66"/>
        <v>125.35983825846829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8.0750000000000082</v>
      </c>
      <c r="CT120" s="13">
        <f>IF('Données projet'!$A$140&gt;35,CT119+CS120-DB119,IF(A120&lt;'Données projet'!$A$140,$CQ$205^A120,IF(A120='Données projet'!$A$140,'Données projet'!$B$140,CT119+CS120-DB119)))</f>
        <v>438.91999999999973</v>
      </c>
      <c r="CU120" s="18">
        <f>CT120*VLOOKUP('Données projet'!$B$13,Paramètres!$A$1:$I$89,3,0)*VLOOKUP('Données projet'!$B$13,Paramètres!$A$1:$I$89,5,0)</f>
        <v>205.41455999999985</v>
      </c>
      <c r="CV120" s="14">
        <f t="shared" si="95"/>
        <v>50.932267815001111</v>
      </c>
      <c r="CW120" s="22">
        <f t="shared" si="67"/>
        <v>446.47072511112657</v>
      </c>
      <c r="CX120" s="62">
        <f t="shared" si="68"/>
        <v>739.80405844445988</v>
      </c>
      <c r="CY120" s="62">
        <f ca="1">AVERAGE(OFFSET($CX$3,0,0,'Données projet'!$E$13+1,1))-AVERAGE(OFFSET($H$3,0,0,'Données projet'!$E$13+1,1))</f>
        <v>302.06513069580848</v>
      </c>
      <c r="CZ120" s="62">
        <f t="shared" si="96"/>
        <v>164.1450425611464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70.442887534942244</v>
      </c>
      <c r="DG120" s="23">
        <f>EXP(-LN(2)/25)*DG119+(1-EXP(-LN(2)/25))/(LN(2)/25)*Calculateur!DB120*Calculateur!DD120*VLOOKUP('Données projet'!$B$13,Paramètres!$A$1:$I$89,3,0)*0.475*44/12</f>
        <v>14.36326065273806</v>
      </c>
      <c r="DH120" s="23">
        <f>EXP(-LN(2)/2)*DH119+(1-EXP(-LN(2)/2))/(LN(2)/2)*DB120*DE120*VLOOKUP('Données projet'!$B$13,Paramètres!$A$1:$I$89,3,0)*0.475*44/12</f>
        <v>0.27577773175616821</v>
      </c>
      <c r="DI120" s="24">
        <f t="shared" si="69"/>
        <v>85.081925919436472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7.9920000000000018</v>
      </c>
      <c r="N121" s="14">
        <f>IF('Données projet'!$A$36&gt;35,N120+M121-V120,IF(A121&lt;'Données projet'!$A$36,$K$205^A121,IF(A121='Données projet'!$A$36,'Données projet'!$B$36,N120+M121-V120)))</f>
        <v>360.46800000000059</v>
      </c>
      <c r="O121" s="14">
        <f>N121*VLOOKUP('Données projet'!$B$9,Paramètres!$A$1:$I$89,3,0)*VLOOKUP('Données projet'!$B$9,Paramètres!$A$1:$I$89,5,0)</f>
        <v>326.15144640000051</v>
      </c>
      <c r="P121" s="14">
        <f t="shared" si="87"/>
        <v>76.631859883081802</v>
      </c>
      <c r="Q121" s="22">
        <f t="shared" si="107"/>
        <v>701.51425844303503</v>
      </c>
      <c r="R121" s="62">
        <f t="shared" si="55"/>
        <v>994.84759177636829</v>
      </c>
      <c r="S121" s="62">
        <f ca="1">AVERAGE(OFFSET($R$3,0,0,'Données projet'!$E$9+1,1))-AVERAGE(OFFSET($H$3,0,0,'Données projet'!$E$9+1,1))</f>
        <v>581.88778927327667</v>
      </c>
      <c r="T121" s="62">
        <f t="shared" si="88"/>
        <v>269.67340993773422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45.349636919291832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45.349636919291832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354.24684313982857</v>
      </c>
      <c r="AO121" s="62">
        <f t="shared" si="90"/>
        <v>322.65043486962185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79.01277101536715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79.01277101536715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5.6</v>
      </c>
      <c r="BD121" s="13">
        <f>IF('Données projet'!$A$88&gt;35,BD120+BC121-BL120,IF(A121&lt;'Données projet'!$A$88,$BA$205^A121,IF(A121='Données projet'!$A$88,'Données projet'!$B$88,BD120+BC121-BL120)))</f>
        <v>306.8000000000003</v>
      </c>
      <c r="BE121" s="14">
        <f>BD121*VLOOKUP('Données projet'!$B$11,Paramètres!$A$1:$I$89,3,0)*VLOOKUP('Données projet'!$B$11,Paramètres!$A$1:$I$89,5,0)</f>
        <v>291.95088000000027</v>
      </c>
      <c r="BF121" s="14">
        <f t="shared" si="91"/>
        <v>69.486397133420269</v>
      </c>
      <c r="BG121" s="22">
        <f t="shared" si="61"/>
        <v>629.50325767404081</v>
      </c>
      <c r="BH121" s="62">
        <f t="shared" si="62"/>
        <v>922.83659100737418</v>
      </c>
      <c r="BI121" s="62">
        <f ca="1">AVERAGE(OFFSET($BH$3,0,0,'Données projet'!$E$11+1,1))-AVERAGE(OFFSET($H$3,0,0,'Données projet'!$E$11+1,1))</f>
        <v>460.77543902152325</v>
      </c>
      <c r="BJ121" s="62">
        <f t="shared" si="92"/>
        <v>341.4342976721104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69.787137962406788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69.787137962406788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-5.6843418860808015E-13</v>
      </c>
      <c r="BZ121" s="14">
        <f>BY121*VLOOKUP('Données projet'!$B$12,Paramètres!$A$1:$I$89,3,0)*VLOOKUP('Données projet'!$B$12,Paramètres!$A$1:$I$89,5,0)</f>
        <v>-3.39923644787632E-13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438.68915237247444</v>
      </c>
      <c r="CE121" s="62">
        <f t="shared" si="94"/>
        <v>376.94419168335452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110.64118233709672</v>
      </c>
      <c r="CL121" s="23">
        <f>EXP(-LN(2)/25)*CL120+(1-EXP(-LN(2)/25))/(LN(2)/25)*Calculateur!CG121*Calculateur!CI121*VLOOKUP('Données projet'!$B$12,Paramètres!$A$1:$I$89,3,0)*0.475*44/12</f>
        <v>12.163659479571427</v>
      </c>
      <c r="CM121" s="23">
        <f>EXP(-LN(2)/2)*CM120+(1-EXP(-LN(2)/2))/(LN(2)/2)*CG121*CJ121*VLOOKUP('Données projet'!$B$12,Paramètres!$A$1:$I$89,3,0)*0.475*44/12</f>
        <v>1.9595825195882859E-5</v>
      </c>
      <c r="CN121" s="24">
        <f t="shared" si="66"/>
        <v>122.80486141249334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8.0750000000000082</v>
      </c>
      <c r="CT121" s="13">
        <f>IF('Données projet'!$A$140&gt;35,CT120+CS121-DB120,IF(A121&lt;'Données projet'!$A$140,$CQ$205^A121,IF(A121='Données projet'!$A$140,'Données projet'!$B$140,CT120+CS121-DB120)))</f>
        <v>446.99499999999972</v>
      </c>
      <c r="CU121" s="18">
        <f>CT121*VLOOKUP('Données projet'!$B$13,Paramètres!$A$1:$I$89,3,0)*VLOOKUP('Données projet'!$B$13,Paramètres!$A$1:$I$89,5,0)</f>
        <v>209.19365999999988</v>
      </c>
      <c r="CV121" s="14">
        <f t="shared" si="95"/>
        <v>51.759340687800432</v>
      </c>
      <c r="CW121" s="22">
        <f t="shared" si="67"/>
        <v>454.49314286458565</v>
      </c>
      <c r="CX121" s="62">
        <f t="shared" si="68"/>
        <v>747.82647619791896</v>
      </c>
      <c r="CY121" s="62">
        <f ca="1">AVERAGE(OFFSET($CX$3,0,0,'Données projet'!$E$13+1,1))-AVERAGE(OFFSET($H$3,0,0,'Données projet'!$E$13+1,1))</f>
        <v>302.06513069580848</v>
      </c>
      <c r="CZ121" s="62">
        <f t="shared" si="96"/>
        <v>164.1450425611464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69.061545476300893</v>
      </c>
      <c r="DG121" s="23">
        <f>EXP(-LN(2)/25)*DG120+(1-EXP(-LN(2)/25))/(LN(2)/25)*Calculateur!DB121*Calculateur!DD121*VLOOKUP('Données projet'!$B$13,Paramètres!$A$1:$I$89,3,0)*0.475*44/12</f>
        <v>13.970496534857887</v>
      </c>
      <c r="DH121" s="23">
        <f>EXP(-LN(2)/2)*DH120+(1-EXP(-LN(2)/2))/(LN(2)/2)*DB121*DE121*VLOOKUP('Données projet'!$B$13,Paramètres!$A$1:$I$89,3,0)*0.475*44/12</f>
        <v>0.19500430422503123</v>
      </c>
      <c r="DI121" s="24">
        <f t="shared" si="69"/>
        <v>83.227046315383816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7.9920000000000018</v>
      </c>
      <c r="N122" s="14">
        <f>IF('Données projet'!$A$36&gt;35,N121+M122-V121,IF(A122&lt;'Données projet'!$A$36,$K$205^A122,IF(A122='Données projet'!$A$36,'Données projet'!$B$36,N121+M122-V121)))</f>
        <v>368.4600000000006</v>
      </c>
      <c r="O122" s="14">
        <f>N122*VLOOKUP('Données projet'!$B$9,Paramètres!$A$1:$I$89,3,0)*VLOOKUP('Données projet'!$B$9,Paramètres!$A$1:$I$89,5,0)</f>
        <v>333.38260800000052</v>
      </c>
      <c r="P122" s="14">
        <f t="shared" si="87"/>
        <v>78.13119132485231</v>
      </c>
      <c r="Q122" s="22">
        <f t="shared" si="107"/>
        <v>716.71986715745197</v>
      </c>
      <c r="R122" s="62">
        <f t="shared" si="55"/>
        <v>1010.0532004907852</v>
      </c>
      <c r="S122" s="62">
        <f ca="1">AVERAGE(OFFSET($R$3,0,0,'Données projet'!$E$9+1,1))-AVERAGE(OFFSET($H$3,0,0,'Données projet'!$E$9+1,1))</f>
        <v>581.88778927327667</v>
      </c>
      <c r="T122" s="62">
        <f t="shared" si="88"/>
        <v>269.67340993773422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44.46035819985179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44.46035819985179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354.24684313982857</v>
      </c>
      <c r="AO122" s="62">
        <f t="shared" si="90"/>
        <v>322.65043486962185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77.46337876878745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77.46337876878745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5.6</v>
      </c>
      <c r="BD122" s="13">
        <f>IF('Données projet'!$A$88&gt;35,BD121+BC122-BL121,IF(A122&lt;'Données projet'!$A$88,$BA$205^A122,IF(A122='Données projet'!$A$88,'Données projet'!$B$88,BD121+BC122-BL121)))</f>
        <v>312.40000000000032</v>
      </c>
      <c r="BE122" s="14">
        <f>BD122*VLOOKUP('Données projet'!$B$11,Paramètres!$A$1:$I$89,3,0)*VLOOKUP('Données projet'!$B$11,Paramètres!$A$1:$I$89,5,0)</f>
        <v>297.27984000000032</v>
      </c>
      <c r="BF122" s="14">
        <f t="shared" si="91"/>
        <v>70.605911509669951</v>
      </c>
      <c r="BG122" s="22">
        <f t="shared" si="61"/>
        <v>640.73435054600907</v>
      </c>
      <c r="BH122" s="62">
        <f t="shared" si="62"/>
        <v>934.06768387934244</v>
      </c>
      <c r="BI122" s="62">
        <f ca="1">AVERAGE(OFFSET($BH$3,0,0,'Données projet'!$E$11+1,1))-AVERAGE(OFFSET($H$3,0,0,'Données projet'!$E$11+1,1))</f>
        <v>460.77543902152325</v>
      </c>
      <c r="BJ122" s="62">
        <f t="shared" si="92"/>
        <v>341.4342976721104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68.418654752915103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68.418654752915103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-5.6843418860808015E-13</v>
      </c>
      <c r="BZ122" s="14">
        <f>BY122*VLOOKUP('Données projet'!$B$12,Paramètres!$A$1:$I$89,3,0)*VLOOKUP('Données projet'!$B$12,Paramètres!$A$1:$I$89,5,0)</f>
        <v>-3.39923644787632E-13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438.68915237247444</v>
      </c>
      <c r="CE122" s="62">
        <f t="shared" si="94"/>
        <v>376.94419168335452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108.47157623592395</v>
      </c>
      <c r="CL122" s="23">
        <f>EXP(-LN(2)/25)*CL121+(1-EXP(-LN(2)/25))/(LN(2)/25)*Calculateur!CG122*Calculateur!CI122*VLOOKUP('Données projet'!$B$12,Paramètres!$A$1:$I$89,3,0)*0.475*44/12</f>
        <v>11.831043571443494</v>
      </c>
      <c r="CM122" s="23">
        <f>EXP(-LN(2)/2)*CM121+(1-EXP(-LN(2)/2))/(LN(2)/2)*CG122*CJ122*VLOOKUP('Données projet'!$B$12,Paramètres!$A$1:$I$89,3,0)*0.475*44/12</f>
        <v>1.3856340878954975E-5</v>
      </c>
      <c r="CN122" s="24">
        <f t="shared" si="66"/>
        <v>120.30263366370833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8.0750000000000082</v>
      </c>
      <c r="CT122" s="13">
        <f>IF('Données projet'!$A$140&gt;35,CT121+CS122-DB121,IF(A122&lt;'Données projet'!$A$140,$CQ$205^A122,IF(A122='Données projet'!$A$140,'Données projet'!$B$140,CT121+CS122-DB121)))</f>
        <v>455.06999999999971</v>
      </c>
      <c r="CU122" s="18">
        <f>CT122*VLOOKUP('Données projet'!$B$13,Paramètres!$A$1:$I$89,3,0)*VLOOKUP('Données projet'!$B$13,Paramètres!$A$1:$I$89,5,0)</f>
        <v>212.97275999999985</v>
      </c>
      <c r="CV122" s="14">
        <f t="shared" si="95"/>
        <v>52.584676139610075</v>
      </c>
      <c r="CW122" s="22">
        <f t="shared" si="67"/>
        <v>462.51253460982065</v>
      </c>
      <c r="CX122" s="62">
        <f t="shared" si="68"/>
        <v>755.84586794315396</v>
      </c>
      <c r="CY122" s="62">
        <f ca="1">AVERAGE(OFFSET($CX$3,0,0,'Données projet'!$E$13+1,1))-AVERAGE(OFFSET($H$3,0,0,'Données projet'!$E$13+1,1))</f>
        <v>302.06513069580848</v>
      </c>
      <c r="CZ122" s="62">
        <f t="shared" si="96"/>
        <v>164.1450425611464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67.707290692894034</v>
      </c>
      <c r="DG122" s="23">
        <f>EXP(-LN(2)/25)*DG121+(1-EXP(-LN(2)/25))/(LN(2)/25)*Calculateur!DB122*Calculateur!DD122*VLOOKUP('Données projet'!$B$13,Paramètres!$A$1:$I$89,3,0)*0.475*44/12</f>
        <v>13.588472572435714</v>
      </c>
      <c r="DH122" s="23">
        <f>EXP(-LN(2)/2)*DH121+(1-EXP(-LN(2)/2))/(LN(2)/2)*DB122*DE122*VLOOKUP('Données projet'!$B$13,Paramètres!$A$1:$I$89,3,0)*0.475*44/12</f>
        <v>0.1378888658780841</v>
      </c>
      <c r="DI122" s="24">
        <f t="shared" si="69"/>
        <v>81.433652131207836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7.9920000000000018</v>
      </c>
      <c r="N123" s="14">
        <f>IF('Données projet'!$A$36&gt;35,N122+M123-V122,IF(A123&lt;'Données projet'!$A$36,$K$205^A123,IF(A123='Données projet'!$A$36,'Données projet'!$B$36,N122+M123-V122)))</f>
        <v>376.45200000000062</v>
      </c>
      <c r="O123" s="14">
        <f>N123*VLOOKUP('Données projet'!$B$9,Paramètres!$A$1:$I$89,3,0)*VLOOKUP('Données projet'!$B$9,Paramètres!$A$1:$I$89,5,0)</f>
        <v>340.61376960000058</v>
      </c>
      <c r="P123" s="14">
        <f t="shared" si="87"/>
        <v>79.626741793195919</v>
      </c>
      <c r="Q123" s="22">
        <f t="shared" si="107"/>
        <v>731.9188906764839</v>
      </c>
      <c r="R123" s="62">
        <f t="shared" si="55"/>
        <v>1025.2522240098172</v>
      </c>
      <c r="S123" s="62">
        <f ca="1">AVERAGE(OFFSET($R$3,0,0,'Données projet'!$E$9+1,1))-AVERAGE(OFFSET($H$3,0,0,'Données projet'!$E$9+1,1))</f>
        <v>581.88778927327667</v>
      </c>
      <c r="T123" s="62">
        <f t="shared" si="88"/>
        <v>269.67340993773422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43.588517693693504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43.588517693693504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354.24684313982857</v>
      </c>
      <c r="AO123" s="62">
        <f t="shared" si="90"/>
        <v>322.65043486962185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75.94436915912722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75.94436915912722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318</v>
      </c>
      <c r="BB123" s="13">
        <f>VLOOKUP(A123,'Données projet'!$A$87:$I$107,9,0)</f>
        <v>5.6</v>
      </c>
      <c r="BC123" s="13">
        <f t="array" ref="BC123">INDEX(BB:BB,MIN(IF(ISNUMBER(BB123:BB319),ROW(BB123:BB319),"")))</f>
        <v>5.6</v>
      </c>
      <c r="BD123" s="13">
        <f>IF('Données projet'!$A$88&gt;35,BD122+BC123-BL122,IF(A123&lt;'Données projet'!$A$88,$BA$205^A123,IF(A123='Données projet'!$A$88,'Données projet'!$B$88,BD122+BC123-BL122)))</f>
        <v>318.00000000000034</v>
      </c>
      <c r="BE123" s="14">
        <f>BD123*VLOOKUP('Données projet'!$B$11,Paramètres!$A$1:$I$89,3,0)*VLOOKUP('Données projet'!$B$11,Paramètres!$A$1:$I$89,5,0)</f>
        <v>302.60880000000037</v>
      </c>
      <c r="BF123" s="14">
        <f t="shared" si="91"/>
        <v>71.723092260023876</v>
      </c>
      <c r="BG123" s="22">
        <f t="shared" si="61"/>
        <v>651.96137901954216</v>
      </c>
      <c r="BH123" s="62">
        <f t="shared" si="62"/>
        <v>945.29471235287542</v>
      </c>
      <c r="BI123" s="62">
        <f ca="1">AVERAGE(OFFSET($BH$3,0,0,'Données projet'!$E$11+1,1))-AVERAGE(OFFSET($H$3,0,0,'Données projet'!$E$11+1,1))</f>
        <v>460.77543902152325</v>
      </c>
      <c r="BJ123" s="62">
        <f t="shared" si="92"/>
        <v>341.4342976721104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318</v>
      </c>
      <c r="BM123" s="17">
        <f>IF(ISNA(VLOOKUP(A123,'Données projet'!$A$87:$I$107,5,0)),0%,VLOOKUP(A123,'Données projet'!$A$87:$I$107,5,0)*VLOOKUP('Données projet'!$B$11,Paramètres!$A$1:$I$89,7,0))</f>
        <v>0.34400000000000003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182.15362901965688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182.15362901965688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-5.6843418860808015E-13</v>
      </c>
      <c r="BZ123" s="14">
        <f>BY123*VLOOKUP('Données projet'!$B$12,Paramètres!$A$1:$I$89,3,0)*VLOOKUP('Données projet'!$B$12,Paramètres!$A$1:$I$89,5,0)</f>
        <v>-3.39923644787632E-13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438.68915237247444</v>
      </c>
      <c r="CE123" s="62">
        <f t="shared" si="94"/>
        <v>376.94419168335452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106.34451478706612</v>
      </c>
      <c r="CL123" s="23">
        <f>EXP(-LN(2)/25)*CL122+(1-EXP(-LN(2)/25))/(LN(2)/25)*Calculateur!CG123*Calculateur!CI123*VLOOKUP('Données projet'!$B$12,Paramètres!$A$1:$I$89,3,0)*0.475*44/12</f>
        <v>11.507523062814832</v>
      </c>
      <c r="CM123" s="23">
        <f>EXP(-LN(2)/2)*CM122+(1-EXP(-LN(2)/2))/(LN(2)/2)*CG123*CJ123*VLOOKUP('Données projet'!$B$12,Paramètres!$A$1:$I$89,3,0)*0.475*44/12</f>
        <v>9.7979125979414294E-6</v>
      </c>
      <c r="CN123" s="24">
        <f t="shared" si="66"/>
        <v>117.85204764779354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8.0750000000000082</v>
      </c>
      <c r="CT123" s="13">
        <f>IF('Données projet'!$A$140&gt;35,CT122+CS123-DB122,IF(A123&lt;'Données projet'!$A$140,$CQ$205^A123,IF(A123='Données projet'!$A$140,'Données projet'!$B$140,CT122+CS123-DB122)))</f>
        <v>463.1449999999997</v>
      </c>
      <c r="CU123" s="18">
        <f>CT123*VLOOKUP('Données projet'!$B$13,Paramètres!$A$1:$I$89,3,0)*VLOOKUP('Données projet'!$B$13,Paramètres!$A$1:$I$89,5,0)</f>
        <v>216.75185999999988</v>
      </c>
      <c r="CV123" s="14">
        <f t="shared" si="95"/>
        <v>53.408308556832111</v>
      </c>
      <c r="CW123" s="22">
        <f t="shared" si="67"/>
        <v>470.52896023648236</v>
      </c>
      <c r="CX123" s="62">
        <f t="shared" si="68"/>
        <v>763.86229356981562</v>
      </c>
      <c r="CY123" s="62">
        <f ca="1">AVERAGE(OFFSET($CX$3,0,0,'Données projet'!$E$13+1,1))-AVERAGE(OFFSET($H$3,0,0,'Données projet'!$E$13+1,1))</f>
        <v>302.06513069580848</v>
      </c>
      <c r="CZ123" s="62">
        <f t="shared" si="96"/>
        <v>164.1450425611464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66.379592019775927</v>
      </c>
      <c r="DG123" s="23">
        <f>EXP(-LN(2)/25)*DG122+(1-EXP(-LN(2)/25))/(LN(2)/25)*Calculateur!DB123*Calculateur!DD123*VLOOKUP('Données projet'!$B$13,Paramètres!$A$1:$I$89,3,0)*0.475*44/12</f>
        <v>13.216895075355744</v>
      </c>
      <c r="DH123" s="23">
        <f>EXP(-LN(2)/2)*DH122+(1-EXP(-LN(2)/2))/(LN(2)/2)*DB123*DE123*VLOOKUP('Données projet'!$B$13,Paramètres!$A$1:$I$89,3,0)*0.475*44/12</f>
        <v>9.7502152112515617E-2</v>
      </c>
      <c r="DI123" s="24">
        <f t="shared" si="69"/>
        <v>79.693989247244176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7.9920000000000018</v>
      </c>
      <c r="N124" s="14">
        <f>IF('Données projet'!$A$36&gt;35,N123+M124-V123,IF(A124&lt;'Données projet'!$A$36,$K$205^A124,IF(A124='Données projet'!$A$36,'Données projet'!$B$36,N123+M124-V123)))</f>
        <v>384.44400000000064</v>
      </c>
      <c r="O124" s="14">
        <f>N124*VLOOKUP('Données projet'!$B$9,Paramètres!$A$1:$I$89,3,0)*VLOOKUP('Données projet'!$B$9,Paramètres!$A$1:$I$89,5,0)</f>
        <v>347.84493120000059</v>
      </c>
      <c r="P124" s="14">
        <f t="shared" si="87"/>
        <v>81.11860080370937</v>
      </c>
      <c r="Q124" s="22">
        <f t="shared" si="107"/>
        <v>747.11148490646144</v>
      </c>
      <c r="R124" s="62">
        <f t="shared" si="55"/>
        <v>1040.4448182397948</v>
      </c>
      <c r="S124" s="62">
        <f ca="1">AVERAGE(OFFSET($R$3,0,0,'Données projet'!$E$9+1,1))-AVERAGE(OFFSET($H$3,0,0,'Données projet'!$E$9+1,1))</f>
        <v>581.88778927327667</v>
      </c>
      <c r="T124" s="62">
        <f t="shared" si="88"/>
        <v>269.67340993773422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42.73377344809078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42.73377344809078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354.24684313982857</v>
      </c>
      <c r="AO124" s="62">
        <f t="shared" si="90"/>
        <v>322.65043486962185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74.455146401408058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74.455146401408058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3.2455318432766944E-13</v>
      </c>
      <c r="BF124" s="14">
        <f t="shared" si="91"/>
        <v>4.2513245787534721E-12</v>
      </c>
      <c r="BG124" s="22">
        <f t="shared" si="61"/>
        <v>7.9696537706996534E-12</v>
      </c>
      <c r="BH124" s="62">
        <f t="shared" si="62"/>
        <v>293.33333333334127</v>
      </c>
      <c r="BI124" s="62">
        <f ca="1">AVERAGE(OFFSET($BH$3,0,0,'Données projet'!$E$11+1,1))-AVERAGE(OFFSET($H$3,0,0,'Données projet'!$E$11+1,1))</f>
        <v>460.77543902152325</v>
      </c>
      <c r="BJ124" s="62">
        <f t="shared" si="92"/>
        <v>341.4342976721104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178.58170745732463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178.58170745732463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-5.6843418860808015E-13</v>
      </c>
      <c r="BZ124" s="14">
        <f>BY124*VLOOKUP('Données projet'!$B$12,Paramètres!$A$1:$I$89,3,0)*VLOOKUP('Données projet'!$B$12,Paramètres!$A$1:$I$89,5,0)</f>
        <v>-3.39923644787632E-13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438.68915237247444</v>
      </c>
      <c r="CE124" s="62">
        <f t="shared" si="94"/>
        <v>376.94419168335452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104.25916371584101</v>
      </c>
      <c r="CL124" s="23">
        <f>EXP(-LN(2)/25)*CL123+(1-EXP(-LN(2)/25))/(LN(2)/25)*Calculateur!CG124*Calculateur!CI124*VLOOKUP('Données projet'!$B$12,Paramètres!$A$1:$I$89,3,0)*0.475*44/12</f>
        <v>11.192849239507822</v>
      </c>
      <c r="CM124" s="23">
        <f>EXP(-LN(2)/2)*CM123+(1-EXP(-LN(2)/2))/(LN(2)/2)*CG124*CJ124*VLOOKUP('Données projet'!$B$12,Paramètres!$A$1:$I$89,3,0)*0.475*44/12</f>
        <v>6.9281704394774877E-6</v>
      </c>
      <c r="CN124" s="24">
        <f t="shared" si="66"/>
        <v>115.45201988351927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>
        <f>VLOOKUP(A124,'Données projet'!$A$139:$I$159,2,0)</f>
        <v>471.22</v>
      </c>
      <c r="CR124" s="13">
        <f>VLOOKUP(A124,'Données projet'!$A$139:$I$159,9,0)</f>
        <v>8.0750000000000082</v>
      </c>
      <c r="CS124" s="13">
        <f t="array" ref="CS124">INDEX(CR:CR,MIN(IF(ISNUMBER(CR124:CR320),ROW(CR124:CR320),"")))</f>
        <v>8.0750000000000082</v>
      </c>
      <c r="CT124" s="13">
        <f>IF('Données projet'!$A$140&gt;35,CT123+CS124-DB123,IF(A124&lt;'Données projet'!$A$140,$CQ$205^A124,IF(A124='Données projet'!$A$140,'Données projet'!$B$140,CT123+CS124-DB123)))</f>
        <v>471.21999999999969</v>
      </c>
      <c r="CU124" s="18">
        <f>CT124*VLOOKUP('Données projet'!$B$13,Paramètres!$A$1:$I$89,3,0)*VLOOKUP('Données projet'!$B$13,Paramètres!$A$1:$I$89,5,0)</f>
        <v>220.53095999999985</v>
      </c>
      <c r="CV124" s="14">
        <f t="shared" si="95"/>
        <v>54.230271058113658</v>
      </c>
      <c r="CW124" s="22">
        <f t="shared" si="67"/>
        <v>478.54247742621436</v>
      </c>
      <c r="CX124" s="62">
        <f t="shared" si="68"/>
        <v>771.87581075954768</v>
      </c>
      <c r="CY124" s="62">
        <f ca="1">AVERAGE(OFFSET($CX$3,0,0,'Données projet'!$E$13+1,1))-AVERAGE(OFFSET($H$3,0,0,'Données projet'!$E$13+1,1))</f>
        <v>302.06513069580848</v>
      </c>
      <c r="CZ124" s="62">
        <f t="shared" si="96"/>
        <v>164.1450425611464</v>
      </c>
      <c r="DA124" s="16">
        <f>IF(ISNA(VLOOKUP(A124,'Données projet'!$A$139:$I$159,3,0)),0,VLOOKUP(A124,'Données projet'!$A$139:$I$159,3,0))</f>
        <v>7</v>
      </c>
      <c r="DB124" s="16">
        <f>IF(ISNA(VLOOKUP(A124,'Données projet'!$A$139:$I$159,4,0)),0,VLOOKUP(A124,'Données projet'!$A$139:$I$159,4,0))</f>
        <v>233.54</v>
      </c>
      <c r="DC124" s="17">
        <f>IF(ISNA(VLOOKUP(A124,'Données projet'!$A$139:$I$159,5,0)),0%,VLOOKUP(A124,'Données projet'!$A$139:$I$159,5,0)*VLOOKUP('Données projet'!$B$13,Paramètres!$A$1:$I$89,7,0))</f>
        <v>0.44000000000000006</v>
      </c>
      <c r="DD124" s="17">
        <f>IF(ISNA(VLOOKUP(A124,'Données projet'!$A$139:$I$159,6,0)),0%,VLOOKUP(A124,'Données projet'!$A$139:$I$159,6,0)*VLOOKUP('Données projet'!$B$13,Paramètres!$A$1:$I$89,7,0))</f>
        <v>6.0500000000000005E-2</v>
      </c>
      <c r="DE124" s="17">
        <f>IF(ISNA(VLOOKUP(A124,'Données projet'!$A$139:$I$159,7,0)),0%,VLOOKUP(A124,'Données projet'!$A$139:$I$159,7,0))</f>
        <v>0.09</v>
      </c>
      <c r="DF124" s="23">
        <f>EXP(-LN(2)/35)*DF123+(1-EXP(-LN(2)/35))/(LN(2)/35)*DB124*DC124*VLOOKUP('Données projet'!$B$13,Paramètres!$A$1:$I$89,3,0)*0.475*44/12</f>
        <v>128.87315200099772</v>
      </c>
      <c r="DG124" s="23">
        <f>EXP(-LN(2)/25)*DG123+(1-EXP(-LN(2)/25))/(LN(2)/25)*Calculateur!DB124*Calculateur!DD124*VLOOKUP('Données projet'!$B$13,Paramètres!$A$1:$I$89,3,0)*0.475*44/12</f>
        <v>21.592783498261809</v>
      </c>
      <c r="DH124" s="23">
        <f>EXP(-LN(2)/2)*DH123+(1-EXP(-LN(2)/2))/(LN(2)/2)*DB124*DE124*VLOOKUP('Données projet'!$B$13,Paramètres!$A$1:$I$89,3,0)*0.475*44/12</f>
        <v>11.206379308732656</v>
      </c>
      <c r="DI124" s="24">
        <f t="shared" si="69"/>
        <v>161.67231480799219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7.9920000000000018</v>
      </c>
      <c r="N125" s="14">
        <f>IF('Données projet'!$A$36&gt;35,N124+M125-V124,IF(A125&lt;'Données projet'!$A$36,$K$205^A125,IF(A125='Données projet'!$A$36,'Données projet'!$B$36,N124+M125-V124)))</f>
        <v>392.43600000000066</v>
      </c>
      <c r="O125" s="14">
        <f>N125*VLOOKUP('Données projet'!$B$9,Paramètres!$A$1:$I$89,3,0)*VLOOKUP('Données projet'!$B$9,Paramètres!$A$1:$I$89,5,0)</f>
        <v>355.07609280000059</v>
      </c>
      <c r="P125" s="14">
        <f t="shared" si="87"/>
        <v>82.606853937508674</v>
      </c>
      <c r="Q125" s="22">
        <f t="shared" si="107"/>
        <v>762.29779890116197</v>
      </c>
      <c r="R125" s="62">
        <f t="shared" si="55"/>
        <v>1055.6311322344952</v>
      </c>
      <c r="S125" s="62">
        <f ca="1">AVERAGE(OFFSET($R$3,0,0,'Données projet'!$E$9+1,1))-AVERAGE(OFFSET($H$3,0,0,'Données projet'!$E$9+1,1))</f>
        <v>581.88778927327667</v>
      </c>
      <c r="T125" s="62">
        <f t="shared" si="88"/>
        <v>269.67340993773422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41.895790215801817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41.895790215801817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354.24684313982857</v>
      </c>
      <c r="AO125" s="62">
        <f t="shared" si="90"/>
        <v>322.65043486962185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72.99512639363158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72.99512639363158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3.2455318432766944E-13</v>
      </c>
      <c r="BF125" s="14">
        <f t="shared" si="91"/>
        <v>4.2513245787534721E-12</v>
      </c>
      <c r="BG125" s="22">
        <f t="shared" si="61"/>
        <v>7.9696537706996534E-12</v>
      </c>
      <c r="BH125" s="62">
        <f t="shared" si="62"/>
        <v>293.33333333334127</v>
      </c>
      <c r="BI125" s="62">
        <f ca="1">AVERAGE(OFFSET($BH$3,0,0,'Données projet'!$E$11+1,1))-AVERAGE(OFFSET($H$3,0,0,'Données projet'!$E$11+1,1))</f>
        <v>460.77543902152325</v>
      </c>
      <c r="BJ125" s="62">
        <f t="shared" si="92"/>
        <v>341.4342976721104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175.07982909817267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175.07982909817267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-5.6843418860808015E-13</v>
      </c>
      <c r="BZ125" s="14">
        <f>BY125*VLOOKUP('Données projet'!$B$12,Paramètres!$A$1:$I$89,3,0)*VLOOKUP('Données projet'!$B$12,Paramètres!$A$1:$I$89,5,0)</f>
        <v>-3.39923644787632E-13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438.68915237247444</v>
      </c>
      <c r="CE125" s="62">
        <f t="shared" si="94"/>
        <v>376.94419168335452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102.21470510718407</v>
      </c>
      <c r="CL125" s="23">
        <f>EXP(-LN(2)/25)*CL124+(1-EXP(-LN(2)/25))/(LN(2)/25)*Calculateur!CG125*Calculateur!CI125*VLOOKUP('Données projet'!$B$12,Paramètres!$A$1:$I$89,3,0)*0.475*44/12</f>
        <v>10.886780188447121</v>
      </c>
      <c r="CM125" s="23">
        <f>EXP(-LN(2)/2)*CM124+(1-EXP(-LN(2)/2))/(LN(2)/2)*CG125*CJ125*VLOOKUP('Données projet'!$B$12,Paramètres!$A$1:$I$89,3,0)*0.475*44/12</f>
        <v>4.8989562989707147E-6</v>
      </c>
      <c r="CN125" s="24">
        <f t="shared" si="66"/>
        <v>113.1014901945875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6.2849999999999895</v>
      </c>
      <c r="CT125" s="13">
        <f>IF('Données projet'!$A$140&gt;35,CT124+CS125-DB124,IF(A125&lt;'Données projet'!$A$140,$CQ$205^A125,IF(A125='Données projet'!$A$140,'Données projet'!$B$140,CT124+CS125-DB124)))</f>
        <v>243.96499999999966</v>
      </c>
      <c r="CU125" s="18">
        <f>CT125*VLOOKUP('Données projet'!$B$13,Paramètres!$A$1:$I$89,3,0)*VLOOKUP('Données projet'!$B$13,Paramètres!$A$1:$I$89,5,0)</f>
        <v>114.17561999999984</v>
      </c>
      <c r="CV125" s="14">
        <f t="shared" si="95"/>
        <v>30.312649803008096</v>
      </c>
      <c r="CW125" s="22">
        <f t="shared" si="67"/>
        <v>251.65040324023883</v>
      </c>
      <c r="CX125" s="62">
        <f t="shared" si="68"/>
        <v>544.98373657357217</v>
      </c>
      <c r="CY125" s="62">
        <f ca="1">AVERAGE(OFFSET($CX$3,0,0,'Données projet'!$E$13+1,1))-AVERAGE(OFFSET($H$3,0,0,'Données projet'!$E$13+1,1))</f>
        <v>302.06513069580848</v>
      </c>
      <c r="CZ125" s="62">
        <f t="shared" si="96"/>
        <v>164.1450425611464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126.34602809511929</v>
      </c>
      <c r="DG125" s="23">
        <f>EXP(-LN(2)/25)*DG124+(1-EXP(-LN(2)/25))/(LN(2)/25)*Calculateur!DB125*Calculateur!DD125*VLOOKUP('Données projet'!$B$13,Paramètres!$A$1:$I$89,3,0)*0.475*44/12</f>
        <v>21.002327697986708</v>
      </c>
      <c r="DH125" s="23">
        <f>EXP(-LN(2)/2)*DH124+(1-EXP(-LN(2)/2))/(LN(2)/2)*DB125*DE125*VLOOKUP('Données projet'!$B$13,Paramètres!$A$1:$I$89,3,0)*0.475*44/12</f>
        <v>7.9241068017534761</v>
      </c>
      <c r="DI125" s="24">
        <f t="shared" si="69"/>
        <v>155.27246259485949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7.9920000000000018</v>
      </c>
      <c r="N126" s="14">
        <f>IF('Données projet'!$A$36&gt;35,N125+M126-V125,IF(A126&lt;'Données projet'!$A$36,$K$205^A126,IF(A126='Données projet'!$A$36,'Données projet'!$B$36,N125+M126-V125)))</f>
        <v>400.42800000000068</v>
      </c>
      <c r="O126" s="14">
        <f>N126*VLOOKUP('Données projet'!$B$9,Paramètres!$A$1:$I$89,3,0)*VLOOKUP('Données projet'!$B$9,Paramètres!$A$1:$I$89,5,0)</f>
        <v>362.3072544000006</v>
      </c>
      <c r="P126" s="14">
        <f t="shared" si="87"/>
        <v>84.09158309070763</v>
      </c>
      <c r="Q126" s="22">
        <f t="shared" si="107"/>
        <v>777.4779752963168</v>
      </c>
      <c r="R126" s="62">
        <f t="shared" si="55"/>
        <v>1070.8113086296501</v>
      </c>
      <c r="S126" s="62">
        <f ca="1">AVERAGE(OFFSET($R$3,0,0,'Données projet'!$E$9+1,1))-AVERAGE(OFFSET($H$3,0,0,'Données projet'!$E$9+1,1))</f>
        <v>581.88778927327667</v>
      </c>
      <c r="T126" s="62">
        <f t="shared" si="88"/>
        <v>269.67340993773422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41.074239323578738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41.074239323578738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354.24684313982857</v>
      </c>
      <c r="AO126" s="62">
        <f t="shared" si="90"/>
        <v>322.65043486962185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71.563736487683315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71.563736487683315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3.2455318432766944E-13</v>
      </c>
      <c r="BF126" s="14">
        <f t="shared" si="91"/>
        <v>4.2513245787534721E-12</v>
      </c>
      <c r="BG126" s="22">
        <f t="shared" si="61"/>
        <v>7.9696537706996534E-12</v>
      </c>
      <c r="BH126" s="62">
        <f t="shared" si="62"/>
        <v>293.33333333334127</v>
      </c>
      <c r="BI126" s="62">
        <f ca="1">AVERAGE(OFFSET($BH$3,0,0,'Données projet'!$E$11+1,1))-AVERAGE(OFFSET($H$3,0,0,'Données projet'!$E$11+1,1))</f>
        <v>460.77543902152325</v>
      </c>
      <c r="BJ126" s="62">
        <f t="shared" si="92"/>
        <v>341.4342976721104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171.6466204377088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171.6466204377088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-5.6843418860808015E-13</v>
      </c>
      <c r="BZ126" s="14">
        <f>BY126*VLOOKUP('Données projet'!$B$12,Paramètres!$A$1:$I$89,3,0)*VLOOKUP('Données projet'!$B$12,Paramètres!$A$1:$I$89,5,0)</f>
        <v>-3.39923644787632E-13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438.68915237247444</v>
      </c>
      <c r="CE126" s="62">
        <f t="shared" si="94"/>
        <v>376.94419168335452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100.21033708484627</v>
      </c>
      <c r="CL126" s="23">
        <f>EXP(-LN(2)/25)*CL125+(1-EXP(-LN(2)/25))/(LN(2)/25)*Calculateur!CG126*Calculateur!CI126*VLOOKUP('Données projet'!$B$12,Paramètres!$A$1:$I$89,3,0)*0.475*44/12</f>
        <v>10.589080611683146</v>
      </c>
      <c r="CM126" s="23">
        <f>EXP(-LN(2)/2)*CM125+(1-EXP(-LN(2)/2))/(LN(2)/2)*CG126*CJ126*VLOOKUP('Données projet'!$B$12,Paramètres!$A$1:$I$89,3,0)*0.475*44/12</f>
        <v>3.4640852197387439E-6</v>
      </c>
      <c r="CN126" s="24">
        <f t="shared" si="66"/>
        <v>110.79942116061464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6.2849999999999895</v>
      </c>
      <c r="CT126" s="13">
        <f>IF('Données projet'!$A$140&gt;35,CT125+CS126-DB125,IF(A126&lt;'Données projet'!$A$140,$CQ$205^A126,IF(A126='Données projet'!$A$140,'Données projet'!$B$140,CT125+CS126-DB125)))</f>
        <v>250.24999999999966</v>
      </c>
      <c r="CU126" s="18">
        <f>CT126*VLOOKUP('Données projet'!$B$13,Paramètres!$A$1:$I$89,3,0)*VLOOKUP('Données projet'!$B$13,Paramètres!$A$1:$I$89,5,0)</f>
        <v>117.11699999999985</v>
      </c>
      <c r="CV126" s="14">
        <f t="shared" si="95"/>
        <v>31.001638169972686</v>
      </c>
      <c r="CW126" s="22">
        <f t="shared" si="67"/>
        <v>257.97329481270214</v>
      </c>
      <c r="CX126" s="62">
        <f t="shared" si="68"/>
        <v>551.30662814603545</v>
      </c>
      <c r="CY126" s="62">
        <f ca="1">AVERAGE(OFFSET($CX$3,0,0,'Données projet'!$E$13+1,1))-AVERAGE(OFFSET($H$3,0,0,'Données projet'!$E$13+1,1))</f>
        <v>302.06513069580848</v>
      </c>
      <c r="CZ126" s="62">
        <f t="shared" si="96"/>
        <v>164.1450425611464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123.86845954764176</v>
      </c>
      <c r="DG126" s="23">
        <f>EXP(-LN(2)/25)*DG125+(1-EXP(-LN(2)/25))/(LN(2)/25)*Calculateur!DB126*Calculateur!DD126*VLOOKUP('Données projet'!$B$13,Paramètres!$A$1:$I$89,3,0)*0.475*44/12</f>
        <v>20.428017942620848</v>
      </c>
      <c r="DH126" s="23">
        <f>EXP(-LN(2)/2)*DH125+(1-EXP(-LN(2)/2))/(LN(2)/2)*DB126*DE126*VLOOKUP('Données projet'!$B$13,Paramètres!$A$1:$I$89,3,0)*0.475*44/12</f>
        <v>5.6031896543663287</v>
      </c>
      <c r="DI126" s="24">
        <f t="shared" si="69"/>
        <v>149.89966714462895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>
        <f>VLOOKUP(A127,'Données projet'!$A$35:$I$55,2,0)</f>
        <v>408.42</v>
      </c>
      <c r="L127" s="13">
        <f>VLOOKUP(A127,'Données projet'!$A$35:$I$55,9,0)</f>
        <v>7.9920000000000018</v>
      </c>
      <c r="M127" s="13">
        <f t="array" ref="M127">INDEX(L:L,MIN(IF(ISNUMBER(L127:L323),ROW(L127:L323),"")))</f>
        <v>7.9920000000000018</v>
      </c>
      <c r="N127" s="14">
        <f>IF('Données projet'!$A$36&gt;35,N126+M127-V126,IF(A127&lt;'Données projet'!$A$36,$K$205^A127,IF(A127='Données projet'!$A$36,'Données projet'!$B$36,N126+M127-V126)))</f>
        <v>408.4200000000007</v>
      </c>
      <c r="O127" s="14">
        <f>N127*VLOOKUP('Données projet'!$B$9,Paramètres!$A$1:$I$89,3,0)*VLOOKUP('Données projet'!$B$9,Paramètres!$A$1:$I$89,5,0)</f>
        <v>369.53841600000061</v>
      </c>
      <c r="P127" s="14">
        <f t="shared" si="87"/>
        <v>85.572866703416025</v>
      </c>
      <c r="Q127" s="22">
        <f t="shared" si="107"/>
        <v>792.65215070845068</v>
      </c>
      <c r="R127" s="62">
        <f t="shared" si="55"/>
        <v>1085.985484041784</v>
      </c>
      <c r="S127" s="62">
        <f ca="1">AVERAGE(OFFSET($R$3,0,0,'Données projet'!$E$9+1,1))-AVERAGE(OFFSET($H$3,0,0,'Données projet'!$E$9+1,1))</f>
        <v>581.88778927327667</v>
      </c>
      <c r="T127" s="62">
        <f t="shared" si="88"/>
        <v>269.67340993773422</v>
      </c>
      <c r="U127" s="16">
        <f>IF(ISNA(VLOOKUP(A127,'Données projet'!$A$35:$I$55,3,0)),0,VLOOKUP(A127,'Données projet'!$A$35:$I$55,3,0))</f>
        <v>10</v>
      </c>
      <c r="V127" s="16">
        <f>IF(ISNA(VLOOKUP(A127,'Données projet'!$A$35:$I$55,4,0)),0,VLOOKUP(A127,'Données projet'!$A$35:$I$55,4,0))</f>
        <v>52.53</v>
      </c>
      <c r="W127" s="17">
        <f>IF(ISNA(VLOOKUP(A127,'Données projet'!$A$35:$I$55,5,0)),0%,VLOOKUP(A127,'Données projet'!$A$35:$I$55,5,0)*VLOOKUP('Données projet'!$B$9,Paramètres!$A$1:$I$89,7,0))</f>
        <v>0.30099999999999999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56.083958861079012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56.083958861079012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354.24684313982857</v>
      </c>
      <c r="AO127" s="62">
        <f t="shared" si="90"/>
        <v>322.65043486962185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70.160415264729068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70.160415264729068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3.2455318432766944E-13</v>
      </c>
      <c r="BF127" s="14">
        <f t="shared" si="91"/>
        <v>4.2513245787534721E-12</v>
      </c>
      <c r="BG127" s="22">
        <f t="shared" si="61"/>
        <v>7.9696537706996534E-12</v>
      </c>
      <c r="BH127" s="62">
        <f t="shared" si="62"/>
        <v>293.33333333334127</v>
      </c>
      <c r="BI127" s="62">
        <f ca="1">AVERAGE(OFFSET($BH$3,0,0,'Données projet'!$E$11+1,1))-AVERAGE(OFFSET($H$3,0,0,'Données projet'!$E$11+1,1))</f>
        <v>460.77543902152325</v>
      </c>
      <c r="BJ127" s="62">
        <f t="shared" si="92"/>
        <v>341.4342976721104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168.28073490502612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168.28073490502612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-5.6843418860808015E-13</v>
      </c>
      <c r="BZ127" s="14">
        <f>BY127*VLOOKUP('Données projet'!$B$12,Paramètres!$A$1:$I$89,3,0)*VLOOKUP('Données projet'!$B$12,Paramètres!$A$1:$I$89,5,0)</f>
        <v>-3.39923644787632E-13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438.68915237247444</v>
      </c>
      <c r="CE127" s="62">
        <f t="shared" si="94"/>
        <v>376.94419168335452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98.245273496882731</v>
      </c>
      <c r="CL127" s="23">
        <f>EXP(-LN(2)/25)*CL126+(1-EXP(-LN(2)/25))/(LN(2)/25)*Calculateur!CG127*Calculateur!CI127*VLOOKUP('Données projet'!$B$12,Paramètres!$A$1:$I$89,3,0)*0.475*44/12</f>
        <v>10.299521645501123</v>
      </c>
      <c r="CM127" s="23">
        <f>EXP(-LN(2)/2)*CM126+(1-EXP(-LN(2)/2))/(LN(2)/2)*CG127*CJ127*VLOOKUP('Données projet'!$B$12,Paramètres!$A$1:$I$89,3,0)*0.475*44/12</f>
        <v>2.4494781494853573E-6</v>
      </c>
      <c r="CN127" s="24">
        <f t="shared" si="66"/>
        <v>108.54479759186201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6.2849999999999895</v>
      </c>
      <c r="CT127" s="13">
        <f>IF('Données projet'!$A$140&gt;35,CT126+CS127-DB126,IF(A127&lt;'Données projet'!$A$140,$CQ$205^A127,IF(A127='Données projet'!$A$140,'Données projet'!$B$140,CT126+CS127-DB126)))</f>
        <v>256.53499999999963</v>
      </c>
      <c r="CU127" s="18">
        <f>CT127*VLOOKUP('Données projet'!$B$13,Paramètres!$A$1:$I$89,3,0)*VLOOKUP('Données projet'!$B$13,Paramètres!$A$1:$I$89,5,0)</f>
        <v>120.05837999999983</v>
      </c>
      <c r="CV127" s="14">
        <f t="shared" si="95"/>
        <v>31.688615084951849</v>
      </c>
      <c r="CW127" s="22">
        <f t="shared" si="67"/>
        <v>264.29268310629078</v>
      </c>
      <c r="CX127" s="62">
        <f t="shared" si="68"/>
        <v>557.6260164396241</v>
      </c>
      <c r="CY127" s="62">
        <f ca="1">AVERAGE(OFFSET($CX$3,0,0,'Données projet'!$E$13+1,1))-AVERAGE(OFFSET($H$3,0,0,'Données projet'!$E$13+1,1))</f>
        <v>302.06513069580848</v>
      </c>
      <c r="CZ127" s="62">
        <f t="shared" si="96"/>
        <v>164.1450425611464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121.43947460821266</v>
      </c>
      <c r="DG127" s="23">
        <f>EXP(-LN(2)/25)*DG126+(1-EXP(-LN(2)/25))/(LN(2)/25)*Calculateur!DB127*Calculateur!DD127*VLOOKUP('Données projet'!$B$13,Paramètres!$A$1:$I$89,3,0)*0.475*44/12</f>
        <v>19.869412717717108</v>
      </c>
      <c r="DH127" s="23">
        <f>EXP(-LN(2)/2)*DH126+(1-EXP(-LN(2)/2))/(LN(2)/2)*DB127*DE127*VLOOKUP('Données projet'!$B$13,Paramètres!$A$1:$I$89,3,0)*0.475*44/12</f>
        <v>3.9620534008767385</v>
      </c>
      <c r="DI127" s="24">
        <f t="shared" si="69"/>
        <v>145.27094072680649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8.0699999999999985</v>
      </c>
      <c r="N128" s="14">
        <f>IF('Données projet'!$A$36&gt;35,N127+M128-V127,IF(A128&lt;'Données projet'!$A$36,$K$205^A128,IF(A128='Données projet'!$A$36,'Données projet'!$B$36,N127+M128-V127)))</f>
        <v>363.96000000000072</v>
      </c>
      <c r="O128" s="14">
        <f>N128*VLOOKUP('Données projet'!$B$9,Paramètres!$A$1:$I$89,3,0)*VLOOKUP('Données projet'!$B$9,Paramètres!$A$1:$I$89,5,0)</f>
        <v>329.31100800000064</v>
      </c>
      <c r="P128" s="14">
        <f t="shared" si="87"/>
        <v>77.287444180583748</v>
      </c>
      <c r="Q128" s="22">
        <f t="shared" si="107"/>
        <v>708.15897088118447</v>
      </c>
      <c r="R128" s="62">
        <f t="shared" si="55"/>
        <v>1001.4923042145178</v>
      </c>
      <c r="S128" s="62">
        <f ca="1">AVERAGE(OFFSET($R$3,0,0,'Données projet'!$E$9+1,1))-AVERAGE(OFFSET($H$3,0,0,'Données projet'!$E$9+1,1))</f>
        <v>581.88778927327667</v>
      </c>
      <c r="T128" s="62">
        <f t="shared" si="88"/>
        <v>269.67340993773422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54.984186635650417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54.984186635650417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354.24684313982857</v>
      </c>
      <c r="AO128" s="62">
        <f t="shared" si="90"/>
        <v>322.65043486962185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68.784612315015522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68.784612315015522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3.2455318432766944E-13</v>
      </c>
      <c r="BF128" s="14">
        <f t="shared" si="91"/>
        <v>4.2513245787534721E-12</v>
      </c>
      <c r="BG128" s="22">
        <f t="shared" si="61"/>
        <v>7.9696537706996534E-12</v>
      </c>
      <c r="BH128" s="62">
        <f t="shared" si="62"/>
        <v>293.33333333334127</v>
      </c>
      <c r="BI128" s="62">
        <f ca="1">AVERAGE(OFFSET($BH$3,0,0,'Données projet'!$E$11+1,1))-AVERAGE(OFFSET($H$3,0,0,'Données projet'!$E$11+1,1))</f>
        <v>460.77543902152325</v>
      </c>
      <c r="BJ128" s="62">
        <f t="shared" si="92"/>
        <v>341.4342976721104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164.98085233465187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164.98085233465187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-5.6843418860808015E-13</v>
      </c>
      <c r="BZ128" s="14">
        <f>BY128*VLOOKUP('Données projet'!$B$12,Paramètres!$A$1:$I$89,3,0)*VLOOKUP('Données projet'!$B$12,Paramètres!$A$1:$I$89,5,0)</f>
        <v>-3.39923644787632E-13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438.68915237247444</v>
      </c>
      <c r="CE128" s="62">
        <f t="shared" si="94"/>
        <v>376.94419168335452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96.318743607308718</v>
      </c>
      <c r="CL128" s="23">
        <f>EXP(-LN(2)/25)*CL127+(1-EXP(-LN(2)/25))/(LN(2)/25)*Calculateur!CG128*Calculateur!CI128*VLOOKUP('Données projet'!$B$12,Paramètres!$A$1:$I$89,3,0)*0.475*44/12</f>
        <v>10.017880684476591</v>
      </c>
      <c r="CM128" s="23">
        <f>EXP(-LN(2)/2)*CM127+(1-EXP(-LN(2)/2))/(LN(2)/2)*CG128*CJ128*VLOOKUP('Données projet'!$B$12,Paramètres!$A$1:$I$89,3,0)*0.475*44/12</f>
        <v>1.7320426098693719E-6</v>
      </c>
      <c r="CN128" s="24">
        <f t="shared" si="66"/>
        <v>106.33662602382792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>
        <f>VLOOKUP(A128,'Données projet'!$A$139:$I$159,2,0)</f>
        <v>262.82</v>
      </c>
      <c r="CR128" s="13">
        <f>VLOOKUP(A128,'Données projet'!$A$139:$I$159,9,0)</f>
        <v>6.2849999999999895</v>
      </c>
      <c r="CS128" s="13">
        <f t="array" ref="CS128">INDEX(CR:CR,MIN(IF(ISNUMBER(CR128:CR324),ROW(CR128:CR324),"")))</f>
        <v>6.2849999999999895</v>
      </c>
      <c r="CT128" s="13">
        <f>IF('Données projet'!$A$140&gt;35,CT127+CS128-DB127,IF(A128&lt;'Données projet'!$A$140,$CQ$205^A128,IF(A128='Données projet'!$A$140,'Données projet'!$B$140,CT127+CS128-DB127)))</f>
        <v>262.8199999999996</v>
      </c>
      <c r="CU128" s="18">
        <f>CT128*VLOOKUP('Données projet'!$B$13,Paramètres!$A$1:$I$89,3,0)*VLOOKUP('Données projet'!$B$13,Paramètres!$A$1:$I$89,5,0)</f>
        <v>122.9997599999998</v>
      </c>
      <c r="CV128" s="14">
        <f t="shared" si="95"/>
        <v>32.373635496583482</v>
      </c>
      <c r="CW128" s="22">
        <f t="shared" si="67"/>
        <v>270.60866382321586</v>
      </c>
      <c r="CX128" s="62">
        <f t="shared" si="68"/>
        <v>563.94199715654918</v>
      </c>
      <c r="CY128" s="62">
        <f ca="1">AVERAGE(OFFSET($CX$3,0,0,'Données projet'!$E$13+1,1))-AVERAGE(OFFSET($H$3,0,0,'Données projet'!$E$13+1,1))</f>
        <v>302.06513069580848</v>
      </c>
      <c r="CZ128" s="62">
        <f t="shared" si="96"/>
        <v>164.1450425611464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119.05812058191124</v>
      </c>
      <c r="DG128" s="23">
        <f>EXP(-LN(2)/25)*DG127+(1-EXP(-LN(2)/25))/(LN(2)/25)*Calculateur!DB128*Calculateur!DD128*VLOOKUP('Données projet'!$B$13,Paramètres!$A$1:$I$89,3,0)*0.475*44/12</f>
        <v>19.326082582064132</v>
      </c>
      <c r="DH128" s="23">
        <f>EXP(-LN(2)/2)*DH127+(1-EXP(-LN(2)/2))/(LN(2)/2)*DB128*DE128*VLOOKUP('Données projet'!$B$13,Paramètres!$A$1:$I$89,3,0)*0.475*44/12</f>
        <v>2.8015948271831648</v>
      </c>
      <c r="DI128" s="24">
        <f t="shared" si="69"/>
        <v>141.18579799115852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8.0699999999999985</v>
      </c>
      <c r="N129" s="14">
        <f>IF('Données projet'!$A$36&gt;35,N128+M129-V128,IF(A129&lt;'Données projet'!$A$36,$K$205^A129,IF(A129='Données projet'!$A$36,'Données projet'!$B$36,N128+M129-V128)))</f>
        <v>372.03000000000071</v>
      </c>
      <c r="O129" s="14">
        <f>N129*VLOOKUP('Données projet'!$B$9,Paramètres!$A$1:$I$89,3,0)*VLOOKUP('Données projet'!$B$9,Paramètres!$A$1:$I$89,5,0)</f>
        <v>336.61274400000065</v>
      </c>
      <c r="P129" s="14">
        <f t="shared" si="87"/>
        <v>78.799710600410648</v>
      </c>
      <c r="Q129" s="22">
        <f t="shared" si="107"/>
        <v>723.51002509571629</v>
      </c>
      <c r="R129" s="62">
        <f t="shared" si="55"/>
        <v>1016.8433584290497</v>
      </c>
      <c r="S129" s="62">
        <f ca="1">AVERAGE(OFFSET($R$3,0,0,'Données projet'!$E$9+1,1))-AVERAGE(OFFSET($H$3,0,0,'Données projet'!$E$9+1,1))</f>
        <v>581.88778927327667</v>
      </c>
      <c r="T129" s="62">
        <f t="shared" si="88"/>
        <v>269.67340993773422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53.90598027276765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53.90598027276765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354.24684313982857</v>
      </c>
      <c r="AO129" s="62">
        <f t="shared" si="90"/>
        <v>322.65043486962185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67.435788021988927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67.435788021988927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3.2455318432766944E-13</v>
      </c>
      <c r="BF129" s="14">
        <f t="shared" si="91"/>
        <v>4.2513245787534721E-12</v>
      </c>
      <c r="BG129" s="22">
        <f t="shared" si="61"/>
        <v>7.9696537706996534E-12</v>
      </c>
      <c r="BH129" s="62">
        <f t="shared" si="62"/>
        <v>293.33333333334127</v>
      </c>
      <c r="BI129" s="62">
        <f ca="1">AVERAGE(OFFSET($BH$3,0,0,'Données projet'!$E$11+1,1))-AVERAGE(OFFSET($H$3,0,0,'Données projet'!$E$11+1,1))</f>
        <v>460.77543902152325</v>
      </c>
      <c r="BJ129" s="62">
        <f t="shared" si="92"/>
        <v>341.4342976721104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161.74567844875304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161.74567844875304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-5.6843418860808015E-13</v>
      </c>
      <c r="BZ129" s="14">
        <f>BY129*VLOOKUP('Données projet'!$B$12,Paramètres!$A$1:$I$89,3,0)*VLOOKUP('Données projet'!$B$12,Paramètres!$A$1:$I$89,5,0)</f>
        <v>-3.39923644787632E-13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438.68915237247444</v>
      </c>
      <c r="CE129" s="62">
        <f t="shared" si="94"/>
        <v>376.94419168335452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94.429991793802046</v>
      </c>
      <c r="CL129" s="23">
        <f>EXP(-LN(2)/25)*CL128+(1-EXP(-LN(2)/25))/(LN(2)/25)*Calculateur!CG129*Calculateur!CI129*VLOOKUP('Données projet'!$B$12,Paramètres!$A$1:$I$89,3,0)*0.475*44/12</f>
        <v>9.743941210342129</v>
      </c>
      <c r="CM129" s="23">
        <f>EXP(-LN(2)/2)*CM128+(1-EXP(-LN(2)/2))/(LN(2)/2)*CG129*CJ129*VLOOKUP('Données projet'!$B$12,Paramètres!$A$1:$I$89,3,0)*0.475*44/12</f>
        <v>1.2247390747426787E-6</v>
      </c>
      <c r="CN129" s="24">
        <f t="shared" si="66"/>
        <v>104.17393422888325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5.2116666666666633</v>
      </c>
      <c r="CT129" s="13">
        <f>IF('Données projet'!$A$140&gt;35,CT128+CS129-DB128,IF(A129&lt;'Données projet'!$A$140,$CQ$205^A129,IF(A129='Données projet'!$A$140,'Données projet'!$B$140,CT128+CS129-DB128)))</f>
        <v>268.03166666666624</v>
      </c>
      <c r="CU129" s="18">
        <f>CT129*VLOOKUP('Données projet'!$B$13,Paramètres!$A$1:$I$89,3,0)*VLOOKUP('Données projet'!$B$13,Paramètres!$A$1:$I$89,5,0)</f>
        <v>125.43881999999979</v>
      </c>
      <c r="CV129" s="14">
        <f t="shared" si="95"/>
        <v>32.940223739089014</v>
      </c>
      <c r="CW129" s="22">
        <f t="shared" si="67"/>
        <v>275.84350117891302</v>
      </c>
      <c r="CX129" s="62">
        <f t="shared" si="68"/>
        <v>569.17683451224639</v>
      </c>
      <c r="CY129" s="62">
        <f ca="1">AVERAGE(OFFSET($CX$3,0,0,'Données projet'!$E$13+1,1))-AVERAGE(OFFSET($H$3,0,0,'Données projet'!$E$13+1,1))</f>
        <v>302.06513069580848</v>
      </c>
      <c r="CZ129" s="62">
        <f t="shared" si="96"/>
        <v>164.1450425611464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116.72346345558306</v>
      </c>
      <c r="DG129" s="23">
        <f>EXP(-LN(2)/25)*DG128+(1-EXP(-LN(2)/25))/(LN(2)/25)*Calculateur!DB129*Calculateur!DD129*VLOOKUP('Données projet'!$B$13,Paramètres!$A$1:$I$89,3,0)*0.475*44/12</f>
        <v>18.797609837543074</v>
      </c>
      <c r="DH129" s="23">
        <f>EXP(-LN(2)/2)*DH128+(1-EXP(-LN(2)/2))/(LN(2)/2)*DB129*DE129*VLOOKUP('Données projet'!$B$13,Paramètres!$A$1:$I$89,3,0)*0.475*44/12</f>
        <v>1.9810267004383697</v>
      </c>
      <c r="DI129" s="24">
        <f t="shared" si="69"/>
        <v>137.50209999356451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8.0699999999999985</v>
      </c>
      <c r="N130" s="14">
        <f>IF('Données projet'!$A$36&gt;35,N129+M130-V129,IF(A130&lt;'Données projet'!$A$36,$K$205^A130,IF(A130='Données projet'!$A$36,'Données projet'!$B$36,N129+M130-V129)))</f>
        <v>380.1000000000007</v>
      </c>
      <c r="O130" s="14">
        <f>N130*VLOOKUP('Données projet'!$B$9,Paramètres!$A$1:$I$89,3,0)*VLOOKUP('Données projet'!$B$9,Paramètres!$A$1:$I$89,5,0)</f>
        <v>343.91448000000065</v>
      </c>
      <c r="P130" s="14">
        <f t="shared" si="87"/>
        <v>80.308163160675235</v>
      </c>
      <c r="Q130" s="22">
        <f t="shared" si="107"/>
        <v>738.85443683817709</v>
      </c>
      <c r="R130" s="62">
        <f t="shared" si="55"/>
        <v>1032.1877701715105</v>
      </c>
      <c r="S130" s="62">
        <f ca="1">AVERAGE(OFFSET($R$3,0,0,'Données projet'!$E$9+1,1))-AVERAGE(OFFSET($H$3,0,0,'Données projet'!$E$9+1,1))</f>
        <v>581.88778927327667</v>
      </c>
      <c r="T130" s="62">
        <f t="shared" si="88"/>
        <v>269.67340993773422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52.848916879020074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52.848916879020074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354.24684313982857</v>
      </c>
      <c r="AO130" s="62">
        <f t="shared" si="90"/>
        <v>322.65043486962185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66.113413350646994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66.113413350646994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3.2455318432766944E-13</v>
      </c>
      <c r="BF130" s="14">
        <f t="shared" si="91"/>
        <v>4.2513245787534721E-12</v>
      </c>
      <c r="BG130" s="22">
        <f t="shared" si="61"/>
        <v>7.9696537706996534E-12</v>
      </c>
      <c r="BH130" s="62">
        <f t="shared" si="62"/>
        <v>293.33333333334127</v>
      </c>
      <c r="BI130" s="62">
        <f ca="1">AVERAGE(OFFSET($BH$3,0,0,'Données projet'!$E$11+1,1))-AVERAGE(OFFSET($H$3,0,0,'Données projet'!$E$11+1,1))</f>
        <v>460.77543902152325</v>
      </c>
      <c r="BJ130" s="62">
        <f t="shared" si="92"/>
        <v>341.4342976721104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158.57394434949546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158.57394434949546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-5.6843418860808015E-13</v>
      </c>
      <c r="BZ130" s="14">
        <f>BY130*VLOOKUP('Données projet'!$B$12,Paramètres!$A$1:$I$89,3,0)*VLOOKUP('Données projet'!$B$12,Paramètres!$A$1:$I$89,5,0)</f>
        <v>-3.39923644787632E-13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438.68915237247444</v>
      </c>
      <c r="CE130" s="62">
        <f t="shared" si="94"/>
        <v>376.94419168335452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92.57827725133339</v>
      </c>
      <c r="CL130" s="23">
        <f>EXP(-LN(2)/25)*CL129+(1-EXP(-LN(2)/25))/(LN(2)/25)*Calculateur!CG130*Calculateur!CI130*VLOOKUP('Données projet'!$B$12,Paramètres!$A$1:$I$89,3,0)*0.475*44/12</f>
        <v>9.477492625533726</v>
      </c>
      <c r="CM130" s="23">
        <f>EXP(-LN(2)/2)*CM129+(1-EXP(-LN(2)/2))/(LN(2)/2)*CG130*CJ130*VLOOKUP('Données projet'!$B$12,Paramètres!$A$1:$I$89,3,0)*0.475*44/12</f>
        <v>8.6602130493468597E-7</v>
      </c>
      <c r="CN130" s="24">
        <f t="shared" si="66"/>
        <v>102.05577074288843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5.2116666666666633</v>
      </c>
      <c r="CT130" s="13">
        <f>IF('Données projet'!$A$140&gt;35,CT129+CS130-DB129,IF(A130&lt;'Données projet'!$A$140,$CQ$205^A130,IF(A130='Données projet'!$A$140,'Données projet'!$B$140,CT129+CS130-DB129)))</f>
        <v>273.24333333333288</v>
      </c>
      <c r="CU130" s="18">
        <f>CT130*VLOOKUP('Données projet'!$B$13,Paramètres!$A$1:$I$89,3,0)*VLOOKUP('Données projet'!$B$13,Paramètres!$A$1:$I$89,5,0)</f>
        <v>127.87787999999979</v>
      </c>
      <c r="CV130" s="14">
        <f t="shared" si="95"/>
        <v>33.50553098311611</v>
      </c>
      <c r="CW130" s="22">
        <f t="shared" si="67"/>
        <v>281.07610746226015</v>
      </c>
      <c r="CX130" s="62">
        <f t="shared" si="68"/>
        <v>574.40944079559347</v>
      </c>
      <c r="CY130" s="62">
        <f ca="1">AVERAGE(OFFSET($CX$3,0,0,'Données projet'!$E$13+1,1))-AVERAGE(OFFSET($H$3,0,0,'Données projet'!$E$13+1,1))</f>
        <v>302.06513069580848</v>
      </c>
      <c r="CZ130" s="62">
        <f t="shared" si="96"/>
        <v>164.1450425611464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114.43458753150193</v>
      </c>
      <c r="DG130" s="23">
        <f>EXP(-LN(2)/25)*DG129+(1-EXP(-LN(2)/25))/(LN(2)/25)*Calculateur!DB130*Calculateur!DD130*VLOOKUP('Données projet'!$B$13,Paramètres!$A$1:$I$89,3,0)*0.475*44/12</f>
        <v>18.283588208012119</v>
      </c>
      <c r="DH130" s="23">
        <f>EXP(-LN(2)/2)*DH129+(1-EXP(-LN(2)/2))/(LN(2)/2)*DB130*DE130*VLOOKUP('Données projet'!$B$13,Paramètres!$A$1:$I$89,3,0)*0.475*44/12</f>
        <v>1.4007974135915826</v>
      </c>
      <c r="DI130" s="24">
        <f t="shared" si="69"/>
        <v>134.11897315310563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8.0699999999999985</v>
      </c>
      <c r="N131" s="14">
        <f>IF('Données projet'!$A$36&gt;35,N130+M131-V130,IF(A131&lt;'Données projet'!$A$36,$K$205^A131,IF(A131='Données projet'!$A$36,'Données projet'!$B$36,N130+M131-V130)))</f>
        <v>388.1700000000007</v>
      </c>
      <c r="O131" s="14">
        <f>N131*VLOOKUP('Données projet'!$B$9,Paramètres!$A$1:$I$89,3,0)*VLOOKUP('Données projet'!$B$9,Paramètres!$A$1:$I$89,5,0)</f>
        <v>351.2162160000006</v>
      </c>
      <c r="P131" s="14">
        <f t="shared" si="87"/>
        <v>81.812892161752615</v>
      </c>
      <c r="Q131" s="22">
        <f t="shared" ref="Q131:Q153" si="108">(O131+P131)*0.475*44/12</f>
        <v>754.19236338172016</v>
      </c>
      <c r="R131" s="62">
        <f t="shared" ref="R131:R194" si="109">Q131+(I131+J131)*44/12</f>
        <v>1047.5256967150535</v>
      </c>
      <c r="S131" s="62">
        <f ca="1">AVERAGE(OFFSET($R$3,0,0,'Données projet'!$E$9+1,1))-AVERAGE(OFFSET($H$3,0,0,'Données projet'!$E$9+1,1))</f>
        <v>581.88778927327667</v>
      </c>
      <c r="T131" s="62">
        <f t="shared" si="88"/>
        <v>269.67340993773422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51.812581853678878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51.812581853678878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354.24684313982857</v>
      </c>
      <c r="AO131" s="62">
        <f t="shared" si="90"/>
        <v>322.65043486962185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64.816969640041165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64.816969640041165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3.2455318432766944E-13</v>
      </c>
      <c r="BF131" s="14">
        <f t="shared" si="91"/>
        <v>4.2513245787534721E-12</v>
      </c>
      <c r="BG131" s="22">
        <f t="shared" si="61"/>
        <v>7.9696537706996534E-12</v>
      </c>
      <c r="BH131" s="62">
        <f t="shared" si="62"/>
        <v>293.33333333334127</v>
      </c>
      <c r="BI131" s="62">
        <f ca="1">AVERAGE(OFFSET($BH$3,0,0,'Données projet'!$E$11+1,1))-AVERAGE(OFFSET($H$3,0,0,'Données projet'!$E$11+1,1))</f>
        <v>460.77543902152325</v>
      </c>
      <c r="BJ131" s="62">
        <f t="shared" si="92"/>
        <v>341.4342976721104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155.46440602135755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155.46440602135755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-5.6843418860808015E-13</v>
      </c>
      <c r="BZ131" s="14">
        <f>BY131*VLOOKUP('Données projet'!$B$12,Paramètres!$A$1:$I$89,3,0)*VLOOKUP('Données projet'!$B$12,Paramètres!$A$1:$I$89,5,0)</f>
        <v>-3.39923644787632E-13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438.68915237247444</v>
      </c>
      <c r="CE131" s="62">
        <f t="shared" si="94"/>
        <v>376.94419168335452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90.7628737016082</v>
      </c>
      <c r="CL131" s="23">
        <f>EXP(-LN(2)/25)*CL130+(1-EXP(-LN(2)/25))/(LN(2)/25)*Calculateur!CG131*Calculateur!CI131*VLOOKUP('Données projet'!$B$12,Paramètres!$A$1:$I$89,3,0)*0.475*44/12</f>
        <v>9.2183300912888306</v>
      </c>
      <c r="CM131" s="23">
        <f>EXP(-LN(2)/2)*CM130+(1-EXP(-LN(2)/2))/(LN(2)/2)*CG131*CJ131*VLOOKUP('Données projet'!$B$12,Paramètres!$A$1:$I$89,3,0)*0.475*44/12</f>
        <v>6.1236953737133933E-7</v>
      </c>
      <c r="CN131" s="24">
        <f t="shared" si="66"/>
        <v>99.981204405266567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5.2116666666666633</v>
      </c>
      <c r="CT131" s="13">
        <f>IF('Données projet'!$A$140&gt;35,CT130+CS131-DB130,IF(A131&lt;'Données projet'!$A$140,$CQ$205^A131,IF(A131='Données projet'!$A$140,'Données projet'!$B$140,CT130+CS131-DB130)))</f>
        <v>278.45499999999953</v>
      </c>
      <c r="CU131" s="18">
        <f>CT131*VLOOKUP('Données projet'!$B$13,Paramètres!$A$1:$I$89,3,0)*VLOOKUP('Données projet'!$B$13,Paramètres!$A$1:$I$89,5,0)</f>
        <v>130.31693999999976</v>
      </c>
      <c r="CV131" s="14">
        <f t="shared" si="95"/>
        <v>34.069584478671651</v>
      </c>
      <c r="CW131" s="22">
        <f t="shared" si="67"/>
        <v>286.30653013368601</v>
      </c>
      <c r="CX131" s="62">
        <f t="shared" si="68"/>
        <v>579.63986346701927</v>
      </c>
      <c r="CY131" s="62">
        <f ca="1">AVERAGE(OFFSET($CX$3,0,0,'Données projet'!$E$13+1,1))-AVERAGE(OFFSET($H$3,0,0,'Données projet'!$E$13+1,1))</f>
        <v>302.06513069580848</v>
      </c>
      <c r="CZ131" s="62">
        <f t="shared" si="96"/>
        <v>164.1450425611464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112.19059506821557</v>
      </c>
      <c r="DG131" s="23">
        <f>EXP(-LN(2)/25)*DG130+(1-EXP(-LN(2)/25))/(LN(2)/25)*Calculateur!DB131*Calculateur!DD131*VLOOKUP('Données projet'!$B$13,Paramètres!$A$1:$I$89,3,0)*0.475*44/12</f>
        <v>17.783622526971911</v>
      </c>
      <c r="DH131" s="23">
        <f>EXP(-LN(2)/2)*DH130+(1-EXP(-LN(2)/2))/(LN(2)/2)*DB131*DE131*VLOOKUP('Données projet'!$B$13,Paramètres!$A$1:$I$89,3,0)*0.475*44/12</f>
        <v>0.99051335021918496</v>
      </c>
      <c r="DI131" s="24">
        <f t="shared" si="69"/>
        <v>130.96473094540667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8.0699999999999985</v>
      </c>
      <c r="N132" s="14">
        <f>IF('Données projet'!$A$36&gt;35,N131+M132-V131,IF(A132&lt;'Données projet'!$A$36,$K$205^A132,IF(A132='Données projet'!$A$36,'Données projet'!$B$36,N131+M132-V131)))</f>
        <v>396.24000000000069</v>
      </c>
      <c r="O132" s="14">
        <f>N132*VLOOKUP('Données projet'!$B$9,Paramètres!$A$1:$I$89,3,0)*VLOOKUP('Données projet'!$B$9,Paramètres!$A$1:$I$89,5,0)</f>
        <v>358.51795200000061</v>
      </c>
      <c r="P132" s="14">
        <f t="shared" si="87"/>
        <v>83.313983934777241</v>
      </c>
      <c r="Q132" s="22">
        <f t="shared" si="108"/>
        <v>769.52395508640473</v>
      </c>
      <c r="R132" s="62">
        <f t="shared" si="109"/>
        <v>1062.8572884197381</v>
      </c>
      <c r="S132" s="62">
        <f ca="1">AVERAGE(OFFSET($R$3,0,0,'Données projet'!$E$9+1,1))-AVERAGE(OFFSET($H$3,0,0,'Données projet'!$E$9+1,1))</f>
        <v>581.88778927327667</v>
      </c>
      <c r="T132" s="62">
        <f t="shared" si="88"/>
        <v>269.67340993773422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50.796568726082675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50.796568726082675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354.24684313982857</v>
      </c>
      <c r="AO132" s="62">
        <f t="shared" si="90"/>
        <v>322.65043486962185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63.545948399847738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63.545948399847738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3.2455318432766944E-13</v>
      </c>
      <c r="BF132" s="14">
        <f t="shared" si="91"/>
        <v>4.2513245787534721E-12</v>
      </c>
      <c r="BG132" s="22">
        <f t="shared" ref="BG132:BG153" si="115">(BE132+BF132)*0.475*44/12</f>
        <v>7.9696537706996534E-12</v>
      </c>
      <c r="BH132" s="62">
        <f t="shared" ref="BH132:BH195" si="116">BG132+(AY132+AZ132)*44/12</f>
        <v>293.33333333334127</v>
      </c>
      <c r="BI132" s="62">
        <f ca="1">AVERAGE(OFFSET($BH$3,0,0,'Données projet'!$E$11+1,1))-AVERAGE(OFFSET($H$3,0,0,'Données projet'!$E$11+1,1))</f>
        <v>460.77543902152325</v>
      </c>
      <c r="BJ132" s="62">
        <f t="shared" si="92"/>
        <v>341.4342976721104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152.41584384320331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152.41584384320331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-5.6843418860808015E-13</v>
      </c>
      <c r="BZ132" s="14">
        <f>BY132*VLOOKUP('Données projet'!$B$12,Paramètres!$A$1:$I$89,3,0)*VLOOKUP('Données projet'!$B$12,Paramètres!$A$1:$I$89,5,0)</f>
        <v>-3.39923644787632E-13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438.68915237247444</v>
      </c>
      <c r="CE132" s="62">
        <f t="shared" si="94"/>
        <v>376.94419168335452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88.98306910820628</v>
      </c>
      <c r="CL132" s="23">
        <f>EXP(-LN(2)/25)*CL131+(1-EXP(-LN(2)/25))/(LN(2)/25)*Calculateur!CG132*Calculateur!CI132*VLOOKUP('Données projet'!$B$12,Paramètres!$A$1:$I$89,3,0)*0.475*44/12</f>
        <v>8.966254370171626</v>
      </c>
      <c r="CM132" s="23">
        <f>EXP(-LN(2)/2)*CM131+(1-EXP(-LN(2)/2))/(LN(2)/2)*CG132*CJ132*VLOOKUP('Données projet'!$B$12,Paramètres!$A$1:$I$89,3,0)*0.475*44/12</f>
        <v>4.3301065246734298E-7</v>
      </c>
      <c r="CN132" s="24">
        <f t="shared" ref="CN132:CN153" si="120">SUM(CK132:CM132)</f>
        <v>97.949323911388561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5.2116666666666633</v>
      </c>
      <c r="CT132" s="13">
        <f>IF('Données projet'!$A$140&gt;35,CT131+CS132-DB131,IF(A132&lt;'Données projet'!$A$140,$CQ$205^A132,IF(A132='Données projet'!$A$140,'Données projet'!$B$140,CT131+CS132-DB131)))</f>
        <v>283.66666666666617</v>
      </c>
      <c r="CU132" s="18">
        <f>CT132*VLOOKUP('Données projet'!$B$13,Paramètres!$A$1:$I$89,3,0)*VLOOKUP('Données projet'!$B$13,Paramètres!$A$1:$I$89,5,0)</f>
        <v>132.75599999999977</v>
      </c>
      <c r="CV132" s="14">
        <f t="shared" si="95"/>
        <v>34.632410397339903</v>
      </c>
      <c r="CW132" s="22">
        <f t="shared" ref="CW132:CW153" si="121">(CU132+CV132)*0.475*44/12</f>
        <v>291.53481477536656</v>
      </c>
      <c r="CX132" s="62">
        <f t="shared" ref="CX132:CX195" si="122">CW132+(CO132+CP132)*44/12</f>
        <v>584.86814810869987</v>
      </c>
      <c r="CY132" s="62">
        <f ca="1">AVERAGE(OFFSET($CX$3,0,0,'Données projet'!$E$13+1,1))-AVERAGE(OFFSET($H$3,0,0,'Données projet'!$E$13+1,1))</f>
        <v>302.06513069580848</v>
      </c>
      <c r="CZ132" s="62">
        <f t="shared" si="96"/>
        <v>164.1450425611464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109.99060592843401</v>
      </c>
      <c r="DG132" s="23">
        <f>EXP(-LN(2)/25)*DG131+(1-EXP(-LN(2)/25))/(LN(2)/25)*Calculateur!DB132*Calculateur!DD132*VLOOKUP('Données projet'!$B$13,Paramètres!$A$1:$I$89,3,0)*0.475*44/12</f>
        <v>17.297328433771799</v>
      </c>
      <c r="DH132" s="23">
        <f>EXP(-LN(2)/2)*DH131+(1-EXP(-LN(2)/2))/(LN(2)/2)*DB132*DE132*VLOOKUP('Données projet'!$B$13,Paramètres!$A$1:$I$89,3,0)*0.475*44/12</f>
        <v>0.70039870679579141</v>
      </c>
      <c r="DI132" s="24">
        <f t="shared" ref="DI132:DI153" si="123">SUM(DF132:DH132)</f>
        <v>127.9883330690016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8.0699999999999985</v>
      </c>
      <c r="N133" s="14">
        <f>IF('Données projet'!$A$36&gt;35,N132+M133-V132,IF(A133&lt;'Données projet'!$A$36,$K$205^A133,IF(A133='Données projet'!$A$36,'Données projet'!$B$36,N132+M133-V132)))</f>
        <v>404.31000000000068</v>
      </c>
      <c r="O133" s="14">
        <f>N133*VLOOKUP('Données projet'!$B$9,Paramètres!$A$1:$I$89,3,0)*VLOOKUP('Données projet'!$B$9,Paramètres!$A$1:$I$89,5,0)</f>
        <v>365.81968800000061</v>
      </c>
      <c r="P133" s="14">
        <f t="shared" ref="P133:P196" si="141">EXP(-1.0587+0.8836*LN(O133)+0.284)</f>
        <v>84.811521093342051</v>
      </c>
      <c r="Q133" s="22">
        <f t="shared" si="108"/>
        <v>784.84935583757169</v>
      </c>
      <c r="R133" s="62">
        <f t="shared" si="109"/>
        <v>1078.182689170905</v>
      </c>
      <c r="S133" s="62">
        <f ca="1">AVERAGE(OFFSET($R$3,0,0,'Données projet'!$E$9+1,1))-AVERAGE(OFFSET($H$3,0,0,'Données projet'!$E$9+1,1))</f>
        <v>581.88778927327667</v>
      </c>
      <c r="T133" s="62">
        <f t="shared" ref="T133:T196" si="142">$T$3</f>
        <v>269.67340993773422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49.800478996211815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49.800478996211815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354.24684313982857</v>
      </c>
      <c r="AO133" s="62">
        <f t="shared" ref="AO133:AO196" si="144">$AO$3</f>
        <v>322.65043486962185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62.299851110928095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62.299851110928095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3.2455318432766944E-13</v>
      </c>
      <c r="BF133" s="14">
        <f t="shared" ref="BF133:BF153" si="145">EXP(-1.0587+0.8836*LN(BE133)+0.284)</f>
        <v>4.2513245787534721E-12</v>
      </c>
      <c r="BG133" s="22">
        <f t="shared" si="115"/>
        <v>7.9696537706996534E-12</v>
      </c>
      <c r="BH133" s="62">
        <f t="shared" si="116"/>
        <v>293.33333333334127</v>
      </c>
      <c r="BI133" s="62">
        <f ca="1">AVERAGE(OFFSET($BH$3,0,0,'Données projet'!$E$11+1,1))-AVERAGE(OFFSET($H$3,0,0,'Données projet'!$E$11+1,1))</f>
        <v>460.77543902152325</v>
      </c>
      <c r="BJ133" s="62">
        <f t="shared" ref="BJ133:BJ196" si="146">$BJ$3</f>
        <v>341.4342976721104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149.42706210992336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149.42706210992336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-5.6843418860808015E-13</v>
      </c>
      <c r="BZ133" s="14">
        <f>BY133*VLOOKUP('Données projet'!$B$12,Paramètres!$A$1:$I$89,3,0)*VLOOKUP('Données projet'!$B$12,Paramètres!$A$1:$I$89,5,0)</f>
        <v>-3.39923644787632E-13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438.68915237247444</v>
      </c>
      <c r="CE133" s="62">
        <f t="shared" ref="CE133:CE196" si="148">$CE$3</f>
        <v>376.94419168335452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87.23816539730737</v>
      </c>
      <c r="CL133" s="23">
        <f>EXP(-LN(2)/25)*CL132+(1-EXP(-LN(2)/25))/(LN(2)/25)*Calculateur!CG133*Calculateur!CI133*VLOOKUP('Données projet'!$B$12,Paramètres!$A$1:$I$89,3,0)*0.475*44/12</f>
        <v>8.7210716729044577</v>
      </c>
      <c r="CM133" s="23">
        <f>EXP(-LN(2)/2)*CM132+(1-EXP(-LN(2)/2))/(LN(2)/2)*CG133*CJ133*VLOOKUP('Données projet'!$B$12,Paramètres!$A$1:$I$89,3,0)*0.475*44/12</f>
        <v>3.0618476868566967E-7</v>
      </c>
      <c r="CN133" s="24">
        <f t="shared" si="120"/>
        <v>95.959237376396601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5.2116666666666633</v>
      </c>
      <c r="CT133" s="13">
        <f>IF('Données projet'!$A$140&gt;35,CT132+CS133-DB132,IF(A133&lt;'Données projet'!$A$140,$CQ$205^A133,IF(A133='Données projet'!$A$140,'Données projet'!$B$140,CT132+CS133-DB132)))</f>
        <v>288.87833333333282</v>
      </c>
      <c r="CU133" s="18">
        <f>CT133*VLOOKUP('Données projet'!$B$13,Paramètres!$A$1:$I$89,3,0)*VLOOKUP('Données projet'!$B$13,Paramètres!$A$1:$I$89,5,0)</f>
        <v>135.19505999999976</v>
      </c>
      <c r="CV133" s="14">
        <f t="shared" ref="CV133:CV153" si="149">EXP(-1.0587+0.8836*LN(CU133)+0.284)</f>
        <v>35.194033893976766</v>
      </c>
      <c r="CW133" s="22">
        <f t="shared" si="121"/>
        <v>296.76100519867578</v>
      </c>
      <c r="CX133" s="62">
        <f t="shared" si="122"/>
        <v>590.09433853200903</v>
      </c>
      <c r="CY133" s="62">
        <f ca="1">AVERAGE(OFFSET($CX$3,0,0,'Données projet'!$E$13+1,1))-AVERAGE(OFFSET($H$3,0,0,'Données projet'!$E$13+1,1))</f>
        <v>302.06513069580848</v>
      </c>
      <c r="CZ133" s="62">
        <f t="shared" ref="CZ133:CZ196" si="150">$CZ$3</f>
        <v>164.1450425611464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107.83375723382268</v>
      </c>
      <c r="DG133" s="23">
        <f>EXP(-LN(2)/25)*DG132+(1-EXP(-LN(2)/25))/(LN(2)/25)*Calculateur!DB133*Calculateur!DD133*VLOOKUP('Données projet'!$B$13,Paramètres!$A$1:$I$89,3,0)*0.475*44/12</f>
        <v>16.824332078123341</v>
      </c>
      <c r="DH133" s="23">
        <f>EXP(-LN(2)/2)*DH132+(1-EXP(-LN(2)/2))/(LN(2)/2)*DB133*DE133*VLOOKUP('Données projet'!$B$13,Paramètres!$A$1:$I$89,3,0)*0.475*44/12</f>
        <v>0.49525667510959259</v>
      </c>
      <c r="DI133" s="24">
        <f t="shared" si="123"/>
        <v>125.1533459870556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8.0699999999999985</v>
      </c>
      <c r="N134" s="14">
        <f>IF('Données projet'!$A$36&gt;35,N133+M134-V133,IF(A134&lt;'Données projet'!$A$36,$K$205^A134,IF(A134='Données projet'!$A$36,'Données projet'!$B$36,N133+M134-V133)))</f>
        <v>412.38000000000068</v>
      </c>
      <c r="O134" s="14">
        <f>N134*VLOOKUP('Données projet'!$B$9,Paramètres!$A$1:$I$89,3,0)*VLOOKUP('Données projet'!$B$9,Paramètres!$A$1:$I$89,5,0)</f>
        <v>373.12142400000062</v>
      </c>
      <c r="P134" s="14">
        <f t="shared" si="141"/>
        <v>86.305582764533938</v>
      </c>
      <c r="Q134" s="22">
        <f t="shared" si="108"/>
        <v>800.16870344823099</v>
      </c>
      <c r="R134" s="62">
        <f t="shared" si="109"/>
        <v>1093.5020367815644</v>
      </c>
      <c r="S134" s="62">
        <f ca="1">AVERAGE(OFFSET($R$3,0,0,'Données projet'!$E$9+1,1))-AVERAGE(OFFSET($H$3,0,0,'Données projet'!$E$9+1,1))</f>
        <v>581.88778927327667</v>
      </c>
      <c r="T134" s="62">
        <f t="shared" si="142"/>
        <v>269.67340993773422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48.823921978388981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48.823921978388981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354.24684313982857</v>
      </c>
      <c r="AO134" s="62">
        <f t="shared" si="144"/>
        <v>322.65043486962185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61.078189029799866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61.078189029799866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3.2455318432766944E-13</v>
      </c>
      <c r="BF134" s="14">
        <f t="shared" si="145"/>
        <v>4.2513245787534721E-12</v>
      </c>
      <c r="BG134" s="22">
        <f t="shared" si="115"/>
        <v>7.9696537706996534E-12</v>
      </c>
      <c r="BH134" s="62">
        <f t="shared" si="116"/>
        <v>293.33333333334127</v>
      </c>
      <c r="BI134" s="62">
        <f ca="1">AVERAGE(OFFSET($BH$3,0,0,'Données projet'!$E$11+1,1))-AVERAGE(OFFSET($H$3,0,0,'Données projet'!$E$11+1,1))</f>
        <v>460.77543902152325</v>
      </c>
      <c r="BJ134" s="62">
        <f t="shared" si="146"/>
        <v>341.4342976721104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146.49688856345617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146.49688856345617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-5.6843418860808015E-13</v>
      </c>
      <c r="BZ134" s="14">
        <f>BY134*VLOOKUP('Données projet'!$B$12,Paramètres!$A$1:$I$89,3,0)*VLOOKUP('Données projet'!$B$12,Paramètres!$A$1:$I$89,5,0)</f>
        <v>-3.39923644787632E-13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438.68915237247444</v>
      </c>
      <c r="CE134" s="62">
        <f t="shared" si="148"/>
        <v>376.94419168335452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85.52747818389301</v>
      </c>
      <c r="CL134" s="23">
        <f>EXP(-LN(2)/25)*CL133+(1-EXP(-LN(2)/25))/(LN(2)/25)*Calculateur!CG134*Calculateur!CI134*VLOOKUP('Données projet'!$B$12,Paramètres!$A$1:$I$89,3,0)*0.475*44/12</f>
        <v>8.4825935093876588</v>
      </c>
      <c r="CM134" s="23">
        <f>EXP(-LN(2)/2)*CM133+(1-EXP(-LN(2)/2))/(LN(2)/2)*CG134*CJ134*VLOOKUP('Données projet'!$B$12,Paramètres!$A$1:$I$89,3,0)*0.475*44/12</f>
        <v>2.1650532623367149E-7</v>
      </c>
      <c r="CN134" s="24">
        <f t="shared" si="120"/>
        <v>94.010071909785992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>
        <f>VLOOKUP(A134,'Données projet'!$A$139:$I$159,2,0)</f>
        <v>294.08999999999997</v>
      </c>
      <c r="CR134" s="13">
        <f>VLOOKUP(A134,'Données projet'!$A$139:$I$159,9,0)</f>
        <v>5.2116666666666633</v>
      </c>
      <c r="CS134" s="13">
        <f t="array" ref="CS134">INDEX(CR:CR,MIN(IF(ISNUMBER(CR134:CR330),ROW(CR134:CR330),"")))</f>
        <v>5.2116666666666633</v>
      </c>
      <c r="CT134" s="13">
        <f>IF('Données projet'!$A$140&gt;35,CT133+CS134-DB133,IF(A134&lt;'Données projet'!$A$140,$CQ$205^A134,IF(A134='Données projet'!$A$140,'Données projet'!$B$140,CT133+CS134-DB133)))</f>
        <v>294.08999999999946</v>
      </c>
      <c r="CU134" s="18">
        <f>CT134*VLOOKUP('Données projet'!$B$13,Paramètres!$A$1:$I$89,3,0)*VLOOKUP('Données projet'!$B$13,Paramètres!$A$1:$I$89,5,0)</f>
        <v>137.63411999999974</v>
      </c>
      <c r="CV134" s="14">
        <f t="shared" si="149"/>
        <v>35.754479163825643</v>
      </c>
      <c r="CW134" s="22">
        <f t="shared" si="121"/>
        <v>301.98514354366256</v>
      </c>
      <c r="CX134" s="62">
        <f t="shared" si="122"/>
        <v>595.31847687699587</v>
      </c>
      <c r="CY134" s="62">
        <f ca="1">AVERAGE(OFFSET($CX$3,0,0,'Données projet'!$E$13+1,1))-AVERAGE(OFFSET($H$3,0,0,'Données projet'!$E$13+1,1))</f>
        <v>302.06513069580848</v>
      </c>
      <c r="CZ134" s="62">
        <f t="shared" si="150"/>
        <v>164.1450425611464</v>
      </c>
      <c r="DA134" s="16">
        <f>IF(ISNA(VLOOKUP(A134,'Données projet'!$A$139:$I$159,3,0)),0,VLOOKUP(A134,'Données projet'!$A$139:$I$159,3,0))</f>
        <v>8</v>
      </c>
      <c r="DB134" s="16">
        <f>IF(ISNA(VLOOKUP(A134,'Données projet'!$A$139:$I$159,4,0)),0,VLOOKUP(A134,'Données projet'!$A$139:$I$159,4,0))</f>
        <v>294.08999999999997</v>
      </c>
      <c r="DC134" s="17">
        <f>IF(ISNA(VLOOKUP(A134,'Données projet'!$A$139:$I$159,5,0)),0%,VLOOKUP(A134,'Données projet'!$A$139:$I$159,5,0)*VLOOKUP('Données projet'!$B$13,Paramètres!$A$1:$I$89,7,0))</f>
        <v>0.44000000000000006</v>
      </c>
      <c r="DD134" s="17">
        <f>IF(ISNA(VLOOKUP(A134,'Données projet'!$A$139:$I$159,6,0)),0%,VLOOKUP(A134,'Données projet'!$A$139:$I$159,6,0)*VLOOKUP('Données projet'!$B$13,Paramètres!$A$1:$I$89,7,0))</f>
        <v>6.0500000000000005E-2</v>
      </c>
      <c r="DE134" s="17">
        <f>IF(ISNA(VLOOKUP(A134,'Données projet'!$A$139:$I$159,7,0)),0%,VLOOKUP(A134,'Données projet'!$A$139:$I$159,7,0))</f>
        <v>0.09</v>
      </c>
      <c r="DF134" s="23">
        <f>EXP(-LN(2)/35)*DF133+(1-EXP(-LN(2)/35))/(LN(2)/35)*DB134*DC134*VLOOKUP('Données projet'!$B$13,Paramètres!$A$1:$I$89,3,0)*0.475*44/12</f>
        <v>186.05463686355301</v>
      </c>
      <c r="DG134" s="23">
        <f>EXP(-LN(2)/25)*DG133+(1-EXP(-LN(2)/25))/(LN(2)/25)*Calculateur!DB134*Calculateur!DD134*VLOOKUP('Données projet'!$B$13,Paramètres!$A$1:$I$89,3,0)*0.475*44/12</f>
        <v>27.366899193462515</v>
      </c>
      <c r="DH134" s="23">
        <f>EXP(-LN(2)/2)*DH133+(1-EXP(-LN(2)/2))/(LN(2)/2)*DB134*DE134*VLOOKUP('Données projet'!$B$13,Paramètres!$A$1:$I$89,3,0)*0.475*44/12</f>
        <v>14.375240984904892</v>
      </c>
      <c r="DI134" s="24">
        <f t="shared" si="123"/>
        <v>227.79677704192045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8.0699999999999985</v>
      </c>
      <c r="N135" s="14">
        <f>IF('Données projet'!$A$36&gt;35,N134+M135-V134,IF(A135&lt;'Données projet'!$A$36,$K$205^A135,IF(A135='Données projet'!$A$36,'Données projet'!$B$36,N134+M135-V134)))</f>
        <v>420.45000000000067</v>
      </c>
      <c r="O135" s="14">
        <f>N135*VLOOKUP('Données projet'!$B$9,Paramètres!$A$1:$I$89,3,0)*VLOOKUP('Données projet'!$B$9,Paramètres!$A$1:$I$89,5,0)</f>
        <v>380.42316000000056</v>
      </c>
      <c r="P135" s="14">
        <f t="shared" si="141"/>
        <v>87.79624480137376</v>
      </c>
      <c r="Q135" s="22">
        <f t="shared" si="108"/>
        <v>815.48213002906016</v>
      </c>
      <c r="R135" s="62">
        <f t="shared" si="109"/>
        <v>1108.8154633623935</v>
      </c>
      <c r="S135" s="62">
        <f ca="1">AVERAGE(OFFSET($R$3,0,0,'Données projet'!$E$9+1,1))-AVERAGE(OFFSET($H$3,0,0,'Données projet'!$E$9+1,1))</f>
        <v>581.88778927327667</v>
      </c>
      <c r="T135" s="62">
        <f t="shared" si="142"/>
        <v>269.67340993773422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47.866514648044685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47.866514648044685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354.24684313982857</v>
      </c>
      <c r="AO135" s="62">
        <f t="shared" si="144"/>
        <v>322.65043486962185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59.88048299694227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59.88048299694227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3.2455318432766944E-13</v>
      </c>
      <c r="BF135" s="14">
        <f t="shared" si="145"/>
        <v>4.2513245787534721E-12</v>
      </c>
      <c r="BG135" s="22">
        <f t="shared" si="115"/>
        <v>7.9696537706996534E-12</v>
      </c>
      <c r="BH135" s="62">
        <f t="shared" si="116"/>
        <v>293.33333333334127</v>
      </c>
      <c r="BI135" s="62">
        <f ca="1">AVERAGE(OFFSET($BH$3,0,0,'Données projet'!$E$11+1,1))-AVERAGE(OFFSET($H$3,0,0,'Données projet'!$E$11+1,1))</f>
        <v>460.77543902152325</v>
      </c>
      <c r="BJ135" s="62">
        <f t="shared" si="146"/>
        <v>341.4342976721104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143.62417393300581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143.62417393300581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-5.6843418860808015E-13</v>
      </c>
      <c r="BZ135" s="14">
        <f>BY135*VLOOKUP('Données projet'!$B$12,Paramètres!$A$1:$I$89,3,0)*VLOOKUP('Données projet'!$B$12,Paramètres!$A$1:$I$89,5,0)</f>
        <v>-3.39923644787632E-13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438.68915237247444</v>
      </c>
      <c r="CE135" s="62">
        <f t="shared" si="148"/>
        <v>376.94419168335452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83.850336503317536</v>
      </c>
      <c r="CL135" s="23">
        <f>EXP(-LN(2)/25)*CL134+(1-EXP(-LN(2)/25))/(LN(2)/25)*Calculateur!CG135*Calculateur!CI135*VLOOKUP('Données projet'!$B$12,Paramètres!$A$1:$I$89,3,0)*0.475*44/12</f>
        <v>8.250636543793247</v>
      </c>
      <c r="CM135" s="23">
        <f>EXP(-LN(2)/2)*CM134+(1-EXP(-LN(2)/2))/(LN(2)/2)*CG135*CJ135*VLOOKUP('Données projet'!$B$12,Paramètres!$A$1:$I$89,3,0)*0.475*44/12</f>
        <v>1.5309238434283483E-7</v>
      </c>
      <c r="CN135" s="24">
        <f t="shared" si="120"/>
        <v>92.100973200203171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-5.1159076974727213E-13</v>
      </c>
      <c r="CU135" s="18">
        <f>CT135*VLOOKUP('Données projet'!$B$13,Paramètres!$A$1:$I$89,3,0)*VLOOKUP('Données projet'!$B$13,Paramètres!$A$1:$I$89,5,0)</f>
        <v>-2.3942448024172334E-13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302.06513069580848</v>
      </c>
      <c r="CZ135" s="62">
        <f t="shared" si="150"/>
        <v>164.1450425611464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182.4062189167818</v>
      </c>
      <c r="DG135" s="23">
        <f>EXP(-LN(2)/25)*DG134+(1-EXP(-LN(2)/25))/(LN(2)/25)*Calculateur!DB135*Calculateur!DD135*VLOOKUP('Données projet'!$B$13,Paramètres!$A$1:$I$89,3,0)*0.475*44/12</f>
        <v>26.618549895854603</v>
      </c>
      <c r="DH135" s="23">
        <f>EXP(-LN(2)/2)*DH134+(1-EXP(-LN(2)/2))/(LN(2)/2)*DB135*DE135*VLOOKUP('Données projet'!$B$13,Paramètres!$A$1:$I$89,3,0)*0.475*44/12</f>
        <v>10.164830381617033</v>
      </c>
      <c r="DI135" s="24">
        <f t="shared" si="123"/>
        <v>219.18959919425345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8.0699999999999985</v>
      </c>
      <c r="N136" s="14">
        <f>IF('Données projet'!$A$36&gt;35,N135+M136-V135,IF(A136&lt;'Données projet'!$A$36,$K$205^A136,IF(A136='Données projet'!$A$36,'Données projet'!$B$36,N135+M136-V135)))</f>
        <v>428.52000000000066</v>
      </c>
      <c r="O136" s="14">
        <f>N136*VLOOKUP('Données projet'!$B$9,Paramètres!$A$1:$I$89,3,0)*VLOOKUP('Données projet'!$B$9,Paramètres!$A$1:$I$89,5,0)</f>
        <v>387.72489600000057</v>
      </c>
      <c r="P136" s="14">
        <f t="shared" si="141"/>
        <v>89.283579978484866</v>
      </c>
      <c r="Q136" s="22">
        <f t="shared" si="108"/>
        <v>830.78976232919547</v>
      </c>
      <c r="R136" s="62">
        <f t="shared" si="109"/>
        <v>1124.1230956625288</v>
      </c>
      <c r="S136" s="62">
        <f ca="1">AVERAGE(OFFSET($R$3,0,0,'Données projet'!$E$9+1,1))-AVERAGE(OFFSET($H$3,0,0,'Données projet'!$E$9+1,1))</f>
        <v>581.88778927327667</v>
      </c>
      <c r="T136" s="62">
        <f t="shared" si="142"/>
        <v>269.67340993773422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46.927881491487632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46.927881491487632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354.24684313982857</v>
      </c>
      <c r="AO136" s="62">
        <f t="shared" si="144"/>
        <v>322.65043486962185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58.706263248860466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58.706263248860466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3.2455318432766944E-13</v>
      </c>
      <c r="BF136" s="14">
        <f t="shared" si="145"/>
        <v>4.2513245787534721E-12</v>
      </c>
      <c r="BG136" s="22">
        <f t="shared" si="115"/>
        <v>7.9696537706996534E-12</v>
      </c>
      <c r="BH136" s="62">
        <f t="shared" si="116"/>
        <v>293.33333333334127</v>
      </c>
      <c r="BI136" s="62">
        <f ca="1">AVERAGE(OFFSET($BH$3,0,0,'Données projet'!$E$11+1,1))-AVERAGE(OFFSET($H$3,0,0,'Données projet'!$E$11+1,1))</f>
        <v>460.77543902152325</v>
      </c>
      <c r="BJ136" s="62">
        <f t="shared" si="146"/>
        <v>341.4342976721104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140.80779148427567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140.80779148427567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-5.6843418860808015E-13</v>
      </c>
      <c r="BZ136" s="14">
        <f>BY136*VLOOKUP('Données projet'!$B$12,Paramètres!$A$1:$I$89,3,0)*VLOOKUP('Données projet'!$B$12,Paramètres!$A$1:$I$89,5,0)</f>
        <v>-3.39923644787632E-13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438.68915237247444</v>
      </c>
      <c r="CE136" s="62">
        <f t="shared" si="148"/>
        <v>376.94419168335452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82.206082548142732</v>
      </c>
      <c r="CL136" s="23">
        <f>EXP(-LN(2)/25)*CL135+(1-EXP(-LN(2)/25))/(LN(2)/25)*Calculateur!CG136*Calculateur!CI136*VLOOKUP('Données projet'!$B$12,Paramètres!$A$1:$I$89,3,0)*0.475*44/12</f>
        <v>8.0250224536211014</v>
      </c>
      <c r="CM136" s="23">
        <f>EXP(-LN(2)/2)*CM135+(1-EXP(-LN(2)/2))/(LN(2)/2)*CG136*CJ136*VLOOKUP('Données projet'!$B$12,Paramètres!$A$1:$I$89,3,0)*0.475*44/12</f>
        <v>1.0825266311683575E-7</v>
      </c>
      <c r="CN136" s="24">
        <f t="shared" si="120"/>
        <v>90.2311051100165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-5.1159076974727213E-13</v>
      </c>
      <c r="CU136" s="18">
        <f>CT136*VLOOKUP('Données projet'!$B$13,Paramètres!$A$1:$I$89,3,0)*VLOOKUP('Données projet'!$B$13,Paramètres!$A$1:$I$89,5,0)</f>
        <v>-2.3942448024172334E-13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302.06513069580848</v>
      </c>
      <c r="CZ136" s="62">
        <f t="shared" si="150"/>
        <v>164.1450425611464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178.82934422063155</v>
      </c>
      <c r="DG136" s="23">
        <f>EXP(-LN(2)/25)*DG135+(1-EXP(-LN(2)/25))/(LN(2)/25)*Calculateur!DB136*Calculateur!DD136*VLOOKUP('Données projet'!$B$13,Paramètres!$A$1:$I$89,3,0)*0.475*44/12</f>
        <v>25.890664249143757</v>
      </c>
      <c r="DH136" s="23">
        <f>EXP(-LN(2)/2)*DH135+(1-EXP(-LN(2)/2))/(LN(2)/2)*DB136*DE136*VLOOKUP('Données projet'!$B$13,Paramètres!$A$1:$I$89,3,0)*0.475*44/12</f>
        <v>7.1876204924524467</v>
      </c>
      <c r="DI136" s="24">
        <f t="shared" si="123"/>
        <v>211.90762896222776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>
        <f>VLOOKUP(A137,'Données projet'!$A$35:$I$55,2,0)</f>
        <v>436.59</v>
      </c>
      <c r="L137" s="13">
        <f>VLOOKUP(A137,'Données projet'!$A$35:$I$55,9,0)</f>
        <v>8.0699999999999985</v>
      </c>
      <c r="M137" s="13">
        <f t="array" ref="M137">INDEX(L:L,MIN(IF(ISNUMBER(L137:L333),ROW(L137:L333),"")))</f>
        <v>8.0699999999999985</v>
      </c>
      <c r="N137" s="14">
        <f>IF('Données projet'!$A$36&gt;35,N136+M137-V136,IF(A137&lt;'Données projet'!$A$36,$K$205^A137,IF(A137='Données projet'!$A$36,'Données projet'!$B$36,N136+M137-V136)))</f>
        <v>436.59000000000066</v>
      </c>
      <c r="O137" s="14">
        <f>N137*VLOOKUP('Données projet'!$B$9,Paramètres!$A$1:$I$89,3,0)*VLOOKUP('Données projet'!$B$9,Paramètres!$A$1:$I$89,5,0)</f>
        <v>395.02663200000057</v>
      </c>
      <c r="P137" s="14">
        <f t="shared" si="141"/>
        <v>90.767658172605465</v>
      </c>
      <c r="Q137" s="22">
        <f t="shared" si="108"/>
        <v>846.09172205062214</v>
      </c>
      <c r="R137" s="62">
        <f t="shared" si="109"/>
        <v>1139.4250553839554</v>
      </c>
      <c r="S137" s="62">
        <f ca="1">AVERAGE(OFFSET($R$3,0,0,'Données projet'!$E$9+1,1))-AVERAGE(OFFSET($H$3,0,0,'Données projet'!$E$9+1,1))</f>
        <v>581.88778927327667</v>
      </c>
      <c r="T137" s="62">
        <f t="shared" si="142"/>
        <v>269.67340993773422</v>
      </c>
      <c r="U137" s="16">
        <f>IF(ISNA(VLOOKUP(A137,'Données projet'!$A$35:$I$55,3,0)),0,VLOOKUP(A137,'Données projet'!$A$35:$I$55,3,0))</f>
        <v>11</v>
      </c>
      <c r="V137" s="16">
        <f>IF(ISNA(VLOOKUP(A137,'Données projet'!$A$35:$I$55,4,0)),0,VLOOKUP(A137,'Données projet'!$A$35:$I$55,4,0))</f>
        <v>54.95</v>
      </c>
      <c r="W137" s="17">
        <f>IF(ISNA(VLOOKUP(A137,'Données projet'!$A$35:$I$55,5,0)),0%,VLOOKUP(A137,'Données projet'!$A$35:$I$55,5,0)*VLOOKUP('Données projet'!$B$9,Paramètres!$A$1:$I$89,7,0))</f>
        <v>0.30099999999999999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62.55140192124037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62.55140192124037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354.24684313982857</v>
      </c>
      <c r="AO137" s="62">
        <f t="shared" si="144"/>
        <v>322.65043486962185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57.555069233835219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57.555069233835219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3.2455318432766944E-13</v>
      </c>
      <c r="BF137" s="14">
        <f t="shared" si="145"/>
        <v>4.2513245787534721E-12</v>
      </c>
      <c r="BG137" s="22">
        <f t="shared" si="115"/>
        <v>7.9696537706996534E-12</v>
      </c>
      <c r="BH137" s="62">
        <f t="shared" si="116"/>
        <v>293.33333333334127</v>
      </c>
      <c r="BI137" s="62">
        <f ca="1">AVERAGE(OFFSET($BH$3,0,0,'Données projet'!$E$11+1,1))-AVERAGE(OFFSET($H$3,0,0,'Données projet'!$E$11+1,1))</f>
        <v>460.77543902152325</v>
      </c>
      <c r="BJ137" s="62">
        <f t="shared" si="146"/>
        <v>341.4342976721104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138.04663657754145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138.04663657754145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-5.6843418860808015E-13</v>
      </c>
      <c r="BZ137" s="14">
        <f>BY137*VLOOKUP('Données projet'!$B$12,Paramètres!$A$1:$I$89,3,0)*VLOOKUP('Données projet'!$B$12,Paramètres!$A$1:$I$89,5,0)</f>
        <v>-3.39923644787632E-13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438.68915237247444</v>
      </c>
      <c r="CE137" s="62">
        <f t="shared" si="148"/>
        <v>376.94419168335452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80.594071410133012</v>
      </c>
      <c r="CL137" s="23">
        <f>EXP(-LN(2)/25)*CL136+(1-EXP(-LN(2)/25))/(LN(2)/25)*Calculateur!CG137*Calculateur!CI137*VLOOKUP('Données projet'!$B$12,Paramètres!$A$1:$I$89,3,0)*0.475*44/12</f>
        <v>7.8055777926092427</v>
      </c>
      <c r="CM137" s="23">
        <f>EXP(-LN(2)/2)*CM136+(1-EXP(-LN(2)/2))/(LN(2)/2)*CG137*CJ137*VLOOKUP('Données projet'!$B$12,Paramètres!$A$1:$I$89,3,0)*0.475*44/12</f>
        <v>7.6546192171417417E-8</v>
      </c>
      <c r="CN137" s="24">
        <f t="shared" si="120"/>
        <v>88.39964927928844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-5.1159076974727213E-13</v>
      </c>
      <c r="CU137" s="18">
        <f>CT137*VLOOKUP('Données projet'!$B$13,Paramètres!$A$1:$I$89,3,0)*VLOOKUP('Données projet'!$B$13,Paramètres!$A$1:$I$89,5,0)</f>
        <v>-2.3942448024172334E-13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302.06513069580848</v>
      </c>
      <c r="CZ137" s="62">
        <f t="shared" si="150"/>
        <v>164.1450425611464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175.32260985559466</v>
      </c>
      <c r="DG137" s="23">
        <f>EXP(-LN(2)/25)*DG136+(1-EXP(-LN(2)/25))/(LN(2)/25)*Calculateur!DB137*Calculateur!DD137*VLOOKUP('Données projet'!$B$13,Paramètres!$A$1:$I$89,3,0)*0.475*44/12</f>
        <v>25.182682673720063</v>
      </c>
      <c r="DH137" s="23">
        <f>EXP(-LN(2)/2)*DH136+(1-EXP(-LN(2)/2))/(LN(2)/2)*DB137*DE137*VLOOKUP('Données projet'!$B$13,Paramètres!$A$1:$I$89,3,0)*0.475*44/12</f>
        <v>5.0824151908085176</v>
      </c>
      <c r="DI137" s="24">
        <f t="shared" si="123"/>
        <v>205.58770772012323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8.1590000000000025</v>
      </c>
      <c r="N138" s="14">
        <f>IF('Données projet'!$A$36&gt;35,N137+M138-V137,IF(A138&lt;'Données projet'!$A$36,$K$205^A138,IF(A138='Données projet'!$A$36,'Données projet'!$B$36,N137+M138-V137)))</f>
        <v>389.79900000000066</v>
      </c>
      <c r="O138" s="14">
        <f>N138*VLOOKUP('Données projet'!$B$9,Paramètres!$A$1:$I$89,3,0)*VLOOKUP('Données projet'!$B$9,Paramètres!$A$1:$I$89,5,0)</f>
        <v>352.69013520000055</v>
      </c>
      <c r="P138" s="14">
        <f t="shared" si="141"/>
        <v>82.116190931394016</v>
      </c>
      <c r="Q138" s="22">
        <f t="shared" si="108"/>
        <v>757.28768467884549</v>
      </c>
      <c r="R138" s="62">
        <f t="shared" si="109"/>
        <v>1050.6210180121789</v>
      </c>
      <c r="S138" s="62">
        <f ca="1">AVERAGE(OFFSET($R$3,0,0,'Données projet'!$E$9+1,1))-AVERAGE(OFFSET($H$3,0,0,'Données projet'!$E$9+1,1))</f>
        <v>581.88778927327667</v>
      </c>
      <c r="T138" s="62">
        <f t="shared" si="142"/>
        <v>269.67340993773422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61.324807082152766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61.324807082152766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354.24684313982857</v>
      </c>
      <c r="AO138" s="62">
        <f t="shared" si="144"/>
        <v>322.65043486962185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56.426449431285597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56.426449431285597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3.2455318432766944E-13</v>
      </c>
      <c r="BF138" s="14">
        <f t="shared" si="145"/>
        <v>4.2513245787534721E-12</v>
      </c>
      <c r="BG138" s="22">
        <f t="shared" si="115"/>
        <v>7.9696537706996534E-12</v>
      </c>
      <c r="BH138" s="62">
        <f t="shared" si="116"/>
        <v>293.33333333334127</v>
      </c>
      <c r="BI138" s="62">
        <f ca="1">AVERAGE(OFFSET($BH$3,0,0,'Données projet'!$E$11+1,1))-AVERAGE(OFFSET($H$3,0,0,'Données projet'!$E$11+1,1))</f>
        <v>460.77543902152325</v>
      </c>
      <c r="BJ138" s="62">
        <f t="shared" si="146"/>
        <v>341.4342976721104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135.3396262343901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135.3396262343901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-5.6843418860808015E-13</v>
      </c>
      <c r="BZ138" s="14">
        <f>BY138*VLOOKUP('Données projet'!$B$12,Paramètres!$A$1:$I$89,3,0)*VLOOKUP('Données projet'!$B$12,Paramètres!$A$1:$I$89,5,0)</f>
        <v>-3.39923644787632E-13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438.68915237247444</v>
      </c>
      <c r="CE138" s="62">
        <f t="shared" si="148"/>
        <v>376.94419168335452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79.013670827309966</v>
      </c>
      <c r="CL138" s="23">
        <f>EXP(-LN(2)/25)*CL137+(1-EXP(-LN(2)/25))/(LN(2)/25)*Calculateur!CG138*Calculateur!CI138*VLOOKUP('Données projet'!$B$12,Paramètres!$A$1:$I$89,3,0)*0.475*44/12</f>
        <v>7.592133857392847</v>
      </c>
      <c r="CM138" s="23">
        <f>EXP(-LN(2)/2)*CM137+(1-EXP(-LN(2)/2))/(LN(2)/2)*CG138*CJ138*VLOOKUP('Données projet'!$B$12,Paramètres!$A$1:$I$89,3,0)*0.475*44/12</f>
        <v>5.4126331558417873E-8</v>
      </c>
      <c r="CN138" s="24">
        <f t="shared" si="120"/>
        <v>86.60580473882915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-5.1159076974727213E-13</v>
      </c>
      <c r="CU138" s="18">
        <f>CT138*VLOOKUP('Données projet'!$B$13,Paramètres!$A$1:$I$89,3,0)*VLOOKUP('Données projet'!$B$13,Paramètres!$A$1:$I$89,5,0)</f>
        <v>-2.3942448024172334E-13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302.06513069580848</v>
      </c>
      <c r="CZ138" s="62">
        <f t="shared" si="150"/>
        <v>164.1450425611464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171.88464041255938</v>
      </c>
      <c r="DG138" s="23">
        <f>EXP(-LN(2)/25)*DG137+(1-EXP(-LN(2)/25))/(LN(2)/25)*Calculateur!DB138*Calculateur!DD138*VLOOKUP('Données projet'!$B$13,Paramètres!$A$1:$I$89,3,0)*0.475*44/12</f>
        <v>24.494060891707463</v>
      </c>
      <c r="DH138" s="23">
        <f>EXP(-LN(2)/2)*DH137+(1-EXP(-LN(2)/2))/(LN(2)/2)*DB138*DE138*VLOOKUP('Données projet'!$B$13,Paramètres!$A$1:$I$89,3,0)*0.475*44/12</f>
        <v>3.5938102462262238</v>
      </c>
      <c r="DI138" s="24">
        <f t="shared" si="123"/>
        <v>199.97251155049304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8.1590000000000025</v>
      </c>
      <c r="N139" s="14">
        <f>IF('Données projet'!$A$36&gt;35,N138+M139-V138,IF(A139&lt;'Données projet'!$A$36,$K$205^A139,IF(A139='Données projet'!$A$36,'Données projet'!$B$36,N138+M139-V138)))</f>
        <v>397.95800000000065</v>
      </c>
      <c r="O139" s="14">
        <f>N139*VLOOKUP('Données projet'!$B$9,Paramètres!$A$1:$I$89,3,0)*VLOOKUP('Données projet'!$B$9,Paramètres!$A$1:$I$89,5,0)</f>
        <v>360.07239840000057</v>
      </c>
      <c r="P139" s="14">
        <f t="shared" si="141"/>
        <v>83.633085567444908</v>
      </c>
      <c r="Q139" s="22">
        <f t="shared" si="108"/>
        <v>772.78705124330099</v>
      </c>
      <c r="R139" s="62">
        <f t="shared" si="109"/>
        <v>1066.1203845766343</v>
      </c>
      <c r="S139" s="62">
        <f ca="1">AVERAGE(OFFSET($R$3,0,0,'Données projet'!$E$9+1,1))-AVERAGE(OFFSET($H$3,0,0,'Données projet'!$E$9+1,1))</f>
        <v>581.88778927327667</v>
      </c>
      <c r="T139" s="62">
        <f t="shared" si="142"/>
        <v>269.67340993773422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60.122265019710689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60.122265019710689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354.24684313982857</v>
      </c>
      <c r="AO139" s="62">
        <f t="shared" si="144"/>
        <v>322.65043486962185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55.319961174673871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55.319961174673871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3.2455318432766944E-13</v>
      </c>
      <c r="BF139" s="14">
        <f t="shared" si="145"/>
        <v>4.2513245787534721E-12</v>
      </c>
      <c r="BG139" s="22">
        <f t="shared" si="115"/>
        <v>7.9696537706996534E-12</v>
      </c>
      <c r="BH139" s="62">
        <f t="shared" si="116"/>
        <v>293.33333333334127</v>
      </c>
      <c r="BI139" s="62">
        <f ca="1">AVERAGE(OFFSET($BH$3,0,0,'Données projet'!$E$11+1,1))-AVERAGE(OFFSET($H$3,0,0,'Données projet'!$E$11+1,1))</f>
        <v>460.77543902152325</v>
      </c>
      <c r="BJ139" s="62">
        <f t="shared" si="146"/>
        <v>341.4342976721104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132.68569871295466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132.68569871295466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-5.6843418860808015E-13</v>
      </c>
      <c r="BZ139" s="14">
        <f>BY139*VLOOKUP('Données projet'!$B$12,Paramètres!$A$1:$I$89,3,0)*VLOOKUP('Données projet'!$B$12,Paramètres!$A$1:$I$89,5,0)</f>
        <v>-3.39923644787632E-13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438.68915237247444</v>
      </c>
      <c r="CE139" s="62">
        <f t="shared" si="148"/>
        <v>376.94419168335452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77.464260935966905</v>
      </c>
      <c r="CL139" s="23">
        <f>EXP(-LN(2)/25)*CL138+(1-EXP(-LN(2)/25))/(LN(2)/25)*Calculateur!CG139*Calculateur!CI139*VLOOKUP('Données projet'!$B$12,Paramètres!$A$1:$I$89,3,0)*0.475*44/12</f>
        <v>7.3845265578094716</v>
      </c>
      <c r="CM139" s="23">
        <f>EXP(-LN(2)/2)*CM138+(1-EXP(-LN(2)/2))/(LN(2)/2)*CG139*CJ139*VLOOKUP('Données projet'!$B$12,Paramètres!$A$1:$I$89,3,0)*0.475*44/12</f>
        <v>3.8273096085708708E-8</v>
      </c>
      <c r="CN139" s="24">
        <f t="shared" si="120"/>
        <v>84.848787532049471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-5.1159076974727213E-13</v>
      </c>
      <c r="CU139" s="18">
        <f>CT139*VLOOKUP('Données projet'!$B$13,Paramètres!$A$1:$I$89,3,0)*VLOOKUP('Données projet'!$B$13,Paramètres!$A$1:$I$89,5,0)</f>
        <v>-2.3942448024172334E-13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302.06513069580848</v>
      </c>
      <c r="CZ139" s="62">
        <f t="shared" si="150"/>
        <v>164.1450425611464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168.51408745334771</v>
      </c>
      <c r="DG139" s="23">
        <f>EXP(-LN(2)/25)*DG138+(1-EXP(-LN(2)/25))/(LN(2)/25)*Calculateur!DB139*Calculateur!DD139*VLOOKUP('Données projet'!$B$13,Paramètres!$A$1:$I$89,3,0)*0.475*44/12</f>
        <v>23.824269508537043</v>
      </c>
      <c r="DH139" s="23">
        <f>EXP(-LN(2)/2)*DH138+(1-EXP(-LN(2)/2))/(LN(2)/2)*DB139*DE139*VLOOKUP('Données projet'!$B$13,Paramètres!$A$1:$I$89,3,0)*0.475*44/12</f>
        <v>2.5412075954042592</v>
      </c>
      <c r="DI139" s="24">
        <f t="shared" si="123"/>
        <v>194.87956455728903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8.1590000000000025</v>
      </c>
      <c r="N140" s="14">
        <f>IF('Données projet'!$A$36&gt;35,N139+M140-V139,IF(A140&lt;'Données projet'!$A$36,$K$205^A140,IF(A140='Données projet'!$A$36,'Données projet'!$B$36,N139+M140-V139)))</f>
        <v>406.11700000000064</v>
      </c>
      <c r="O140" s="14">
        <f>N140*VLOOKUP('Données projet'!$B$9,Paramètres!$A$1:$I$89,3,0)*VLOOKUP('Données projet'!$B$9,Paramètres!$A$1:$I$89,5,0)</f>
        <v>367.45466160000058</v>
      </c>
      <c r="P140" s="14">
        <f t="shared" si="141"/>
        <v>85.146364255773364</v>
      </c>
      <c r="Q140" s="22">
        <f t="shared" si="108"/>
        <v>788.28012003213962</v>
      </c>
      <c r="R140" s="62">
        <f t="shared" si="109"/>
        <v>1081.6134533654729</v>
      </c>
      <c r="S140" s="62">
        <f ca="1">AVERAGE(OFFSET($R$3,0,0,'Données projet'!$E$9+1,1))-AVERAGE(OFFSET($H$3,0,0,'Données projet'!$E$9+1,1))</f>
        <v>581.88778927327667</v>
      </c>
      <c r="T140" s="62">
        <f t="shared" si="142"/>
        <v>269.67340993773422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58.94330407363487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58.94330407363487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354.24684313982857</v>
      </c>
      <c r="AO140" s="62">
        <f t="shared" si="144"/>
        <v>322.65043486962185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54.235170477883102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54.235170477883102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3.2455318432766944E-13</v>
      </c>
      <c r="BF140" s="14">
        <f t="shared" si="145"/>
        <v>4.2513245787534721E-12</v>
      </c>
      <c r="BG140" s="22">
        <f t="shared" si="115"/>
        <v>7.9696537706996534E-12</v>
      </c>
      <c r="BH140" s="62">
        <f t="shared" si="116"/>
        <v>293.33333333334127</v>
      </c>
      <c r="BI140" s="62">
        <f ca="1">AVERAGE(OFFSET($BH$3,0,0,'Données projet'!$E$11+1,1))-AVERAGE(OFFSET($H$3,0,0,'Données projet'!$E$11+1,1))</f>
        <v>460.77543902152325</v>
      </c>
      <c r="BJ140" s="62">
        <f t="shared" si="146"/>
        <v>341.4342976721104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130.08381309147865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130.08381309147865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-5.6843418860808015E-13</v>
      </c>
      <c r="BZ140" s="14">
        <f>BY140*VLOOKUP('Données projet'!$B$12,Paramètres!$A$1:$I$89,3,0)*VLOOKUP('Données projet'!$B$12,Paramètres!$A$1:$I$89,5,0)</f>
        <v>-3.39923644787632E-13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438.68915237247444</v>
      </c>
      <c r="CE140" s="62">
        <f t="shared" si="148"/>
        <v>376.94419168335452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75.945234027546363</v>
      </c>
      <c r="CL140" s="23">
        <f>EXP(-LN(2)/25)*CL139+(1-EXP(-LN(2)/25))/(LN(2)/25)*Calculateur!CG140*Calculateur!CI140*VLOOKUP('Données projet'!$B$12,Paramètres!$A$1:$I$89,3,0)*0.475*44/12</f>
        <v>7.1825962907507979</v>
      </c>
      <c r="CM140" s="23">
        <f>EXP(-LN(2)/2)*CM139+(1-EXP(-LN(2)/2))/(LN(2)/2)*CG140*CJ140*VLOOKUP('Données projet'!$B$12,Paramètres!$A$1:$I$89,3,0)*0.475*44/12</f>
        <v>2.7063165779208937E-8</v>
      </c>
      <c r="CN140" s="24">
        <f t="shared" si="120"/>
        <v>83.127830345360323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-5.1159076974727213E-13</v>
      </c>
      <c r="CU140" s="18">
        <f>CT140*VLOOKUP('Données projet'!$B$13,Paramètres!$A$1:$I$89,3,0)*VLOOKUP('Données projet'!$B$13,Paramètres!$A$1:$I$89,5,0)</f>
        <v>-2.3942448024172334E-13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302.06513069580848</v>
      </c>
      <c r="CZ140" s="62">
        <f t="shared" si="150"/>
        <v>164.1450425611464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165.20962898183188</v>
      </c>
      <c r="DG140" s="23">
        <f>EXP(-LN(2)/25)*DG139+(1-EXP(-LN(2)/25))/(LN(2)/25)*Calculateur!DB140*Calculateur!DD140*VLOOKUP('Données projet'!$B$13,Paramètres!$A$1:$I$89,3,0)*0.475*44/12</f>
        <v>23.172793605962216</v>
      </c>
      <c r="DH140" s="23">
        <f>EXP(-LN(2)/2)*DH139+(1-EXP(-LN(2)/2))/(LN(2)/2)*DB140*DE140*VLOOKUP('Données projet'!$B$13,Paramètres!$A$1:$I$89,3,0)*0.475*44/12</f>
        <v>1.7969051231131123</v>
      </c>
      <c r="DI140" s="24">
        <f t="shared" si="123"/>
        <v>190.17932771090722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8.1590000000000025</v>
      </c>
      <c r="N141" s="14">
        <f>IF('Données projet'!$A$36&gt;35,N140+M141-V140,IF(A141&lt;'Données projet'!$A$36,$K$205^A141,IF(A141='Données projet'!$A$36,'Données projet'!$B$36,N140+M141-V140)))</f>
        <v>414.27600000000064</v>
      </c>
      <c r="O141" s="14">
        <f>N141*VLOOKUP('Données projet'!$B$9,Paramètres!$A$1:$I$89,3,0)*VLOOKUP('Données projet'!$B$9,Paramètres!$A$1:$I$89,5,0)</f>
        <v>374.83692480000053</v>
      </c>
      <c r="P141" s="14">
        <f t="shared" si="141"/>
        <v>86.656108013910185</v>
      </c>
      <c r="Q141" s="22">
        <f t="shared" si="108"/>
        <v>803.76703215089447</v>
      </c>
      <c r="R141" s="62">
        <f t="shared" si="109"/>
        <v>1097.1003654842277</v>
      </c>
      <c r="S141" s="62">
        <f ca="1">AVERAGE(OFFSET($R$3,0,0,'Données projet'!$E$9+1,1))-AVERAGE(OFFSET($H$3,0,0,'Données projet'!$E$9+1,1))</f>
        <v>581.88778927327667</v>
      </c>
      <c r="T141" s="62">
        <f t="shared" si="142"/>
        <v>269.67340993773422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57.787461832616422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57.787461832616422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354.24684313982857</v>
      </c>
      <c r="AO141" s="62">
        <f t="shared" si="144"/>
        <v>322.65043486962185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53.171651864999411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53.171651864999411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3.2455318432766944E-13</v>
      </c>
      <c r="BF141" s="14">
        <f t="shared" si="145"/>
        <v>4.2513245787534721E-12</v>
      </c>
      <c r="BG141" s="22">
        <f t="shared" si="115"/>
        <v>7.9696537706996534E-12</v>
      </c>
      <c r="BH141" s="62">
        <f t="shared" si="116"/>
        <v>293.33333333334127</v>
      </c>
      <c r="BI141" s="62">
        <f ca="1">AVERAGE(OFFSET($BH$3,0,0,'Données projet'!$E$11+1,1))-AVERAGE(OFFSET($H$3,0,0,'Données projet'!$E$11+1,1))</f>
        <v>460.77543902152325</v>
      </c>
      <c r="BJ141" s="62">
        <f t="shared" si="146"/>
        <v>341.4342976721104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127.53294886004623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127.53294886004623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-5.6843418860808015E-13</v>
      </c>
      <c r="BZ141" s="14">
        <f>BY141*VLOOKUP('Données projet'!$B$12,Paramètres!$A$1:$I$89,3,0)*VLOOKUP('Données projet'!$B$12,Paramètres!$A$1:$I$89,5,0)</f>
        <v>-3.39923644787632E-13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438.68915237247444</v>
      </c>
      <c r="CE141" s="62">
        <f t="shared" si="148"/>
        <v>376.94419168335452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74.455994310285021</v>
      </c>
      <c r="CL141" s="23">
        <f>EXP(-LN(2)/25)*CL140+(1-EXP(-LN(2)/25))/(LN(2)/25)*Calculateur!CG141*Calculateur!CI141*VLOOKUP('Données projet'!$B$12,Paramètres!$A$1:$I$89,3,0)*0.475*44/12</f>
        <v>6.9861878174638941</v>
      </c>
      <c r="CM141" s="23">
        <f>EXP(-LN(2)/2)*CM140+(1-EXP(-LN(2)/2))/(LN(2)/2)*CG141*CJ141*VLOOKUP('Données projet'!$B$12,Paramètres!$A$1:$I$89,3,0)*0.475*44/12</f>
        <v>1.9136548042854354E-8</v>
      </c>
      <c r="CN141" s="24">
        <f t="shared" si="120"/>
        <v>81.442182146885472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-5.1159076974727213E-13</v>
      </c>
      <c r="CU141" s="18">
        <f>CT141*VLOOKUP('Données projet'!$B$13,Paramètres!$A$1:$I$89,3,0)*VLOOKUP('Données projet'!$B$13,Paramètres!$A$1:$I$89,5,0)</f>
        <v>-2.3942448024172334E-13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302.06513069580848</v>
      </c>
      <c r="CZ141" s="62">
        <f t="shared" si="150"/>
        <v>164.1450425611464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161.96996892542182</v>
      </c>
      <c r="DG141" s="23">
        <f>EXP(-LN(2)/25)*DG140+(1-EXP(-LN(2)/25))/(LN(2)/25)*Calculateur!DB141*Calculateur!DD141*VLOOKUP('Données projet'!$B$13,Paramètres!$A$1:$I$89,3,0)*0.475*44/12</f>
        <v>22.539132346202926</v>
      </c>
      <c r="DH141" s="23">
        <f>EXP(-LN(2)/2)*DH140+(1-EXP(-LN(2)/2))/(LN(2)/2)*DB141*DE141*VLOOKUP('Données projet'!$B$13,Paramètres!$A$1:$I$89,3,0)*0.475*44/12</f>
        <v>1.2706037977021298</v>
      </c>
      <c r="DI141" s="24">
        <f t="shared" si="123"/>
        <v>185.77970506932689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8.1590000000000025</v>
      </c>
      <c r="N142" s="14">
        <f>IF('Données projet'!$A$36&gt;35,N141+M142-V141,IF(A142&lt;'Données projet'!$A$36,$K$205^A142,IF(A142='Données projet'!$A$36,'Données projet'!$B$36,N141+M142-V141)))</f>
        <v>422.43500000000063</v>
      </c>
      <c r="O142" s="14">
        <f>N142*VLOOKUP('Données projet'!$B$9,Paramètres!$A$1:$I$89,3,0)*VLOOKUP('Données projet'!$B$9,Paramètres!$A$1:$I$89,5,0)</f>
        <v>382.21918800000054</v>
      </c>
      <c r="P142" s="14">
        <f t="shared" si="141"/>
        <v>88.162394485655341</v>
      </c>
      <c r="Q142" s="22">
        <f t="shared" si="108"/>
        <v>819.24792282918395</v>
      </c>
      <c r="R142" s="62">
        <f t="shared" si="109"/>
        <v>1112.5812561625173</v>
      </c>
      <c r="S142" s="62">
        <f ca="1">AVERAGE(OFFSET($R$3,0,0,'Données projet'!$E$9+1,1))-AVERAGE(OFFSET($H$3,0,0,'Données projet'!$E$9+1,1))</f>
        <v>581.88778927327667</v>
      </c>
      <c r="T142" s="62">
        <f t="shared" si="142"/>
        <v>269.67340993773422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56.654284952950192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56.654284952950192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354.24684313982857</v>
      </c>
      <c r="AO142" s="62">
        <f t="shared" si="144"/>
        <v>322.65043486962185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52.128988203432066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52.128988203432066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3.2455318432766944E-13</v>
      </c>
      <c r="BF142" s="14">
        <f t="shared" si="145"/>
        <v>4.2513245787534721E-12</v>
      </c>
      <c r="BG142" s="22">
        <f t="shared" si="115"/>
        <v>7.9696537706996534E-12</v>
      </c>
      <c r="BH142" s="62">
        <f t="shared" si="116"/>
        <v>293.33333333334127</v>
      </c>
      <c r="BI142" s="62">
        <f ca="1">AVERAGE(OFFSET($BH$3,0,0,'Données projet'!$E$11+1,1))-AVERAGE(OFFSET($H$3,0,0,'Données projet'!$E$11+1,1))</f>
        <v>460.77543902152325</v>
      </c>
      <c r="BJ142" s="62">
        <f t="shared" si="146"/>
        <v>341.4342976721104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125.03210552031867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125.03210552031867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-5.6843418860808015E-13</v>
      </c>
      <c r="BZ142" s="14">
        <f>BY142*VLOOKUP('Données projet'!$B$12,Paramètres!$A$1:$I$89,3,0)*VLOOKUP('Données projet'!$B$12,Paramètres!$A$1:$I$89,5,0)</f>
        <v>-3.39923644787632E-13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438.68915237247444</v>
      </c>
      <c r="CE142" s="62">
        <f t="shared" si="148"/>
        <v>376.94419168335452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72.995957675532637</v>
      </c>
      <c r="CL142" s="23">
        <f>EXP(-LN(2)/25)*CL141+(1-EXP(-LN(2)/25))/(LN(2)/25)*Calculateur!CG142*Calculateur!CI142*VLOOKUP('Données projet'!$B$12,Paramètres!$A$1:$I$89,3,0)*0.475*44/12</f>
        <v>6.7951501442076934</v>
      </c>
      <c r="CM142" s="23">
        <f>EXP(-LN(2)/2)*CM141+(1-EXP(-LN(2)/2))/(LN(2)/2)*CG142*CJ142*VLOOKUP('Données projet'!$B$12,Paramètres!$A$1:$I$89,3,0)*0.475*44/12</f>
        <v>1.3531582889604468E-8</v>
      </c>
      <c r="CN142" s="24">
        <f t="shared" si="120"/>
        <v>79.791107833271909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-5.1159076974727213E-13</v>
      </c>
      <c r="CU142" s="18">
        <f>CT142*VLOOKUP('Données projet'!$B$13,Paramètres!$A$1:$I$89,3,0)*VLOOKUP('Données projet'!$B$13,Paramètres!$A$1:$I$89,5,0)</f>
        <v>-2.3942448024172334E-13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302.06513069580848</v>
      </c>
      <c r="CZ142" s="62">
        <f t="shared" si="150"/>
        <v>164.1450425611464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158.79383662672046</v>
      </c>
      <c r="DG142" s="23">
        <f>EXP(-LN(2)/25)*DG141+(1-EXP(-LN(2)/25))/(LN(2)/25)*Calculateur!DB142*Calculateur!DD142*VLOOKUP('Données projet'!$B$13,Paramètres!$A$1:$I$89,3,0)*0.475*44/12</f>
        <v>21.922798586914553</v>
      </c>
      <c r="DH142" s="23">
        <f>EXP(-LN(2)/2)*DH141+(1-EXP(-LN(2)/2))/(LN(2)/2)*DB142*DE142*VLOOKUP('Données projet'!$B$13,Paramètres!$A$1:$I$89,3,0)*0.475*44/12</f>
        <v>0.89845256155655628</v>
      </c>
      <c r="DI142" s="24">
        <f t="shared" si="123"/>
        <v>181.61508777519157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8.1590000000000025</v>
      </c>
      <c r="N143" s="14">
        <f>IF('Données projet'!$A$36&gt;35,N142+M143-V142,IF(A143&lt;'Données projet'!$A$36,$K$205^A143,IF(A143='Données projet'!$A$36,'Données projet'!$B$36,N142+M143-V142)))</f>
        <v>430.59400000000062</v>
      </c>
      <c r="O143" s="14">
        <f>N143*VLOOKUP('Données projet'!$B$9,Paramètres!$A$1:$I$89,3,0)*VLOOKUP('Données projet'!$B$9,Paramètres!$A$1:$I$89,5,0)</f>
        <v>389.60145120000055</v>
      </c>
      <c r="P143" s="14">
        <f t="shared" si="141"/>
        <v>89.665298143968485</v>
      </c>
      <c r="Q143" s="22">
        <f t="shared" si="108"/>
        <v>834.72292177407928</v>
      </c>
      <c r="R143" s="62">
        <f t="shared" si="109"/>
        <v>1128.0562551074127</v>
      </c>
      <c r="S143" s="62">
        <f ca="1">AVERAGE(OFFSET($R$3,0,0,'Données projet'!$E$9+1,1))-AVERAGE(OFFSET($H$3,0,0,'Données projet'!$E$9+1,1))</f>
        <v>581.88778927327667</v>
      </c>
      <c r="T143" s="62">
        <f t="shared" si="142"/>
        <v>269.67340993773422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55.543328980724567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55.543328980724567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354.24684313982857</v>
      </c>
      <c r="AO143" s="62">
        <f t="shared" si="144"/>
        <v>322.65043486962185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51.106770540306016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51.106770540306016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3.2455318432766944E-13</v>
      </c>
      <c r="BF143" s="14">
        <f t="shared" si="145"/>
        <v>4.2513245787534721E-12</v>
      </c>
      <c r="BG143" s="22">
        <f t="shared" si="115"/>
        <v>7.9696537706996534E-12</v>
      </c>
      <c r="BH143" s="62">
        <f t="shared" si="116"/>
        <v>293.33333333334127</v>
      </c>
      <c r="BI143" s="62">
        <f ca="1">AVERAGE(OFFSET($BH$3,0,0,'Données projet'!$E$11+1,1))-AVERAGE(OFFSET($H$3,0,0,'Données projet'!$E$11+1,1))</f>
        <v>460.77543902152325</v>
      </c>
      <c r="BJ143" s="62">
        <f t="shared" si="146"/>
        <v>341.4342976721104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122.58030219311934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122.58030219311934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-5.6843418860808015E-13</v>
      </c>
      <c r="BZ143" s="14">
        <f>BY143*VLOOKUP('Données projet'!$B$12,Paramètres!$A$1:$I$89,3,0)*VLOOKUP('Données projet'!$B$12,Paramètres!$A$1:$I$89,5,0)</f>
        <v>-3.39923644787632E-13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438.68915237247444</v>
      </c>
      <c r="CE143" s="62">
        <f t="shared" si="148"/>
        <v>376.94419168335452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71.564551468653335</v>
      </c>
      <c r="CL143" s="23">
        <f>EXP(-LN(2)/25)*CL142+(1-EXP(-LN(2)/25))/(LN(2)/25)*Calculateur!CG143*Calculateur!CI143*VLOOKUP('Données projet'!$B$12,Paramètres!$A$1:$I$89,3,0)*0.475*44/12</f>
        <v>6.6093364061729183</v>
      </c>
      <c r="CM143" s="23">
        <f>EXP(-LN(2)/2)*CM142+(1-EXP(-LN(2)/2))/(LN(2)/2)*CG143*CJ143*VLOOKUP('Données projet'!$B$12,Paramètres!$A$1:$I$89,3,0)*0.475*44/12</f>
        <v>9.5682740214271771E-9</v>
      </c>
      <c r="CN143" s="24">
        <f t="shared" si="120"/>
        <v>78.173887884394517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-5.1159076974727213E-13</v>
      </c>
      <c r="CU143" s="18">
        <f>CT143*VLOOKUP('Données projet'!$B$13,Paramètres!$A$1:$I$89,3,0)*VLOOKUP('Données projet'!$B$13,Paramètres!$A$1:$I$89,5,0)</f>
        <v>-2.3942448024172334E-13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302.06513069580848</v>
      </c>
      <c r="CZ143" s="62">
        <f t="shared" si="150"/>
        <v>164.1450425611464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155.6799863451472</v>
      </c>
      <c r="DG143" s="23">
        <f>EXP(-LN(2)/25)*DG142+(1-EXP(-LN(2)/25))/(LN(2)/25)*Calculateur!DB143*Calculateur!DD143*VLOOKUP('Données projet'!$B$13,Paramètres!$A$1:$I$89,3,0)*0.475*44/12</f>
        <v>21.323318506685503</v>
      </c>
      <c r="DH143" s="23">
        <f>EXP(-LN(2)/2)*DH142+(1-EXP(-LN(2)/2))/(LN(2)/2)*DB143*DE143*VLOOKUP('Données projet'!$B$13,Paramètres!$A$1:$I$89,3,0)*0.475*44/12</f>
        <v>0.63530189885106503</v>
      </c>
      <c r="DI143" s="24">
        <f t="shared" si="123"/>
        <v>177.63860675068375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8.1590000000000025</v>
      </c>
      <c r="N144" s="14">
        <f>IF('Données projet'!$A$36&gt;35,N143+M144-V143,IF(A144&lt;'Données projet'!$A$36,$K$205^A144,IF(A144='Données projet'!$A$36,'Données projet'!$B$36,N143+M144-V143)))</f>
        <v>438.75300000000061</v>
      </c>
      <c r="O144" s="14">
        <f>N144*VLOOKUP('Données projet'!$B$9,Paramètres!$A$1:$I$89,3,0)*VLOOKUP('Données projet'!$B$9,Paramètres!$A$1:$I$89,5,0)</f>
        <v>396.98371440000057</v>
      </c>
      <c r="P144" s="14">
        <f t="shared" si="141"/>
        <v>91.164890478045521</v>
      </c>
      <c r="Q144" s="22">
        <f t="shared" si="108"/>
        <v>850.19215349593026</v>
      </c>
      <c r="R144" s="62">
        <f t="shared" si="109"/>
        <v>1143.5254868292636</v>
      </c>
      <c r="S144" s="62">
        <f ca="1">AVERAGE(OFFSET($R$3,0,0,'Données projet'!$E$9+1,1))-AVERAGE(OFFSET($H$3,0,0,'Données projet'!$E$9+1,1))</f>
        <v>581.88778927327667</v>
      </c>
      <c r="T144" s="62">
        <f t="shared" si="142"/>
        <v>269.67340993773422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54.454158177498051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54.454158177498051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354.24684313982857</v>
      </c>
      <c r="AO144" s="62">
        <f t="shared" si="144"/>
        <v>322.65043486962185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50.104597942062661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50.104597942062661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3.2455318432766944E-13</v>
      </c>
      <c r="BF144" s="14">
        <f t="shared" si="145"/>
        <v>4.2513245787534721E-12</v>
      </c>
      <c r="BG144" s="22">
        <f t="shared" si="115"/>
        <v>7.9696537706996534E-12</v>
      </c>
      <c r="BH144" s="62">
        <f t="shared" si="116"/>
        <v>293.33333333334127</v>
      </c>
      <c r="BI144" s="62">
        <f ca="1">AVERAGE(OFFSET($BH$3,0,0,'Données projet'!$E$11+1,1))-AVERAGE(OFFSET($H$3,0,0,'Données projet'!$E$11+1,1))</f>
        <v>460.77543902152325</v>
      </c>
      <c r="BJ144" s="62">
        <f t="shared" si="146"/>
        <v>341.4342976721104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120.17657723371401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120.17657723371401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-5.6843418860808015E-13</v>
      </c>
      <c r="BZ144" s="14">
        <f>BY144*VLOOKUP('Données projet'!$B$12,Paramètres!$A$1:$I$89,3,0)*VLOOKUP('Données projet'!$B$12,Paramètres!$A$1:$I$89,5,0)</f>
        <v>-3.39923644787632E-13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438.68915237247444</v>
      </c>
      <c r="CE144" s="62">
        <f t="shared" si="148"/>
        <v>376.94419168335452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70.161214264419357</v>
      </c>
      <c r="CL144" s="23">
        <f>EXP(-LN(2)/25)*CL143+(1-EXP(-LN(2)/25))/(LN(2)/25)*Calculateur!CG144*Calculateur!CI144*VLOOKUP('Données projet'!$B$12,Paramètres!$A$1:$I$89,3,0)*0.475*44/12</f>
        <v>6.4286037545762245</v>
      </c>
      <c r="CM144" s="23">
        <f>EXP(-LN(2)/2)*CM143+(1-EXP(-LN(2)/2))/(LN(2)/2)*CG144*CJ144*VLOOKUP('Données projet'!$B$12,Paramètres!$A$1:$I$89,3,0)*0.475*44/12</f>
        <v>6.7657914448022341E-9</v>
      </c>
      <c r="CN144" s="24">
        <f t="shared" si="120"/>
        <v>76.589818025761375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-5.1159076974727213E-13</v>
      </c>
      <c r="CU144" s="18">
        <f>CT144*VLOOKUP('Données projet'!$B$13,Paramètres!$A$1:$I$89,3,0)*VLOOKUP('Données projet'!$B$13,Paramètres!$A$1:$I$89,5,0)</f>
        <v>-2.3942448024172334E-13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302.06513069580848</v>
      </c>
      <c r="CZ144" s="62">
        <f t="shared" si="150"/>
        <v>164.1450425611464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152.62719676833447</v>
      </c>
      <c r="DG144" s="23">
        <f>EXP(-LN(2)/25)*DG143+(1-EXP(-LN(2)/25))/(LN(2)/25)*Calculateur!DB144*Calculateur!DD144*VLOOKUP('Données projet'!$B$13,Paramètres!$A$1:$I$89,3,0)*0.475*44/12</f>
        <v>20.740231240775604</v>
      </c>
      <c r="DH144" s="23">
        <f>EXP(-LN(2)/2)*DH143+(1-EXP(-LN(2)/2))/(LN(2)/2)*DB144*DE144*VLOOKUP('Données projet'!$B$13,Paramètres!$A$1:$I$89,3,0)*0.475*44/12</f>
        <v>0.4492262807782782</v>
      </c>
      <c r="DI144" s="24">
        <f t="shared" si="123"/>
        <v>173.81665428988836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8.1590000000000025</v>
      </c>
      <c r="N145" s="14">
        <f>IF('Données projet'!$A$36&gt;35,N144+M145-V144,IF(A145&lt;'Données projet'!$A$36,$K$205^A145,IF(A145='Données projet'!$A$36,'Données projet'!$B$36,N144+M145-V144)))</f>
        <v>446.9120000000006</v>
      </c>
      <c r="O145" s="14">
        <f>N145*VLOOKUP('Données projet'!$B$9,Paramètres!$A$1:$I$89,3,0)*VLOOKUP('Données projet'!$B$9,Paramètres!$A$1:$I$89,5,0)</f>
        <v>404.36597760000052</v>
      </c>
      <c r="P145" s="14">
        <f t="shared" si="141"/>
        <v>92.66124016608812</v>
      </c>
      <c r="Q145" s="22">
        <f t="shared" si="108"/>
        <v>865.655737609271</v>
      </c>
      <c r="R145" s="62">
        <f t="shared" si="109"/>
        <v>1158.9890709426043</v>
      </c>
      <c r="S145" s="62">
        <f ca="1">AVERAGE(OFFSET($R$3,0,0,'Données projet'!$E$9+1,1))-AVERAGE(OFFSET($H$3,0,0,'Données projet'!$E$9+1,1))</f>
        <v>581.88778927327667</v>
      </c>
      <c r="T145" s="62">
        <f t="shared" si="142"/>
        <v>269.67340993773422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53.386345349394219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53.386345349394219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354.24684313982857</v>
      </c>
      <c r="AO145" s="62">
        <f t="shared" si="144"/>
        <v>322.65043486962185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49.12207733720593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49.12207733720593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3.2455318432766944E-13</v>
      </c>
      <c r="BF145" s="14">
        <f t="shared" si="145"/>
        <v>4.2513245787534721E-12</v>
      </c>
      <c r="BG145" s="22">
        <f t="shared" si="115"/>
        <v>7.9696537706996534E-12</v>
      </c>
      <c r="BH145" s="62">
        <f t="shared" si="116"/>
        <v>293.33333333334127</v>
      </c>
      <c r="BI145" s="62">
        <f ca="1">AVERAGE(OFFSET($BH$3,0,0,'Données projet'!$E$11+1,1))-AVERAGE(OFFSET($H$3,0,0,'Données projet'!$E$11+1,1))</f>
        <v>460.77543902152325</v>
      </c>
      <c r="BJ145" s="62">
        <f t="shared" si="146"/>
        <v>341.4342976721104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117.81998785463517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117.81998785463517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-5.6843418860808015E-13</v>
      </c>
      <c r="BZ145" s="14">
        <f>BY145*VLOOKUP('Données projet'!$B$12,Paramètres!$A$1:$I$89,3,0)*VLOOKUP('Données projet'!$B$12,Paramètres!$A$1:$I$89,5,0)</f>
        <v>-3.39923644787632E-13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438.68915237247444</v>
      </c>
      <c r="CE145" s="62">
        <f t="shared" si="148"/>
        <v>376.94419168335452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68.785395646809221</v>
      </c>
      <c r="CL145" s="23">
        <f>EXP(-LN(2)/25)*CL144+(1-EXP(-LN(2)/25))/(LN(2)/25)*Calculateur!CG145*Calculateur!CI145*VLOOKUP('Données projet'!$B$12,Paramètres!$A$1:$I$89,3,0)*0.475*44/12</f>
        <v>6.2528132468417592</v>
      </c>
      <c r="CM145" s="23">
        <f>EXP(-LN(2)/2)*CM144+(1-EXP(-LN(2)/2))/(LN(2)/2)*CG145*CJ145*VLOOKUP('Données projet'!$B$12,Paramètres!$A$1:$I$89,3,0)*0.475*44/12</f>
        <v>4.7841370107135886E-9</v>
      </c>
      <c r="CN145" s="24">
        <f t="shared" si="120"/>
        <v>75.038208898435116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-5.1159076974727213E-13</v>
      </c>
      <c r="CU145" s="18">
        <f>CT145*VLOOKUP('Données projet'!$B$13,Paramètres!$A$1:$I$89,3,0)*VLOOKUP('Données projet'!$B$13,Paramètres!$A$1:$I$89,5,0)</f>
        <v>-2.3942448024172334E-13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302.06513069580848</v>
      </c>
      <c r="CZ145" s="62">
        <f t="shared" si="150"/>
        <v>164.1450425611464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149.63427053310525</v>
      </c>
      <c r="DG145" s="23">
        <f>EXP(-LN(2)/25)*DG144+(1-EXP(-LN(2)/25))/(LN(2)/25)*Calculateur!DB145*Calculateur!DD145*VLOOKUP('Données projet'!$B$13,Paramètres!$A$1:$I$89,3,0)*0.475*44/12</f>
        <v>20.173088526815235</v>
      </c>
      <c r="DH145" s="23">
        <f>EXP(-LN(2)/2)*DH144+(1-EXP(-LN(2)/2))/(LN(2)/2)*DB145*DE145*VLOOKUP('Données projet'!$B$13,Paramètres!$A$1:$I$89,3,0)*0.475*44/12</f>
        <v>0.31765094942553257</v>
      </c>
      <c r="DI145" s="24">
        <f t="shared" si="123"/>
        <v>170.12501000934603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8.1590000000000025</v>
      </c>
      <c r="N146" s="14">
        <f>IF('Données projet'!$A$36&gt;35,N145+M146-V145,IF(A146&lt;'Données projet'!$A$36,$K$205^A146,IF(A146='Données projet'!$A$36,'Données projet'!$B$36,N145+M146-V145)))</f>
        <v>455.07100000000059</v>
      </c>
      <c r="O146" s="14">
        <f>N146*VLOOKUP('Données projet'!$B$9,Paramètres!$A$1:$I$89,3,0)*VLOOKUP('Données projet'!$B$9,Paramètres!$A$1:$I$89,5,0)</f>
        <v>411.74824080000053</v>
      </c>
      <c r="P146" s="14">
        <f t="shared" si="141"/>
        <v>94.15441323509782</v>
      </c>
      <c r="Q146" s="22">
        <f t="shared" si="108"/>
        <v>881.11378911112968</v>
      </c>
      <c r="R146" s="62">
        <f t="shared" si="109"/>
        <v>1174.447122444463</v>
      </c>
      <c r="S146" s="62">
        <f ca="1">AVERAGE(OFFSET($R$3,0,0,'Données projet'!$E$9+1,1))-AVERAGE(OFFSET($H$3,0,0,'Données projet'!$E$9+1,1))</f>
        <v>581.88778927327667</v>
      </c>
      <c r="T146" s="62">
        <f t="shared" si="142"/>
        <v>269.67340993773422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52.339471679547984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52.339471679547984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354.24684313982857</v>
      </c>
      <c r="AO146" s="62">
        <f t="shared" si="144"/>
        <v>322.65043486962185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48.158823362132047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48.158823362132047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3.2455318432766944E-13</v>
      </c>
      <c r="BF146" s="14">
        <f t="shared" si="145"/>
        <v>4.2513245787534721E-12</v>
      </c>
      <c r="BG146" s="22">
        <f t="shared" si="115"/>
        <v>7.9696537706996534E-12</v>
      </c>
      <c r="BH146" s="62">
        <f t="shared" si="116"/>
        <v>293.33333333334127</v>
      </c>
      <c r="BI146" s="62">
        <f ca="1">AVERAGE(OFFSET($BH$3,0,0,'Données projet'!$E$11+1,1))-AVERAGE(OFFSET($H$3,0,0,'Données projet'!$E$11+1,1))</f>
        <v>460.77543902152325</v>
      </c>
      <c r="BJ146" s="62">
        <f t="shared" si="146"/>
        <v>341.4342976721104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115.50960975590247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115.50960975590247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-5.6843418860808015E-13</v>
      </c>
      <c r="BZ146" s="14">
        <f>BY146*VLOOKUP('Données projet'!$B$12,Paramètres!$A$1:$I$89,3,0)*VLOOKUP('Données projet'!$B$12,Paramètres!$A$1:$I$89,5,0)</f>
        <v>-3.39923644787632E-13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438.68915237247444</v>
      </c>
      <c r="CE146" s="62">
        <f t="shared" si="148"/>
        <v>376.94419168335452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67.436555993123932</v>
      </c>
      <c r="CL146" s="23">
        <f>EXP(-LN(2)/25)*CL145+(1-EXP(-LN(2)/25))/(LN(2)/25)*Calculateur!CG146*Calculateur!CI146*VLOOKUP('Données projet'!$B$12,Paramètres!$A$1:$I$89,3,0)*0.475*44/12</f>
        <v>6.0818297397857135</v>
      </c>
      <c r="CM146" s="23">
        <f>EXP(-LN(2)/2)*CM145+(1-EXP(-LN(2)/2))/(LN(2)/2)*CG146*CJ146*VLOOKUP('Données projet'!$B$12,Paramètres!$A$1:$I$89,3,0)*0.475*44/12</f>
        <v>3.3828957224011171E-9</v>
      </c>
      <c r="CN146" s="24">
        <f t="shared" si="120"/>
        <v>73.518385736292544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-5.1159076974727213E-13</v>
      </c>
      <c r="CU146" s="18">
        <f>CT146*VLOOKUP('Données projet'!$B$13,Paramètres!$A$1:$I$89,3,0)*VLOOKUP('Données projet'!$B$13,Paramètres!$A$1:$I$89,5,0)</f>
        <v>-2.3942448024172334E-13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302.06513069580848</v>
      </c>
      <c r="CZ146" s="62">
        <f t="shared" si="150"/>
        <v>164.1450425611464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146.70003375584412</v>
      </c>
      <c r="DG146" s="23">
        <f>EXP(-LN(2)/25)*DG145+(1-EXP(-LN(2)/25))/(LN(2)/25)*Calculateur!DB146*Calculateur!DD146*VLOOKUP('Données projet'!$B$13,Paramètres!$A$1:$I$89,3,0)*0.475*44/12</f>
        <v>19.621454360192853</v>
      </c>
      <c r="DH146" s="23">
        <f>EXP(-LN(2)/2)*DH145+(1-EXP(-LN(2)/2))/(LN(2)/2)*DB146*DE146*VLOOKUP('Données projet'!$B$13,Paramètres!$A$1:$I$89,3,0)*0.475*44/12</f>
        <v>0.22461314038913915</v>
      </c>
      <c r="DI146" s="24">
        <f t="shared" si="123"/>
        <v>166.54610125642611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>
        <f>VLOOKUP(A147,'Données projet'!$A$35:$I$55,2,0)</f>
        <v>463.23</v>
      </c>
      <c r="L147" s="13">
        <f>VLOOKUP(A147,'Données projet'!$A$35:$I$55,9,0)</f>
        <v>8.1590000000000025</v>
      </c>
      <c r="M147" s="13">
        <f t="array" ref="M147">INDEX(L:L,MIN(IF(ISNUMBER(L147:L343),ROW(L147:L343),"")))</f>
        <v>8.1590000000000025</v>
      </c>
      <c r="N147" s="14">
        <f>IF('Données projet'!$A$36&gt;35,N146+M147-V146,IF(A147&lt;'Données projet'!$A$36,$K$205^A147,IF(A147='Données projet'!$A$36,'Données projet'!$B$36,N146+M147-V146)))</f>
        <v>463.23000000000059</v>
      </c>
      <c r="O147" s="14">
        <f>N147*VLOOKUP('Données projet'!$B$9,Paramètres!$A$1:$I$89,3,0)*VLOOKUP('Données projet'!$B$9,Paramètres!$A$1:$I$89,5,0)</f>
        <v>419.13050400000049</v>
      </c>
      <c r="P147" s="14">
        <f t="shared" si="141"/>
        <v>95.644473208887277</v>
      </c>
      <c r="Q147" s="22">
        <f t="shared" si="108"/>
        <v>896.56641863881293</v>
      </c>
      <c r="R147" s="62">
        <f t="shared" si="109"/>
        <v>1189.8997519721463</v>
      </c>
      <c r="S147" s="62">
        <f ca="1">AVERAGE(OFFSET($R$3,0,0,'Données projet'!$E$9+1,1))-AVERAGE(OFFSET($H$3,0,0,'Données projet'!$E$9+1,1))</f>
        <v>581.88778927327667</v>
      </c>
      <c r="T147" s="62">
        <f t="shared" si="142"/>
        <v>269.67340993773422</v>
      </c>
      <c r="U147" s="16">
        <f>IF(ISNA(VLOOKUP(A147,'Données projet'!$A$35:$I$55,3,0)),0,VLOOKUP(A147,'Données projet'!$A$35:$I$55,3,0))</f>
        <v>12</v>
      </c>
      <c r="V147" s="16">
        <f>IF(ISNA(VLOOKUP(A147,'Données projet'!$A$35:$I$55,4,0)),0,VLOOKUP(A147,'Données projet'!$A$35:$I$55,4,0))</f>
        <v>56.01</v>
      </c>
      <c r="W147" s="17">
        <f>IF(ISNA(VLOOKUP(A147,'Données projet'!$A$35:$I$55,5,0)),0%,VLOOKUP(A147,'Données projet'!$A$35:$I$55,5,0)*VLOOKUP('Données projet'!$B$9,Paramètres!$A$1:$I$89,7,0))</f>
        <v>0.30099999999999999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68.176007382441966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68.176007382441966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354.24684313982857</v>
      </c>
      <c r="AO147" s="62">
        <f t="shared" si="144"/>
        <v>322.65043486962185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47.214458209982446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47.214458209982446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3.2455318432766944E-13</v>
      </c>
      <c r="BF147" s="14">
        <f t="shared" si="145"/>
        <v>4.2513245787534721E-12</v>
      </c>
      <c r="BG147" s="22">
        <f t="shared" si="115"/>
        <v>7.9696537706996534E-12</v>
      </c>
      <c r="BH147" s="62">
        <f t="shared" si="116"/>
        <v>293.33333333334127</v>
      </c>
      <c r="BI147" s="62">
        <f ca="1">AVERAGE(OFFSET($BH$3,0,0,'Données projet'!$E$11+1,1))-AVERAGE(OFFSET($H$3,0,0,'Données projet'!$E$11+1,1))</f>
        <v>460.77543902152325</v>
      </c>
      <c r="BJ147" s="62">
        <f t="shared" si="146"/>
        <v>341.4342976721104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113.24453676249443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113.24453676249443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-5.6843418860808015E-13</v>
      </c>
      <c r="BZ147" s="14">
        <f>BY147*VLOOKUP('Données projet'!$B$12,Paramètres!$A$1:$I$89,3,0)*VLOOKUP('Données projet'!$B$12,Paramètres!$A$1:$I$89,5,0)</f>
        <v>-3.39923644787632E-13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438.68915237247444</v>
      </c>
      <c r="CE147" s="62">
        <f t="shared" si="148"/>
        <v>376.94419168335452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66.114166262336454</v>
      </c>
      <c r="CL147" s="23">
        <f>EXP(-LN(2)/25)*CL146+(1-EXP(-LN(2)/25))/(LN(2)/25)*Calculateur!CG147*Calculateur!CI147*VLOOKUP('Données projet'!$B$12,Paramètres!$A$1:$I$89,3,0)*0.475*44/12</f>
        <v>5.9155217857217472</v>
      </c>
      <c r="CM147" s="23">
        <f>EXP(-LN(2)/2)*CM146+(1-EXP(-LN(2)/2))/(LN(2)/2)*CG147*CJ147*VLOOKUP('Données projet'!$B$12,Paramètres!$A$1:$I$89,3,0)*0.475*44/12</f>
        <v>2.3920685053567943E-9</v>
      </c>
      <c r="CN147" s="24">
        <f t="shared" si="120"/>
        <v>72.029688050450275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-5.1159076974727213E-13</v>
      </c>
      <c r="CU147" s="18">
        <f>CT147*VLOOKUP('Données projet'!$B$13,Paramètres!$A$1:$I$89,3,0)*VLOOKUP('Données projet'!$B$13,Paramètres!$A$1:$I$89,5,0)</f>
        <v>-2.3942448024172334E-13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302.06513069580848</v>
      </c>
      <c r="CZ147" s="62">
        <f t="shared" si="150"/>
        <v>164.1450425611464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143.82333557207735</v>
      </c>
      <c r="DG147" s="23">
        <f>EXP(-LN(2)/25)*DG146+(1-EXP(-LN(2)/25))/(LN(2)/25)*Calculateur!DB147*Calculateur!DD147*VLOOKUP('Données projet'!$B$13,Paramètres!$A$1:$I$89,3,0)*0.475*44/12</f>
        <v>19.084904658865941</v>
      </c>
      <c r="DH147" s="23">
        <f>EXP(-LN(2)/2)*DH146+(1-EXP(-LN(2)/2))/(LN(2)/2)*DB147*DE147*VLOOKUP('Données projet'!$B$13,Paramètres!$A$1:$I$89,3,0)*0.475*44/12</f>
        <v>0.15882547471276631</v>
      </c>
      <c r="DI147" s="24">
        <f t="shared" si="123"/>
        <v>163.06706570565606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8.3249999999999993</v>
      </c>
      <c r="N148" s="14">
        <f>IF('Données projet'!$A$36&gt;35,N147+M148-V147,IF(A148&lt;'Données projet'!$A$36,$K$205^A148,IF(A148='Données projet'!$A$36,'Données projet'!$B$36,N147+M148-V147)))</f>
        <v>415.54500000000058</v>
      </c>
      <c r="O148" s="14">
        <f>N148*VLOOKUP('Données projet'!$B$9,Paramètres!$A$1:$I$89,3,0)*VLOOKUP('Données projet'!$B$9,Paramètres!$A$1:$I$89,5,0)</f>
        <v>375.98511600000052</v>
      </c>
      <c r="P148" s="14">
        <f t="shared" si="141"/>
        <v>86.890611547517153</v>
      </c>
      <c r="Q148" s="22">
        <f t="shared" si="108"/>
        <v>806.17522547859323</v>
      </c>
      <c r="R148" s="62">
        <f t="shared" si="109"/>
        <v>1099.5085588119266</v>
      </c>
      <c r="S148" s="62">
        <f ca="1">AVERAGE(OFFSET($R$3,0,0,'Données projet'!$E$9+1,1))-AVERAGE(OFFSET($H$3,0,0,'Données projet'!$E$9+1,1))</f>
        <v>581.88778927327667</v>
      </c>
      <c r="T148" s="62">
        <f t="shared" si="142"/>
        <v>269.67340993773422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66.83911746093078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66.83911746093078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354.24684313982857</v>
      </c>
      <c r="AO148" s="62">
        <f t="shared" si="144"/>
        <v>322.65043486962185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46.288611482460638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46.288611482460638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3.2455318432766944E-13</v>
      </c>
      <c r="BF148" s="14">
        <f t="shared" si="145"/>
        <v>4.2513245787534721E-12</v>
      </c>
      <c r="BG148" s="22">
        <f t="shared" si="115"/>
        <v>7.9696537706996534E-12</v>
      </c>
      <c r="BH148" s="62">
        <f t="shared" si="116"/>
        <v>293.33333333334127</v>
      </c>
      <c r="BI148" s="62">
        <f ca="1">AVERAGE(OFFSET($BH$3,0,0,'Données projet'!$E$11+1,1))-AVERAGE(OFFSET($H$3,0,0,'Données projet'!$E$11+1,1))</f>
        <v>460.77543902152325</v>
      </c>
      <c r="BJ148" s="62">
        <f t="shared" si="146"/>
        <v>341.4342976721104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111.02388046892902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111.02388046892902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-5.6843418860808015E-13</v>
      </c>
      <c r="BZ148" s="14">
        <f>BY148*VLOOKUP('Données projet'!$B$12,Paramètres!$A$1:$I$89,3,0)*VLOOKUP('Données projet'!$B$12,Paramètres!$A$1:$I$89,5,0)</f>
        <v>-3.39923644787632E-13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438.68915237247444</v>
      </c>
      <c r="CE148" s="62">
        <f t="shared" si="148"/>
        <v>376.94419168335452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64.81770778759163</v>
      </c>
      <c r="CL148" s="23">
        <f>EXP(-LN(2)/25)*CL147+(1-EXP(-LN(2)/25))/(LN(2)/25)*Calculateur!CG148*Calculateur!CI148*VLOOKUP('Données projet'!$B$12,Paramètres!$A$1:$I$89,3,0)*0.475*44/12</f>
        <v>5.7537615314074158</v>
      </c>
      <c r="CM148" s="23">
        <f>EXP(-LN(2)/2)*CM147+(1-EXP(-LN(2)/2))/(LN(2)/2)*CG148*CJ148*VLOOKUP('Données projet'!$B$12,Paramètres!$A$1:$I$89,3,0)*0.475*44/12</f>
        <v>1.6914478612005585E-9</v>
      </c>
      <c r="CN148" s="24">
        <f t="shared" si="120"/>
        <v>70.571469320690497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-5.1159076974727213E-13</v>
      </c>
      <c r="CU148" s="18">
        <f>CT148*VLOOKUP('Données projet'!$B$13,Paramètres!$A$1:$I$89,3,0)*VLOOKUP('Données projet'!$B$13,Paramètres!$A$1:$I$89,5,0)</f>
        <v>-2.3942448024172334E-13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302.06513069580848</v>
      </c>
      <c r="CZ148" s="62">
        <f t="shared" si="150"/>
        <v>164.1450425611464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141.00304768508164</v>
      </c>
      <c r="DG148" s="23">
        <f>EXP(-LN(2)/25)*DG147+(1-EXP(-LN(2)/25))/(LN(2)/25)*Calculateur!DB148*Calculateur!DD148*VLOOKUP('Données projet'!$B$13,Paramètres!$A$1:$I$89,3,0)*0.475*44/12</f>
        <v>18.563026937337735</v>
      </c>
      <c r="DH148" s="23">
        <f>EXP(-LN(2)/2)*DH147+(1-EXP(-LN(2)/2))/(LN(2)/2)*DB148*DE148*VLOOKUP('Données projet'!$B$13,Paramètres!$A$1:$I$89,3,0)*0.475*44/12</f>
        <v>0.11230657019456959</v>
      </c>
      <c r="DI148" s="24">
        <f t="shared" si="123"/>
        <v>159.67838119261393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8.3249999999999993</v>
      </c>
      <c r="N149" s="14">
        <f>IF('Données projet'!$A$36&gt;35,N148+M149-V148,IF(A149&lt;'Données projet'!$A$36,$K$205^A149,IF(A149='Données projet'!$A$36,'Données projet'!$B$36,N148+M149-V148)))</f>
        <v>423.87000000000057</v>
      </c>
      <c r="O149" s="14">
        <f>N149*VLOOKUP('Données projet'!$B$9,Paramètres!$A$1:$I$89,3,0)*VLOOKUP('Données projet'!$B$9,Paramètres!$A$1:$I$89,5,0)</f>
        <v>383.51757600000053</v>
      </c>
      <c r="P149" s="14">
        <f t="shared" si="141"/>
        <v>88.426967368766455</v>
      </c>
      <c r="Q149" s="22">
        <f t="shared" si="108"/>
        <v>821.97007970060247</v>
      </c>
      <c r="R149" s="62">
        <f t="shared" si="109"/>
        <v>1115.3034130339358</v>
      </c>
      <c r="S149" s="62">
        <f ca="1">AVERAGE(OFFSET($R$3,0,0,'Données projet'!$E$9+1,1))-AVERAGE(OFFSET($H$3,0,0,'Données projet'!$E$9+1,1))</f>
        <v>581.88778927327667</v>
      </c>
      <c r="T149" s="62">
        <f t="shared" si="142"/>
        <v>269.67340993773422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65.528443135358089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65.528443135358089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354.24684313982857</v>
      </c>
      <c r="AO149" s="62">
        <f t="shared" si="144"/>
        <v>322.65043486962185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45.380920044554784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45.380920044554784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3.2455318432766944E-13</v>
      </c>
      <c r="BF149" s="14">
        <f t="shared" si="145"/>
        <v>4.2513245787534721E-12</v>
      </c>
      <c r="BG149" s="22">
        <f t="shared" si="115"/>
        <v>7.9696537706996534E-12</v>
      </c>
      <c r="BH149" s="62">
        <f t="shared" si="116"/>
        <v>293.33333333334127</v>
      </c>
      <c r="BI149" s="62">
        <f ca="1">AVERAGE(OFFSET($BH$3,0,0,'Données projet'!$E$11+1,1))-AVERAGE(OFFSET($H$3,0,0,'Données projet'!$E$11+1,1))</f>
        <v>460.77543902152325</v>
      </c>
      <c r="BJ149" s="62">
        <f t="shared" si="146"/>
        <v>341.4342976721104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108.84676989081382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108.84676989081382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-5.6843418860808015E-13</v>
      </c>
      <c r="BZ149" s="14">
        <f>BY149*VLOOKUP('Données projet'!$B$12,Paramètres!$A$1:$I$89,3,0)*VLOOKUP('Données projet'!$B$12,Paramètres!$A$1:$I$89,5,0)</f>
        <v>-3.39923644787632E-13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438.68915237247444</v>
      </c>
      <c r="CE149" s="62">
        <f t="shared" si="148"/>
        <v>376.94419168335452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63.54667207277496</v>
      </c>
      <c r="CL149" s="23">
        <f>EXP(-LN(2)/25)*CL148+(1-EXP(-LN(2)/25))/(LN(2)/25)*Calculateur!CG149*Calculateur!CI149*VLOOKUP('Données projet'!$B$12,Paramètres!$A$1:$I$89,3,0)*0.475*44/12</f>
        <v>5.5964246197539111</v>
      </c>
      <c r="CM149" s="23">
        <f>EXP(-LN(2)/2)*CM148+(1-EXP(-LN(2)/2))/(LN(2)/2)*CG149*CJ149*VLOOKUP('Données projet'!$B$12,Paramètres!$A$1:$I$89,3,0)*0.475*44/12</f>
        <v>1.1960342526783971E-9</v>
      </c>
      <c r="CN149" s="24">
        <f t="shared" si="120"/>
        <v>69.1430966937249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-5.1159076974727213E-13</v>
      </c>
      <c r="CU149" s="18">
        <f>CT149*VLOOKUP('Données projet'!$B$13,Paramètres!$A$1:$I$89,3,0)*VLOOKUP('Données projet'!$B$13,Paramètres!$A$1:$I$89,5,0)</f>
        <v>-2.3942448024172334E-13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302.06513069580848</v>
      </c>
      <c r="CZ149" s="62">
        <f t="shared" si="150"/>
        <v>164.1450425611464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138.23806392334416</v>
      </c>
      <c r="DG149" s="23">
        <f>EXP(-LN(2)/25)*DG148+(1-EXP(-LN(2)/25))/(LN(2)/25)*Calculateur!DB149*Calculateur!DD149*VLOOKUP('Données projet'!$B$13,Paramètres!$A$1:$I$89,3,0)*0.475*44/12</f>
        <v>18.055419989549076</v>
      </c>
      <c r="DH149" s="23">
        <f>EXP(-LN(2)/2)*DH148+(1-EXP(-LN(2)/2))/(LN(2)/2)*DB149*DE149*VLOOKUP('Données projet'!$B$13,Paramètres!$A$1:$I$89,3,0)*0.475*44/12</f>
        <v>7.941273735638317E-2</v>
      </c>
      <c r="DI149" s="24">
        <f t="shared" si="123"/>
        <v>156.37289665024963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8.3249999999999993</v>
      </c>
      <c r="N150" s="14">
        <f>IF('Données projet'!$A$36&gt;35,N149+M150-V149,IF(A150&lt;'Données projet'!$A$36,$K$205^A150,IF(A150='Données projet'!$A$36,'Données projet'!$B$36,N149+M150-V149)))</f>
        <v>432.19500000000056</v>
      </c>
      <c r="O150" s="14">
        <f>N150*VLOOKUP('Données projet'!$B$9,Paramètres!$A$1:$I$89,3,0)*VLOOKUP('Données projet'!$B$9,Paramètres!$A$1:$I$89,5,0)</f>
        <v>391.05003600000049</v>
      </c>
      <c r="P150" s="14">
        <f t="shared" si="141"/>
        <v>89.959814624965674</v>
      </c>
      <c r="Q150" s="22">
        <f t="shared" si="108"/>
        <v>837.75882317181595</v>
      </c>
      <c r="R150" s="62">
        <f t="shared" si="109"/>
        <v>1131.0921565051492</v>
      </c>
      <c r="S150" s="62">
        <f ca="1">AVERAGE(OFFSET($R$3,0,0,'Données projet'!$E$9+1,1))-AVERAGE(OFFSET($H$3,0,0,'Données projet'!$E$9+1,1))</f>
        <v>581.88778927327667</v>
      </c>
      <c r="T150" s="62">
        <f t="shared" si="142"/>
        <v>269.67340993773422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64.243470333877482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64.243470333877482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354.24684313982857</v>
      </c>
      <c r="AO150" s="62">
        <f t="shared" si="144"/>
        <v>322.65043486962185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44.491027882109158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44.491027882109158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3.2455318432766944E-13</v>
      </c>
      <c r="BF150" s="14">
        <f t="shared" si="145"/>
        <v>4.2513245787534721E-12</v>
      </c>
      <c r="BG150" s="22">
        <f t="shared" si="115"/>
        <v>7.9696537706996534E-12</v>
      </c>
      <c r="BH150" s="62">
        <f t="shared" si="116"/>
        <v>293.33333333334127</v>
      </c>
      <c r="BI150" s="62">
        <f ca="1">AVERAGE(OFFSET($BH$3,0,0,'Données projet'!$E$11+1,1))-AVERAGE(OFFSET($H$3,0,0,'Données projet'!$E$11+1,1))</f>
        <v>460.77543902152325</v>
      </c>
      <c r="BJ150" s="62">
        <f t="shared" si="146"/>
        <v>341.4342976721104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106.71235112322913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106.71235112322913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-5.6843418860808015E-13</v>
      </c>
      <c r="BZ150" s="14">
        <f>BY150*VLOOKUP('Données projet'!$B$12,Paramètres!$A$1:$I$89,3,0)*VLOOKUP('Données projet'!$B$12,Paramètres!$A$1:$I$89,5,0)</f>
        <v>-3.39923644787632E-13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438.68915237247444</v>
      </c>
      <c r="CE150" s="62">
        <f t="shared" si="148"/>
        <v>376.94419168335452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62.300560593070614</v>
      </c>
      <c r="CL150" s="23">
        <f>EXP(-LN(2)/25)*CL149+(1-EXP(-LN(2)/25))/(LN(2)/25)*Calculateur!CG150*Calculateur!CI150*VLOOKUP('Données projet'!$B$12,Paramètres!$A$1:$I$89,3,0)*0.475*44/12</f>
        <v>5.4433900942235605</v>
      </c>
      <c r="CM150" s="23">
        <f>EXP(-LN(2)/2)*CM149+(1-EXP(-LN(2)/2))/(LN(2)/2)*CG150*CJ150*VLOOKUP('Données projet'!$B$12,Paramètres!$A$1:$I$89,3,0)*0.475*44/12</f>
        <v>8.4572393060027927E-10</v>
      </c>
      <c r="CN150" s="24">
        <f t="shared" si="120"/>
        <v>67.743950688139904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-5.1159076974727213E-13</v>
      </c>
      <c r="CU150" s="18">
        <f>CT150*VLOOKUP('Données projet'!$B$13,Paramètres!$A$1:$I$89,3,0)*VLOOKUP('Données projet'!$B$13,Paramètres!$A$1:$I$89,5,0)</f>
        <v>-2.3942448024172334E-13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302.06513069580848</v>
      </c>
      <c r="CZ150" s="62">
        <f t="shared" si="150"/>
        <v>164.1450425611464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135.52729980670077</v>
      </c>
      <c r="DG150" s="23">
        <f>EXP(-LN(2)/25)*DG149+(1-EXP(-LN(2)/25))/(LN(2)/25)*Calculateur!DB150*Calculateur!DD150*VLOOKUP('Données projet'!$B$13,Paramètres!$A$1:$I$89,3,0)*0.475*44/12</f>
        <v>17.561693580441585</v>
      </c>
      <c r="DH150" s="23">
        <f>EXP(-LN(2)/2)*DH149+(1-EXP(-LN(2)/2))/(LN(2)/2)*DB150*DE150*VLOOKUP('Données projet'!$B$13,Paramètres!$A$1:$I$89,3,0)*0.475*44/12</f>
        <v>5.6153285097284809E-2</v>
      </c>
      <c r="DI150" s="24">
        <f t="shared" si="123"/>
        <v>153.14514667223963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8.3249999999999993</v>
      </c>
      <c r="N151" s="14">
        <f>IF('Données projet'!$A$36&gt;35,N150+M151-V150,IF(A151&lt;'Données projet'!$A$36,$K$205^A151,IF(A151='Données projet'!$A$36,'Données projet'!$B$36,N150+M151-V150)))</f>
        <v>440.52000000000055</v>
      </c>
      <c r="O151" s="14">
        <f>N151*VLOOKUP('Données projet'!$B$9,Paramètres!$A$1:$I$89,3,0)*VLOOKUP('Données projet'!$B$9,Paramètres!$A$1:$I$89,5,0)</f>
        <v>398.5824960000005</v>
      </c>
      <c r="P151" s="14">
        <f t="shared" si="141"/>
        <v>91.489228690064536</v>
      </c>
      <c r="Q151" s="22">
        <f t="shared" si="108"/>
        <v>853.54158716852999</v>
      </c>
      <c r="R151" s="62">
        <f t="shared" si="109"/>
        <v>1146.8749205018632</v>
      </c>
      <c r="S151" s="62">
        <f ca="1">AVERAGE(OFFSET($R$3,0,0,'Données projet'!$E$9+1,1))-AVERAGE(OFFSET($H$3,0,0,'Données projet'!$E$9+1,1))</f>
        <v>581.88778927327667</v>
      </c>
      <c r="T151" s="62">
        <f t="shared" si="142"/>
        <v>269.67340993773422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62.983695065277885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62.983695065277885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354.24684313982857</v>
      </c>
      <c r="AO151" s="62">
        <f t="shared" si="144"/>
        <v>322.65043486962185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43.618585962188462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43.618585962188462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3.2455318432766944E-13</v>
      </c>
      <c r="BF151" s="14">
        <f t="shared" si="145"/>
        <v>4.2513245787534721E-12</v>
      </c>
      <c r="BG151" s="22">
        <f t="shared" si="115"/>
        <v>7.9696537706996534E-12</v>
      </c>
      <c r="BH151" s="62">
        <f t="shared" si="116"/>
        <v>293.33333333334127</v>
      </c>
      <c r="BI151" s="62">
        <f ca="1">AVERAGE(OFFSET($BH$3,0,0,'Données projet'!$E$11+1,1))-AVERAGE(OFFSET($H$3,0,0,'Données projet'!$E$11+1,1))</f>
        <v>460.77543902152325</v>
      </c>
      <c r="BJ151" s="62">
        <f t="shared" si="146"/>
        <v>341.4342976721104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104.61978700580987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104.61978700580987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-5.6843418860808015E-13</v>
      </c>
      <c r="BZ151" s="14">
        <f>BY151*VLOOKUP('Données projet'!$B$12,Paramètres!$A$1:$I$89,3,0)*VLOOKUP('Données projet'!$B$12,Paramètres!$A$1:$I$89,5,0)</f>
        <v>-3.39923644787632E-13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438.68915237247444</v>
      </c>
      <c r="CE151" s="62">
        <f t="shared" si="148"/>
        <v>376.94419168335452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61.07888459943031</v>
      </c>
      <c r="CL151" s="23">
        <f>EXP(-LN(2)/25)*CL150+(1-EXP(-LN(2)/25))/(LN(2)/25)*Calculateur!CG151*Calculateur!CI151*VLOOKUP('Données projet'!$B$12,Paramètres!$A$1:$I$89,3,0)*0.475*44/12</f>
        <v>5.294540305841573</v>
      </c>
      <c r="CM151" s="23">
        <f>EXP(-LN(2)/2)*CM150+(1-EXP(-LN(2)/2))/(LN(2)/2)*CG151*CJ151*VLOOKUP('Données projet'!$B$12,Paramètres!$A$1:$I$89,3,0)*0.475*44/12</f>
        <v>5.9801712633919857E-10</v>
      </c>
      <c r="CN151" s="24">
        <f t="shared" si="120"/>
        <v>66.373424905869911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-5.1159076974727213E-13</v>
      </c>
      <c r="CU151" s="18">
        <f>CT151*VLOOKUP('Données projet'!$B$13,Paramètres!$A$1:$I$89,3,0)*VLOOKUP('Données projet'!$B$13,Paramètres!$A$1:$I$89,5,0)</f>
        <v>-2.3942448024172334E-13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302.06513069580848</v>
      </c>
      <c r="CZ151" s="62">
        <f t="shared" si="150"/>
        <v>164.1450425611464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132.86969212098191</v>
      </c>
      <c r="DG151" s="23">
        <f>EXP(-LN(2)/25)*DG150+(1-EXP(-LN(2)/25))/(LN(2)/25)*Calculateur!DB151*Calculateur!DD151*VLOOKUP('Données projet'!$B$13,Paramètres!$A$1:$I$89,3,0)*0.475*44/12</f>
        <v>17.081468145955082</v>
      </c>
      <c r="DH151" s="23">
        <f>EXP(-LN(2)/2)*DH150+(1-EXP(-LN(2)/2))/(LN(2)/2)*DB151*DE151*VLOOKUP('Données projet'!$B$13,Paramètres!$A$1:$I$89,3,0)*0.475*44/12</f>
        <v>3.9706368678191592E-2</v>
      </c>
      <c r="DI151" s="24">
        <f t="shared" si="123"/>
        <v>149.99086663561519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8.3249999999999993</v>
      </c>
      <c r="N152" s="14">
        <f>IF('Données projet'!$A$36&gt;35,N151+M152-V151,IF(A152&lt;'Données projet'!$A$36,$K$205^A152,IF(A152='Données projet'!$A$36,'Données projet'!$B$36,N151+M152-V151)))</f>
        <v>448.84500000000054</v>
      </c>
      <c r="O152" s="14">
        <f>N152*VLOOKUP('Données projet'!$B$9,Paramètres!$A$1:$I$89,3,0)*VLOOKUP('Données projet'!$B$9,Paramètres!$A$1:$I$89,5,0)</f>
        <v>406.11495600000046</v>
      </c>
      <c r="P152" s="14">
        <f t="shared" si="141"/>
        <v>93.015281926133852</v>
      </c>
      <c r="Q152" s="22">
        <f t="shared" si="108"/>
        <v>869.31849772135058</v>
      </c>
      <c r="R152" s="62">
        <f t="shared" si="109"/>
        <v>1162.651831054684</v>
      </c>
      <c r="S152" s="62">
        <f ca="1">AVERAGE(OFFSET($R$3,0,0,'Données projet'!$E$9+1,1))-AVERAGE(OFFSET($H$3,0,0,'Données projet'!$E$9+1,1))</f>
        <v>581.88778927327667</v>
      </c>
      <c r="T152" s="62">
        <f t="shared" si="142"/>
        <v>269.67340993773422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61.748623221308485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61.748623221308485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354.24684313982857</v>
      </c>
      <c r="AO152" s="62">
        <f t="shared" si="144"/>
        <v>322.65043486962185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42.763252096180388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42.763252096180388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3.2455318432766944E-13</v>
      </c>
      <c r="BF152" s="14">
        <f t="shared" si="145"/>
        <v>4.2513245787534721E-12</v>
      </c>
      <c r="BG152" s="22">
        <f t="shared" si="115"/>
        <v>7.9696537706996534E-12</v>
      </c>
      <c r="BH152" s="62">
        <f t="shared" si="116"/>
        <v>293.33333333334127</v>
      </c>
      <c r="BI152" s="62">
        <f ca="1">AVERAGE(OFFSET($BH$3,0,0,'Données projet'!$E$11+1,1))-AVERAGE(OFFSET($H$3,0,0,'Données projet'!$E$11+1,1))</f>
        <v>460.77543902152325</v>
      </c>
      <c r="BJ152" s="62">
        <f t="shared" si="146"/>
        <v>341.4342976721104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102.56825679439513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102.56825679439513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-5.6843418860808015E-13</v>
      </c>
      <c r="BZ152" s="14">
        <f>BY152*VLOOKUP('Données projet'!$B$12,Paramètres!$A$1:$I$89,3,0)*VLOOKUP('Données projet'!$B$12,Paramètres!$A$1:$I$89,5,0)</f>
        <v>-3.39923644787632E-13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438.68915237247444</v>
      </c>
      <c r="CE152" s="62">
        <f t="shared" si="148"/>
        <v>376.94419168335452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59.881164926876515</v>
      </c>
      <c r="CL152" s="23">
        <f>EXP(-LN(2)/25)*CL151+(1-EXP(-LN(2)/25))/(LN(2)/25)*Calculateur!CG152*Calculateur!CI152*VLOOKUP('Données projet'!$B$12,Paramètres!$A$1:$I$89,3,0)*0.475*44/12</f>
        <v>5.1497608227505616</v>
      </c>
      <c r="CM152" s="23">
        <f>EXP(-LN(2)/2)*CM151+(1-EXP(-LN(2)/2))/(LN(2)/2)*CG152*CJ152*VLOOKUP('Données projet'!$B$12,Paramètres!$A$1:$I$89,3,0)*0.475*44/12</f>
        <v>4.2286196530013963E-10</v>
      </c>
      <c r="CN152" s="24">
        <f t="shared" si="120"/>
        <v>65.030925750049931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-5.1159076974727213E-13</v>
      </c>
      <c r="CU152" s="18">
        <f>CT152*VLOOKUP('Données projet'!$B$13,Paramètres!$A$1:$I$89,3,0)*VLOOKUP('Données projet'!$B$13,Paramètres!$A$1:$I$89,5,0)</f>
        <v>-2.3942448024172334E-13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302.06513069580848</v>
      </c>
      <c r="CZ152" s="62">
        <f t="shared" si="150"/>
        <v>164.1450425611464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130.26419850099936</v>
      </c>
      <c r="DG152" s="23">
        <f>EXP(-LN(2)/25)*DG151+(1-EXP(-LN(2)/25))/(LN(2)/25)*Calculateur!DB152*Calculateur!DD152*VLOOKUP('Données projet'!$B$13,Paramètres!$A$1:$I$89,3,0)*0.475*44/12</f>
        <v>16.614374501228571</v>
      </c>
      <c r="DH152" s="23">
        <f>EXP(-LN(2)/2)*DH151+(1-EXP(-LN(2)/2))/(LN(2)/2)*DB152*DE152*VLOOKUP('Données projet'!$B$13,Paramètres!$A$1:$I$89,3,0)*0.475*44/12</f>
        <v>2.8076642548642408E-2</v>
      </c>
      <c r="DI152" s="24">
        <f t="shared" si="123"/>
        <v>146.90664964477659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8.3249999999999993</v>
      </c>
      <c r="N153" s="14">
        <f>IF('Données projet'!$A$36&gt;35,N152+M153-V152,IF(A153&lt;'Données projet'!$A$36,$K$205^A153,IF(A153='Données projet'!$A$36,'Données projet'!$B$36,N152+M153-V152)))</f>
        <v>457.17000000000053</v>
      </c>
      <c r="O153" s="14">
        <f>N153*VLOOKUP('Données projet'!$B$9,Paramètres!$A$1:$I$89,3,0)*VLOOKUP('Données projet'!$B$9,Paramètres!$A$1:$I$89,5,0)</f>
        <v>413.64741600000042</v>
      </c>
      <c r="P153" s="14">
        <f t="shared" si="141"/>
        <v>94.538043857309361</v>
      </c>
      <c r="Q153" s="22">
        <f t="shared" si="108"/>
        <v>885.0896759181478</v>
      </c>
      <c r="R153" s="62">
        <f t="shared" si="109"/>
        <v>1178.4230092514811</v>
      </c>
      <c r="S153" s="62">
        <f ca="1">AVERAGE(OFFSET($R$3,0,0,'Données projet'!$E$9+1,1))-AVERAGE(OFFSET($H$3,0,0,'Données projet'!$E$9+1,1))</f>
        <v>581.88778927327667</v>
      </c>
      <c r="T153" s="62">
        <f t="shared" si="142"/>
        <v>269.67340993773422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60.537770382879884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60.537770382879884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354.24684313982857</v>
      </c>
      <c r="AO153" s="62">
        <f t="shared" si="144"/>
        <v>322.65043486962185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41.924690805582586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41.924690805582586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3.2455318432766944E-13</v>
      </c>
      <c r="BF153" s="14">
        <f t="shared" si="145"/>
        <v>4.2513245787534721E-12</v>
      </c>
      <c r="BG153" s="22">
        <f t="shared" si="115"/>
        <v>7.9696537706996534E-12</v>
      </c>
      <c r="BH153" s="62">
        <f t="shared" si="116"/>
        <v>293.33333333334127</v>
      </c>
      <c r="BI153" s="62">
        <f ca="1">AVERAGE(OFFSET($BH$3,0,0,'Données projet'!$E$11+1,1))-AVERAGE(OFFSET($H$3,0,0,'Données projet'!$E$11+1,1))</f>
        <v>460.77543902152325</v>
      </c>
      <c r="BJ153" s="62">
        <f t="shared" si="146"/>
        <v>341.4342976721104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100.55695583911636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100.55695583911636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-5.6843418860808015E-13</v>
      </c>
      <c r="BZ153" s="14">
        <f>BY153*VLOOKUP('Données projet'!$B$12,Paramètres!$A$1:$I$89,3,0)*VLOOKUP('Données projet'!$B$12,Paramètres!$A$1:$I$89,5,0)</f>
        <v>-3.39923644787632E-13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438.68915237247444</v>
      </c>
      <c r="CE153" s="62">
        <f t="shared" si="148"/>
        <v>376.94419168335452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58.706931806564633</v>
      </c>
      <c r="CL153" s="23">
        <f>EXP(-LN(2)/25)*CL152+(1-EXP(-LN(2)/25))/(LN(2)/25)*Calculateur!CG153*Calculateur!CI153*VLOOKUP('Données projet'!$B$12,Paramètres!$A$1:$I$89,3,0)*0.475*44/12</f>
        <v>5.0089403422382954</v>
      </c>
      <c r="CM153" s="23">
        <f>EXP(-LN(2)/2)*CM152+(1-EXP(-LN(2)/2))/(LN(2)/2)*CG153*CJ153*VLOOKUP('Données projet'!$B$12,Paramètres!$A$1:$I$89,3,0)*0.475*44/12</f>
        <v>2.9900856316959928E-10</v>
      </c>
      <c r="CN153" s="24">
        <f t="shared" si="120"/>
        <v>63.715872149101941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-5.1159076974727213E-13</v>
      </c>
      <c r="CU153" s="18">
        <f>CT153*VLOOKUP('Données projet'!$B$13,Paramètres!$A$1:$I$89,3,0)*VLOOKUP('Données projet'!$B$13,Paramètres!$A$1:$I$89,5,0)</f>
        <v>-2.3942448024172334E-13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302.06513069580848</v>
      </c>
      <c r="CZ153" s="62">
        <f t="shared" si="150"/>
        <v>164.1450425611464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127.70979702171049</v>
      </c>
      <c r="DG153" s="23">
        <f>EXP(-LN(2)/25)*DG152+(1-EXP(-LN(2)/25))/(LN(2)/25)*Calculateur!DB153*Calculateur!DD153*VLOOKUP('Données projet'!$B$13,Paramètres!$A$1:$I$89,3,0)*0.475*44/12</f>
        <v>16.160053556780493</v>
      </c>
      <c r="DH153" s="23">
        <f>EXP(-LN(2)/2)*DH152+(1-EXP(-LN(2)/2))/(LN(2)/2)*DB153*DE153*VLOOKUP('Données projet'!$B$13,Paramètres!$A$1:$I$89,3,0)*0.475*44/12</f>
        <v>1.9853184339095799E-2</v>
      </c>
      <c r="DI153" s="24">
        <f t="shared" si="123"/>
        <v>143.88970376283007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8.3249999999999993</v>
      </c>
      <c r="N154" s="14">
        <f>IF('Données projet'!$A$36&gt;35,N153+M154-V153,IF(A154&lt;'Données projet'!$A$36,$K$205^A154,IF(A154='Données projet'!$A$36,'Données projet'!$B$36,N153+M154-V153)))</f>
        <v>465.49500000000052</v>
      </c>
      <c r="O154" s="14">
        <f>N154*VLOOKUP('Données projet'!$B$9,Paramètres!$A$1:$I$89,3,0)*VLOOKUP('Données projet'!$B$9,Paramètres!$A$1:$I$89,5,0)</f>
        <v>421.17987600000043</v>
      </c>
      <c r="P154" s="14">
        <f t="shared" si="141"/>
        <v>96.057581330707137</v>
      </c>
      <c r="Q154" s="22">
        <f t="shared" ref="Q154:Q203" si="162">(O154+P154)*0.475*44/12</f>
        <v>900.85523818431557</v>
      </c>
      <c r="R154" s="62">
        <f t="shared" si="109"/>
        <v>1194.1885715176488</v>
      </c>
      <c r="S154" s="62">
        <f ca="1">AVERAGE(OFFSET($R$3,0,0,'Données projet'!$E$9+1,1))-AVERAGE(OFFSET($H$3,0,0,'Données projet'!$E$9+1,1))</f>
        <v>581.88778927327667</v>
      </c>
      <c r="T154" s="62">
        <f t="shared" si="142"/>
        <v>269.67340993773422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59.350661630065559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59.350661630065559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354.24684313982857</v>
      </c>
      <c r="AO154" s="62">
        <f t="shared" si="144"/>
        <v>322.65043486962185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41.102573190421523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41.102573190421523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3.2455318432766944E-13</v>
      </c>
      <c r="BF154" s="14">
        <f t="shared" ref="BF154:BF203" si="167">EXP(-1.0587+0.8836*LN(BE154)+0.284)</f>
        <v>4.2513245787534721E-12</v>
      </c>
      <c r="BG154" s="22">
        <f t="shared" ref="BG154:BG203" si="168">(BE154+BF154)*0.475*44/12</f>
        <v>7.9696537706996534E-12</v>
      </c>
      <c r="BH154" s="62">
        <f t="shared" si="116"/>
        <v>293.33333333334127</v>
      </c>
      <c r="BI154" s="62">
        <f ca="1">AVERAGE(OFFSET($BH$3,0,0,'Données projet'!$E$11+1,1))-AVERAGE(OFFSET($H$3,0,0,'Données projet'!$E$11+1,1))</f>
        <v>460.77543902152325</v>
      </c>
      <c r="BJ154" s="62">
        <f t="shared" si="146"/>
        <v>341.4342976721104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98.585095268798142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98.585095268798142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-5.6843418860808015E-13</v>
      </c>
      <c r="BZ154" s="14">
        <f>BY154*VLOOKUP('Données projet'!$B$12,Paramètres!$A$1:$I$89,3,0)*VLOOKUP('Données projet'!$B$12,Paramètres!$A$1:$I$89,5,0)</f>
        <v>-3.39923644787632E-13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438.68915237247444</v>
      </c>
      <c r="CE154" s="62">
        <f t="shared" si="148"/>
        <v>376.94419168335452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57.555724681530585</v>
      </c>
      <c r="CL154" s="23">
        <f>EXP(-LN(2)/25)*CL153+(1-EXP(-LN(2)/25))/(LN(2)/25)*Calculateur!CG154*Calculateur!CI154*VLOOKUP('Données projet'!$B$12,Paramètres!$A$1:$I$89,3,0)*0.475*44/12</f>
        <v>4.8719706051710645</v>
      </c>
      <c r="CM154" s="23">
        <f>EXP(-LN(2)/2)*CM153+(1-EXP(-LN(2)/2))/(LN(2)/2)*CG154*CJ154*VLOOKUP('Données projet'!$B$12,Paramètres!$A$1:$I$89,3,0)*0.475*44/12</f>
        <v>2.1143098265006982E-10</v>
      </c>
      <c r="CN154" s="24">
        <f t="shared" ref="CN154:CN203" si="172">SUM(CK154:CM154)</f>
        <v>62.427695286913078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-5.1159076974727213E-13</v>
      </c>
      <c r="CU154" s="18">
        <f>CT154*VLOOKUP('Données projet'!$B$13,Paramètres!$A$1:$I$89,3,0)*VLOOKUP('Données projet'!$B$13,Paramètres!$A$1:$I$89,5,0)</f>
        <v>-2.3942448024172334E-13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302.06513069580848</v>
      </c>
      <c r="CZ154" s="62">
        <f t="shared" si="150"/>
        <v>164.1450425611464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125.2054857973994</v>
      </c>
      <c r="DG154" s="23">
        <f>EXP(-LN(2)/25)*DG153+(1-EXP(-LN(2)/25))/(LN(2)/25)*Calculateur!DB154*Calculateur!DD154*VLOOKUP('Données projet'!$B$13,Paramètres!$A$1:$I$89,3,0)*0.475*44/12</f>
        <v>15.718156042450049</v>
      </c>
      <c r="DH154" s="23">
        <f>EXP(-LN(2)/2)*DH153+(1-EXP(-LN(2)/2))/(LN(2)/2)*DB154*DE154*VLOOKUP('Données projet'!$B$13,Paramètres!$A$1:$I$89,3,0)*0.475*44/12</f>
        <v>1.4038321274321206E-2</v>
      </c>
      <c r="DI154" s="24">
        <f t="shared" ref="DI154:DI203" si="175">SUM(DF154:DH154)</f>
        <v>140.93768016112378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8.3249999999999993</v>
      </c>
      <c r="N155" s="14">
        <f>IF('Données projet'!$A$36&gt;35,N154+M155-V154,IF(A155&lt;'Données projet'!$A$36,$K$205^A155,IF(A155='Données projet'!$A$36,'Données projet'!$B$36,N154+M155-V154)))</f>
        <v>473.8200000000005</v>
      </c>
      <c r="O155" s="14">
        <f>N155*VLOOKUP('Données projet'!$B$9,Paramètres!$A$1:$I$89,3,0)*VLOOKUP('Données projet'!$B$9,Paramètres!$A$1:$I$89,5,0)</f>
        <v>428.71233600000051</v>
      </c>
      <c r="P155" s="14">
        <f t="shared" si="141"/>
        <v>97.57395866550209</v>
      </c>
      <c r="Q155" s="22">
        <f t="shared" si="162"/>
        <v>916.61529654241701</v>
      </c>
      <c r="R155" s="62">
        <f t="shared" si="109"/>
        <v>1209.9486298757504</v>
      </c>
      <c r="S155" s="62">
        <f ca="1">AVERAGE(OFFSET($R$3,0,0,'Données projet'!$E$9+1,1))-AVERAGE(OFFSET($H$3,0,0,'Données projet'!$E$9+1,1))</f>
        <v>581.88778927327667</v>
      </c>
      <c r="T155" s="62">
        <f t="shared" si="142"/>
        <v>269.67340993773422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58.186831355829085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58.186831355829085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354.24684313982857</v>
      </c>
      <c r="AO155" s="62">
        <f t="shared" si="144"/>
        <v>322.65043486962185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40.296576800251536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40.296576800251536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3.2455318432766944E-13</v>
      </c>
      <c r="BF155" s="14">
        <f t="shared" si="167"/>
        <v>4.2513245787534721E-12</v>
      </c>
      <c r="BG155" s="22">
        <f t="shared" si="168"/>
        <v>7.9696537706996534E-12</v>
      </c>
      <c r="BH155" s="62">
        <f t="shared" si="116"/>
        <v>293.33333333334127</v>
      </c>
      <c r="BI155" s="62">
        <f ca="1">AVERAGE(OFFSET($BH$3,0,0,'Données projet'!$E$11+1,1))-AVERAGE(OFFSET($H$3,0,0,'Données projet'!$E$11+1,1))</f>
        <v>460.77543902152325</v>
      </c>
      <c r="BJ155" s="62">
        <f t="shared" si="146"/>
        <v>341.4342976721104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96.651901681547685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96.651901681547685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-5.6843418860808015E-13</v>
      </c>
      <c r="BZ155" s="14">
        <f>BY155*VLOOKUP('Données projet'!$B$12,Paramètres!$A$1:$I$89,3,0)*VLOOKUP('Données projet'!$B$12,Paramètres!$A$1:$I$89,5,0)</f>
        <v>-3.39923644787632E-13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438.68915237247444</v>
      </c>
      <c r="CE155" s="62">
        <f t="shared" si="148"/>
        <v>376.94419168335452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56.42709202605144</v>
      </c>
      <c r="CL155" s="23">
        <f>EXP(-LN(2)/25)*CL154+(1-EXP(-LN(2)/25))/(LN(2)/25)*Calculateur!CG155*Calculateur!CI155*VLOOKUP('Données projet'!$B$12,Paramètres!$A$1:$I$89,3,0)*0.475*44/12</f>
        <v>4.738746312766863</v>
      </c>
      <c r="CM155" s="23">
        <f>EXP(-LN(2)/2)*CM154+(1-EXP(-LN(2)/2))/(LN(2)/2)*CG155*CJ155*VLOOKUP('Données projet'!$B$12,Paramètres!$A$1:$I$89,3,0)*0.475*44/12</f>
        <v>1.4950428158479964E-10</v>
      </c>
      <c r="CN155" s="24">
        <f t="shared" si="172"/>
        <v>61.165838338967809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-5.1159076974727213E-13</v>
      </c>
      <c r="CU155" s="18">
        <f>CT155*VLOOKUP('Données projet'!$B$13,Paramètres!$A$1:$I$89,3,0)*VLOOKUP('Données projet'!$B$13,Paramètres!$A$1:$I$89,5,0)</f>
        <v>-2.3942448024172334E-13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302.06513069580848</v>
      </c>
      <c r="CZ155" s="62">
        <f t="shared" si="150"/>
        <v>164.1450425611464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122.75028258871805</v>
      </c>
      <c r="DG155" s="23">
        <f>EXP(-LN(2)/25)*DG154+(1-EXP(-LN(2)/25))/(LN(2)/25)*Calculateur!DB155*Calculateur!DD155*VLOOKUP('Données projet'!$B$13,Paramètres!$A$1:$I$89,3,0)*0.475*44/12</f>
        <v>15.288342238887351</v>
      </c>
      <c r="DH155" s="23">
        <f>EXP(-LN(2)/2)*DH154+(1-EXP(-LN(2)/2))/(LN(2)/2)*DB155*DE155*VLOOKUP('Données projet'!$B$13,Paramètres!$A$1:$I$89,3,0)*0.475*44/12</f>
        <v>9.9265921695478997E-3</v>
      </c>
      <c r="DI155" s="24">
        <f t="shared" si="175"/>
        <v>138.04855141977492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8.3249999999999993</v>
      </c>
      <c r="N156" s="14">
        <f>IF('Données projet'!$A$36&gt;35,N155+M156-V155,IF(A156&lt;'Données projet'!$A$36,$K$205^A156,IF(A156='Données projet'!$A$36,'Données projet'!$B$36,N155+M156-V155)))</f>
        <v>482.14500000000049</v>
      </c>
      <c r="O156" s="14">
        <f>N156*VLOOKUP('Données projet'!$B$9,Paramètres!$A$1:$I$89,3,0)*VLOOKUP('Données projet'!$B$9,Paramètres!$A$1:$I$89,5,0)</f>
        <v>436.24479600000041</v>
      </c>
      <c r="P156" s="14">
        <f t="shared" si="141"/>
        <v>99.087237791231857</v>
      </c>
      <c r="Q156" s="22">
        <f t="shared" si="162"/>
        <v>932.36995885306271</v>
      </c>
      <c r="R156" s="62">
        <f t="shared" si="109"/>
        <v>1225.7032921863961</v>
      </c>
      <c r="S156" s="62">
        <f ca="1">AVERAGE(OFFSET($R$3,0,0,'Données projet'!$E$9+1,1))-AVERAGE(OFFSET($H$3,0,0,'Données projet'!$E$9+1,1))</f>
        <v>581.88778927327667</v>
      </c>
      <c r="T156" s="62">
        <f t="shared" si="142"/>
        <v>269.67340993773422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57.045823083404009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57.045823083404009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354.24684313982857</v>
      </c>
      <c r="AO156" s="62">
        <f t="shared" si="144"/>
        <v>322.65043486962185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39.506385507683525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39.506385507683525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3.2455318432766944E-13</v>
      </c>
      <c r="BF156" s="14">
        <f t="shared" si="167"/>
        <v>4.2513245787534721E-12</v>
      </c>
      <c r="BG156" s="22">
        <f t="shared" si="168"/>
        <v>7.9696537706996534E-12</v>
      </c>
      <c r="BH156" s="62">
        <f t="shared" si="116"/>
        <v>293.33333333334127</v>
      </c>
      <c r="BI156" s="62">
        <f ca="1">AVERAGE(OFFSET($BH$3,0,0,'Données projet'!$E$11+1,1))-AVERAGE(OFFSET($H$3,0,0,'Données projet'!$E$11+1,1))</f>
        <v>460.77543902152325</v>
      </c>
      <c r="BJ156" s="62">
        <f t="shared" si="146"/>
        <v>341.4342976721104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94.756616841411557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94.756616841411557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-5.6843418860808015E-13</v>
      </c>
      <c r="BZ156" s="14">
        <f>BY156*VLOOKUP('Données projet'!$B$12,Paramètres!$A$1:$I$89,3,0)*VLOOKUP('Données projet'!$B$12,Paramètres!$A$1:$I$89,5,0)</f>
        <v>-3.39923644787632E-13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438.68915237247444</v>
      </c>
      <c r="CE156" s="62">
        <f t="shared" si="148"/>
        <v>376.94419168335452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55.320591168548297</v>
      </c>
      <c r="CL156" s="23">
        <f>EXP(-LN(2)/25)*CL155+(1-EXP(-LN(2)/25))/(LN(2)/25)*Calculateur!CG156*Calculateur!CI156*VLOOKUP('Données projet'!$B$12,Paramètres!$A$1:$I$89,3,0)*0.475*44/12</f>
        <v>4.6091650456444153</v>
      </c>
      <c r="CM156" s="23">
        <f>EXP(-LN(2)/2)*CM155+(1-EXP(-LN(2)/2))/(LN(2)/2)*CG156*CJ156*VLOOKUP('Données projet'!$B$12,Paramètres!$A$1:$I$89,3,0)*0.475*44/12</f>
        <v>1.0571549132503491E-10</v>
      </c>
      <c r="CN156" s="24">
        <f t="shared" si="172"/>
        <v>59.929756214298429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-5.1159076974727213E-13</v>
      </c>
      <c r="CU156" s="18">
        <f>CT156*VLOOKUP('Données projet'!$B$13,Paramètres!$A$1:$I$89,3,0)*VLOOKUP('Données projet'!$B$13,Paramètres!$A$1:$I$89,5,0)</f>
        <v>-2.3942448024172334E-13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302.06513069580848</v>
      </c>
      <c r="CZ156" s="62">
        <f t="shared" si="150"/>
        <v>164.1450425611464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120.34322441743284</v>
      </c>
      <c r="DG156" s="23">
        <f>EXP(-LN(2)/25)*DG155+(1-EXP(-LN(2)/25))/(LN(2)/25)*Calculateur!DB156*Calculateur!DD156*VLOOKUP('Données projet'!$B$13,Paramètres!$A$1:$I$89,3,0)*0.475*44/12</f>
        <v>14.870281716386</v>
      </c>
      <c r="DH156" s="23">
        <f>EXP(-LN(2)/2)*DH155+(1-EXP(-LN(2)/2))/(LN(2)/2)*DB156*DE156*VLOOKUP('Données projet'!$B$13,Paramètres!$A$1:$I$89,3,0)*0.475*44/12</f>
        <v>7.0191606371606029E-3</v>
      </c>
      <c r="DI156" s="24">
        <f t="shared" si="175"/>
        <v>135.220525294456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>
        <f>VLOOKUP(A157,'Données projet'!$A$35:$I$55,2,0)</f>
        <v>490.47</v>
      </c>
      <c r="L157" s="13">
        <f>VLOOKUP(A157,'Données projet'!$A$35:$I$55,9,0)</f>
        <v>8.3249999999999993</v>
      </c>
      <c r="M157" s="13">
        <f t="array" ref="M157">INDEX(L:L,MIN(IF(ISNUMBER(L157:L353),ROW(L157:L353),"")))</f>
        <v>8.3249999999999993</v>
      </c>
      <c r="N157" s="14">
        <f>IF('Données projet'!$A$36&gt;35,N156+M157-V156,IF(A157&lt;'Données projet'!$A$36,$K$205^A157,IF(A157='Données projet'!$A$36,'Données projet'!$B$36,N156+M157-V156)))</f>
        <v>490.47000000000048</v>
      </c>
      <c r="O157" s="14">
        <f>N157*VLOOKUP('Données projet'!$B$9,Paramètres!$A$1:$I$89,3,0)*VLOOKUP('Données projet'!$B$9,Paramètres!$A$1:$I$89,5,0)</f>
        <v>443.77725600000048</v>
      </c>
      <c r="P157" s="14">
        <f t="shared" si="141"/>
        <v>100.59747837627934</v>
      </c>
      <c r="Q157" s="22">
        <f t="shared" si="162"/>
        <v>948.11932903868717</v>
      </c>
      <c r="R157" s="62">
        <f t="shared" si="109"/>
        <v>1241.4526623720205</v>
      </c>
      <c r="S157" s="62">
        <f ca="1">AVERAGE(OFFSET($R$3,0,0,'Données projet'!$E$9+1,1))-AVERAGE(OFFSET($H$3,0,0,'Données projet'!$E$9+1,1))</f>
        <v>581.88778927327667</v>
      </c>
      <c r="T157" s="62">
        <f t="shared" si="142"/>
        <v>269.67340993773422</v>
      </c>
      <c r="U157" s="16">
        <f>IF(ISNA(VLOOKUP(A157,'Données projet'!$A$35:$I$55,3,0)),0,VLOOKUP(A157,'Données projet'!$A$35:$I$55,3,0))</f>
        <v>13</v>
      </c>
      <c r="V157" s="16">
        <f>IF(ISNA(VLOOKUP(A157,'Données projet'!$A$35:$I$55,4,0)),0,VLOOKUP(A157,'Données projet'!$A$35:$I$55,4,0))</f>
        <v>55.13</v>
      </c>
      <c r="W157" s="17">
        <f>IF(ISNA(VLOOKUP(A157,'Données projet'!$A$35:$I$55,5,0)),0%,VLOOKUP(A157,'Données projet'!$A$35:$I$55,5,0)*VLOOKUP('Données projet'!$B$9,Paramètres!$A$1:$I$89,7,0))</f>
        <v>0.30099999999999999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72.525129289569833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72.525129289569833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354.24684313982857</v>
      </c>
      <c r="AO157" s="62">
        <f t="shared" si="144"/>
        <v>322.65043486962185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38.731689384393675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38.731689384393675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3.2455318432766944E-13</v>
      </c>
      <c r="BF157" s="14">
        <f t="shared" si="167"/>
        <v>4.2513245787534721E-12</v>
      </c>
      <c r="BG157" s="22">
        <f t="shared" si="168"/>
        <v>7.9696537706996534E-12</v>
      </c>
      <c r="BH157" s="62">
        <f t="shared" si="116"/>
        <v>293.33333333334127</v>
      </c>
      <c r="BI157" s="62">
        <f ca="1">AVERAGE(OFFSET($BH$3,0,0,'Données projet'!$E$11+1,1))-AVERAGE(OFFSET($H$3,0,0,'Données projet'!$E$11+1,1))</f>
        <v>460.77543902152325</v>
      </c>
      <c r="BJ157" s="62">
        <f t="shared" si="146"/>
        <v>341.4342976721104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92.898497380980885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92.898497380980885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-5.6843418860808015E-13</v>
      </c>
      <c r="BZ157" s="14">
        <f>BY157*VLOOKUP('Données projet'!$B$12,Paramètres!$A$1:$I$89,3,0)*VLOOKUP('Données projet'!$B$12,Paramètres!$A$1:$I$89,5,0)</f>
        <v>-3.39923644787632E-13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438.68915237247444</v>
      </c>
      <c r="CE157" s="62">
        <f t="shared" si="148"/>
        <v>376.94419168335452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54.23578811796191</v>
      </c>
      <c r="CL157" s="23">
        <f>EXP(-LN(2)/25)*CL156+(1-EXP(-LN(2)/25))/(LN(2)/25)*Calculateur!CG157*Calculateur!CI157*VLOOKUP('Données projet'!$B$12,Paramètres!$A$1:$I$89,3,0)*0.475*44/12</f>
        <v>4.483127185085813</v>
      </c>
      <c r="CM157" s="23">
        <f>EXP(-LN(2)/2)*CM156+(1-EXP(-LN(2)/2))/(LN(2)/2)*CG157*CJ157*VLOOKUP('Données projet'!$B$12,Paramètres!$A$1:$I$89,3,0)*0.475*44/12</f>
        <v>7.4752140792399821E-11</v>
      </c>
      <c r="CN157" s="24">
        <f t="shared" si="172"/>
        <v>58.718915303122472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-5.1159076974727213E-13</v>
      </c>
      <c r="CU157" s="18">
        <f>CT157*VLOOKUP('Données projet'!$B$13,Paramètres!$A$1:$I$89,3,0)*VLOOKUP('Données projet'!$B$13,Paramètres!$A$1:$I$89,5,0)</f>
        <v>-2.3942448024172334E-13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302.06513069580848</v>
      </c>
      <c r="CZ157" s="62">
        <f t="shared" si="150"/>
        <v>164.1450425611464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117.98336718872602</v>
      </c>
      <c r="DG157" s="23">
        <f>EXP(-LN(2)/25)*DG156+(1-EXP(-LN(2)/25))/(LN(2)/25)*Calculateur!DB157*Calculateur!DD157*VLOOKUP('Données projet'!$B$13,Paramètres!$A$1:$I$89,3,0)*0.475*44/12</f>
        <v>14.463653080857295</v>
      </c>
      <c r="DH157" s="23">
        <f>EXP(-LN(2)/2)*DH156+(1-EXP(-LN(2)/2))/(LN(2)/2)*DB157*DE157*VLOOKUP('Données projet'!$B$13,Paramètres!$A$1:$I$89,3,0)*0.475*44/12</f>
        <v>4.9632960847739499E-3</v>
      </c>
      <c r="DI157" s="24">
        <f t="shared" si="175"/>
        <v>132.45198356566809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8.4429999999999943</v>
      </c>
      <c r="N158" s="14">
        <f>IF('Données projet'!$A$36&gt;35,N157+M158-V157,IF(A158&lt;'Données projet'!$A$36,$K$205^A158,IF(A158='Données projet'!$A$36,'Données projet'!$B$36,N157+M158-V157)))</f>
        <v>443.78300000000047</v>
      </c>
      <c r="O158" s="14">
        <f>N158*VLOOKUP('Données projet'!$B$9,Paramètres!$A$1:$I$89,3,0)*VLOOKUP('Données projet'!$B$9,Paramètres!$A$1:$I$89,5,0)</f>
        <v>401.53485840000047</v>
      </c>
      <c r="P158" s="14">
        <f t="shared" si="141"/>
        <v>92.087764815279797</v>
      </c>
      <c r="Q158" s="22">
        <f t="shared" si="162"/>
        <v>859.72606876661303</v>
      </c>
      <c r="R158" s="62">
        <f t="shared" si="109"/>
        <v>1153.0594020999463</v>
      </c>
      <c r="S158" s="62">
        <f ca="1">AVERAGE(OFFSET($R$3,0,0,'Données projet'!$E$9+1,1))-AVERAGE(OFFSET($H$3,0,0,'Données projet'!$E$9+1,1))</f>
        <v>581.88778927327667</v>
      </c>
      <c r="T158" s="62">
        <f t="shared" si="142"/>
        <v>269.67340993773422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71.102955740162301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71.102955740162301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354.24684313982857</v>
      </c>
      <c r="AO158" s="62">
        <f t="shared" si="144"/>
        <v>322.65043486962185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37.972184579563567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37.972184579563567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3.2455318432766944E-13</v>
      </c>
      <c r="BF158" s="14">
        <f t="shared" si="167"/>
        <v>4.2513245787534721E-12</v>
      </c>
      <c r="BG158" s="22">
        <f t="shared" si="168"/>
        <v>7.9696537706996534E-12</v>
      </c>
      <c r="BH158" s="62">
        <f t="shared" si="116"/>
        <v>293.33333333334127</v>
      </c>
      <c r="BI158" s="62">
        <f ca="1">AVERAGE(OFFSET($BH$3,0,0,'Données projet'!$E$11+1,1))-AVERAGE(OFFSET($H$3,0,0,'Données projet'!$E$11+1,1))</f>
        <v>460.77543902152325</v>
      </c>
      <c r="BJ158" s="62">
        <f t="shared" si="146"/>
        <v>341.4342976721104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91.076814509828296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91.076814509828296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-5.6843418860808015E-13</v>
      </c>
      <c r="BZ158" s="14">
        <f>BY158*VLOOKUP('Données projet'!$B$12,Paramètres!$A$1:$I$89,3,0)*VLOOKUP('Données projet'!$B$12,Paramètres!$A$1:$I$89,5,0)</f>
        <v>-3.39923644787632E-13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438.68915237247444</v>
      </c>
      <c r="CE158" s="62">
        <f t="shared" si="148"/>
        <v>376.94419168335452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53.172257393532995</v>
      </c>
      <c r="CL158" s="23">
        <f>EXP(-LN(2)/25)*CL157+(1-EXP(-LN(2)/25))/(LN(2)/25)*Calculateur!CG158*Calculateur!CI158*VLOOKUP('Données projet'!$B$12,Paramètres!$A$1:$I$89,3,0)*0.475*44/12</f>
        <v>4.3605358364522289</v>
      </c>
      <c r="CM158" s="23">
        <f>EXP(-LN(2)/2)*CM157+(1-EXP(-LN(2)/2))/(LN(2)/2)*CG158*CJ158*VLOOKUP('Données projet'!$B$12,Paramètres!$A$1:$I$89,3,0)*0.475*44/12</f>
        <v>5.2857745662517454E-11</v>
      </c>
      <c r="CN158" s="24">
        <f t="shared" si="172"/>
        <v>57.532793230038081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-5.1159076974727213E-13</v>
      </c>
      <c r="CU158" s="18">
        <f>CT158*VLOOKUP('Données projet'!$B$13,Paramètres!$A$1:$I$89,3,0)*VLOOKUP('Données projet'!$B$13,Paramètres!$A$1:$I$89,5,0)</f>
        <v>-2.3942448024172334E-13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302.06513069580848</v>
      </c>
      <c r="CZ158" s="62">
        <f t="shared" si="150"/>
        <v>164.1450425611464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115.66978532090336</v>
      </c>
      <c r="DG158" s="23">
        <f>EXP(-LN(2)/25)*DG157+(1-EXP(-LN(2)/25))/(LN(2)/25)*Calculateur!DB158*Calculateur!DD158*VLOOKUP('Données projet'!$B$13,Paramètres!$A$1:$I$89,3,0)*0.475*44/12</f>
        <v>14.068143726750794</v>
      </c>
      <c r="DH158" s="23">
        <f>EXP(-LN(2)/2)*DH157+(1-EXP(-LN(2)/2))/(LN(2)/2)*DB158*DE158*VLOOKUP('Données projet'!$B$13,Paramètres!$A$1:$I$89,3,0)*0.475*44/12</f>
        <v>3.5095803185803015E-3</v>
      </c>
      <c r="DI158" s="24">
        <f t="shared" si="175"/>
        <v>129.74143862797274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8.4429999999999943</v>
      </c>
      <c r="N159" s="14">
        <f>IF('Données projet'!$A$36&gt;35,N158+M159-V158,IF(A159&lt;'Données projet'!$A$36,$K$205^A159,IF(A159='Données projet'!$A$36,'Données projet'!$B$36,N158+M159-V158)))</f>
        <v>452.22600000000045</v>
      </c>
      <c r="O159" s="14">
        <f>N159*VLOOKUP('Données projet'!$B$9,Paramètres!$A$1:$I$89,3,0)*VLOOKUP('Données projet'!$B$9,Paramètres!$A$1:$I$89,5,0)</f>
        <v>409.1740848000004</v>
      </c>
      <c r="P159" s="14">
        <f t="shared" si="141"/>
        <v>93.634108404325715</v>
      </c>
      <c r="Q159" s="22">
        <f t="shared" si="162"/>
        <v>875.72426983086791</v>
      </c>
      <c r="R159" s="62">
        <f t="shared" si="109"/>
        <v>1169.0576031642013</v>
      </c>
      <c r="S159" s="62">
        <f ca="1">AVERAGE(OFFSET($R$3,0,0,'Données projet'!$E$9+1,1))-AVERAGE(OFFSET($H$3,0,0,'Données projet'!$E$9+1,1))</f>
        <v>581.88778927327667</v>
      </c>
      <c r="T159" s="62">
        <f t="shared" si="142"/>
        <v>269.67340993773422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69.708670146618431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69.708670146618431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354.24684313982857</v>
      </c>
      <c r="AO159" s="62">
        <f t="shared" si="144"/>
        <v>322.65043486962185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37.227573200703986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37.227573200703986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3.2455318432766944E-13</v>
      </c>
      <c r="BF159" s="14">
        <f t="shared" si="167"/>
        <v>4.2513245787534721E-12</v>
      </c>
      <c r="BG159" s="22">
        <f t="shared" si="168"/>
        <v>7.9696537706996534E-12</v>
      </c>
      <c r="BH159" s="62">
        <f t="shared" si="116"/>
        <v>293.33333333334127</v>
      </c>
      <c r="BI159" s="62">
        <f ca="1">AVERAGE(OFFSET($BH$3,0,0,'Données projet'!$E$11+1,1))-AVERAGE(OFFSET($H$3,0,0,'Données projet'!$E$11+1,1))</f>
        <v>460.77543902152325</v>
      </c>
      <c r="BJ159" s="62">
        <f t="shared" si="146"/>
        <v>341.4342976721104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89.290853728662171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89.290853728662171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-5.6843418860808015E-13</v>
      </c>
      <c r="BZ159" s="14">
        <f>BY159*VLOOKUP('Données projet'!$B$12,Paramètres!$A$1:$I$89,3,0)*VLOOKUP('Données projet'!$B$12,Paramètres!$A$1:$I$89,5,0)</f>
        <v>-3.39923644787632E-13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438.68915237247444</v>
      </c>
      <c r="CE159" s="62">
        <f t="shared" si="148"/>
        <v>376.94419168335452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52.129581857920442</v>
      </c>
      <c r="CL159" s="23">
        <f>EXP(-LN(2)/25)*CL158+(1-EXP(-LN(2)/25))/(LN(2)/25)*Calculateur!CG159*Calculateur!CI159*VLOOKUP('Données projet'!$B$12,Paramètres!$A$1:$I$89,3,0)*0.475*44/12</f>
        <v>4.2412967546938294</v>
      </c>
      <c r="CM159" s="23">
        <f>EXP(-LN(2)/2)*CM158+(1-EXP(-LN(2)/2))/(LN(2)/2)*CG159*CJ159*VLOOKUP('Données projet'!$B$12,Paramètres!$A$1:$I$89,3,0)*0.475*44/12</f>
        <v>3.7376070396199911E-11</v>
      </c>
      <c r="CN159" s="24">
        <f t="shared" si="172"/>
        <v>56.370878612651644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-5.1159076974727213E-13</v>
      </c>
      <c r="CU159" s="18">
        <f>CT159*VLOOKUP('Données projet'!$B$13,Paramètres!$A$1:$I$89,3,0)*VLOOKUP('Données projet'!$B$13,Paramètres!$A$1:$I$89,5,0)</f>
        <v>-2.3942448024172334E-13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302.06513069580848</v>
      </c>
      <c r="CZ159" s="62">
        <f t="shared" si="150"/>
        <v>164.1450425611464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113.4015713823631</v>
      </c>
      <c r="DG159" s="23">
        <f>EXP(-LN(2)/25)*DG158+(1-EXP(-LN(2)/25))/(LN(2)/25)*Calculateur!DB159*Calculateur!DD159*VLOOKUP('Données projet'!$B$13,Paramètres!$A$1:$I$89,3,0)*0.475*44/12</f>
        <v>13.683449596731268</v>
      </c>
      <c r="DH159" s="23">
        <f>EXP(-LN(2)/2)*DH158+(1-EXP(-LN(2)/2))/(LN(2)/2)*DB159*DE159*VLOOKUP('Données projet'!$B$13,Paramètres!$A$1:$I$89,3,0)*0.475*44/12</f>
        <v>2.4816480423869749E-3</v>
      </c>
      <c r="DI159" s="24">
        <f t="shared" si="175"/>
        <v>127.08750262713676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8.4429999999999943</v>
      </c>
      <c r="N160" s="14">
        <f>IF('Données projet'!$A$36&gt;35,N159+M160-V159,IF(A160&lt;'Données projet'!$A$36,$K$205^A160,IF(A160='Données projet'!$A$36,'Données projet'!$B$36,N159+M160-V159)))</f>
        <v>460.66900000000044</v>
      </c>
      <c r="O160" s="14">
        <f>N160*VLOOKUP('Données projet'!$B$9,Paramètres!$A$1:$I$89,3,0)*VLOOKUP('Données projet'!$B$9,Paramètres!$A$1:$I$89,5,0)</f>
        <v>416.81331120000038</v>
      </c>
      <c r="P160" s="14">
        <f t="shared" si="141"/>
        <v>95.177094964322421</v>
      </c>
      <c r="Q160" s="22">
        <f t="shared" si="162"/>
        <v>891.71662406952885</v>
      </c>
      <c r="R160" s="62">
        <f t="shared" si="109"/>
        <v>1185.0499574028622</v>
      </c>
      <c r="S160" s="62">
        <f ca="1">AVERAGE(OFFSET($R$3,0,0,'Données projet'!$E$9+1,1))-AVERAGE(OFFSET($H$3,0,0,'Données projet'!$E$9+1,1))</f>
        <v>581.88778927327667</v>
      </c>
      <c r="T160" s="62">
        <f t="shared" si="142"/>
        <v>269.67340993773422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68.341725643133714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68.341725643133714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354.24684313982857</v>
      </c>
      <c r="AO160" s="62">
        <f t="shared" si="144"/>
        <v>322.65043486962185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36.497563196815747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36.497563196815747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3.2455318432766944E-13</v>
      </c>
      <c r="BF160" s="14">
        <f t="shared" si="167"/>
        <v>4.2513245787534721E-12</v>
      </c>
      <c r="BG160" s="22">
        <f t="shared" si="168"/>
        <v>7.9696537706996534E-12</v>
      </c>
      <c r="BH160" s="62">
        <f t="shared" si="116"/>
        <v>293.33333333334127</v>
      </c>
      <c r="BI160" s="62">
        <f ca="1">AVERAGE(OFFSET($BH$3,0,0,'Données projet'!$E$11+1,1))-AVERAGE(OFFSET($H$3,0,0,'Données projet'!$E$11+1,1))</f>
        <v>460.77543902152325</v>
      </c>
      <c r="BJ160" s="62">
        <f t="shared" si="146"/>
        <v>341.4342976721104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87.539914549086205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87.539914549086205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-5.6843418860808015E-13</v>
      </c>
      <c r="BZ160" s="14">
        <f>BY160*VLOOKUP('Données projet'!$B$12,Paramètres!$A$1:$I$89,3,0)*VLOOKUP('Données projet'!$B$12,Paramètres!$A$1:$I$89,5,0)</f>
        <v>-3.39923644787632E-13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438.68915237247444</v>
      </c>
      <c r="CE160" s="62">
        <f t="shared" si="148"/>
        <v>376.94419168335452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51.107352553591973</v>
      </c>
      <c r="CL160" s="23">
        <f>EXP(-LN(2)/25)*CL159+(1-EXP(-LN(2)/25))/(LN(2)/25)*Calculateur!CG160*Calculateur!CI160*VLOOKUP('Données projet'!$B$12,Paramètres!$A$1:$I$89,3,0)*0.475*44/12</f>
        <v>4.1253182718966235</v>
      </c>
      <c r="CM160" s="23">
        <f>EXP(-LN(2)/2)*CM159+(1-EXP(-LN(2)/2))/(LN(2)/2)*CG160*CJ160*VLOOKUP('Données projet'!$B$12,Paramètres!$A$1:$I$89,3,0)*0.475*44/12</f>
        <v>2.6428872831258727E-11</v>
      </c>
      <c r="CN160" s="24">
        <f t="shared" si="172"/>
        <v>55.232670825515029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-5.1159076974727213E-13</v>
      </c>
      <c r="CU160" s="18">
        <f>CT160*VLOOKUP('Données projet'!$B$13,Paramètres!$A$1:$I$89,3,0)*VLOOKUP('Données projet'!$B$13,Paramètres!$A$1:$I$89,5,0)</f>
        <v>-2.3942448024172334E-13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302.06513069580848</v>
      </c>
      <c r="CZ160" s="62">
        <f t="shared" si="150"/>
        <v>164.1450425611464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111.17783573568371</v>
      </c>
      <c r="DG160" s="23">
        <f>EXP(-LN(2)/25)*DG159+(1-EXP(-LN(2)/25))/(LN(2)/25)*Calculateur!DB160*Calculateur!DD160*VLOOKUP('Données projet'!$B$13,Paramètres!$A$1:$I$89,3,0)*0.475*44/12</f>
        <v>13.309274947927312</v>
      </c>
      <c r="DH160" s="23">
        <f>EXP(-LN(2)/2)*DH159+(1-EXP(-LN(2)/2))/(LN(2)/2)*DB160*DE160*VLOOKUP('Données projet'!$B$13,Paramètres!$A$1:$I$89,3,0)*0.475*44/12</f>
        <v>1.7547901592901507E-3</v>
      </c>
      <c r="DI160" s="24">
        <f t="shared" si="175"/>
        <v>124.48886547377032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8.4429999999999943</v>
      </c>
      <c r="N161" s="14">
        <f>IF('Données projet'!$A$36&gt;35,N160+M161-V160,IF(A161&lt;'Données projet'!$A$36,$K$205^A161,IF(A161='Données projet'!$A$36,'Données projet'!$B$36,N160+M161-V160)))</f>
        <v>469.11200000000042</v>
      </c>
      <c r="O161" s="14">
        <f>N161*VLOOKUP('Données projet'!$B$9,Paramètres!$A$1:$I$89,3,0)*VLOOKUP('Données projet'!$B$9,Paramètres!$A$1:$I$89,5,0)</f>
        <v>424.45253760000043</v>
      </c>
      <c r="P161" s="14">
        <f t="shared" si="141"/>
        <v>96.716793118095666</v>
      </c>
      <c r="Q161" s="22">
        <f t="shared" si="162"/>
        <v>907.70325100068385</v>
      </c>
      <c r="R161" s="62">
        <f t="shared" si="109"/>
        <v>1201.0365843340171</v>
      </c>
      <c r="S161" s="62">
        <f ca="1">AVERAGE(OFFSET($R$3,0,0,'Données projet'!$E$9+1,1))-AVERAGE(OFFSET($H$3,0,0,'Données projet'!$E$9+1,1))</f>
        <v>581.88778927327667</v>
      </c>
      <c r="T161" s="62">
        <f t="shared" si="142"/>
        <v>269.67340993773422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67.001586087608516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67.001586087608516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354.24684313982857</v>
      </c>
      <c r="AO161" s="62">
        <f t="shared" si="144"/>
        <v>322.65043486962185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35.781868243841615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35.781868243841615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3.2455318432766944E-13</v>
      </c>
      <c r="BF161" s="14">
        <f t="shared" si="167"/>
        <v>4.2513245787534721E-12</v>
      </c>
      <c r="BG161" s="22">
        <f t="shared" si="168"/>
        <v>7.9696537706996534E-12</v>
      </c>
      <c r="BH161" s="62">
        <f t="shared" si="116"/>
        <v>293.33333333334127</v>
      </c>
      <c r="BI161" s="62">
        <f ca="1">AVERAGE(OFFSET($BH$3,0,0,'Données projet'!$E$11+1,1))-AVERAGE(OFFSET($H$3,0,0,'Données projet'!$E$11+1,1))</f>
        <v>460.77543902152325</v>
      </c>
      <c r="BJ161" s="62">
        <f t="shared" si="146"/>
        <v>341.4342976721104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85.823310218854274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85.823310218854274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-5.6843418860808015E-13</v>
      </c>
      <c r="BZ161" s="14">
        <f>BY161*VLOOKUP('Données projet'!$B$12,Paramètres!$A$1:$I$89,3,0)*VLOOKUP('Données projet'!$B$12,Paramètres!$A$1:$I$89,5,0)</f>
        <v>-3.39923644787632E-13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438.68915237247444</v>
      </c>
      <c r="CE161" s="62">
        <f t="shared" si="148"/>
        <v>376.94419168335452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50.105168542423073</v>
      </c>
      <c r="CL161" s="23">
        <f>EXP(-LN(2)/25)*CL160+(1-EXP(-LN(2)/25))/(LN(2)/25)*Calculateur!CG161*Calculateur!CI161*VLOOKUP('Données projet'!$B$12,Paramètres!$A$1:$I$89,3,0)*0.475*44/12</f>
        <v>4.0125112268105507</v>
      </c>
      <c r="CM161" s="23">
        <f>EXP(-LN(2)/2)*CM160+(1-EXP(-LN(2)/2))/(LN(2)/2)*CG161*CJ161*VLOOKUP('Données projet'!$B$12,Paramètres!$A$1:$I$89,3,0)*0.475*44/12</f>
        <v>1.8688035198099955E-11</v>
      </c>
      <c r="CN161" s="24">
        <f t="shared" si="172"/>
        <v>54.117679769252312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-5.1159076974727213E-13</v>
      </c>
      <c r="CU161" s="18">
        <f>CT161*VLOOKUP('Données projet'!$B$13,Paramètres!$A$1:$I$89,3,0)*VLOOKUP('Données projet'!$B$13,Paramètres!$A$1:$I$89,5,0)</f>
        <v>-2.3942448024172334E-13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302.06513069580848</v>
      </c>
      <c r="CZ161" s="62">
        <f t="shared" si="150"/>
        <v>164.1450425611464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108.9977061886909</v>
      </c>
      <c r="DG161" s="23">
        <f>EXP(-LN(2)/25)*DG160+(1-EXP(-LN(2)/25))/(LN(2)/25)*Calculateur!DB161*Calculateur!DD161*VLOOKUP('Données projet'!$B$13,Paramètres!$A$1:$I$89,3,0)*0.475*44/12</f>
        <v>12.945332124571889</v>
      </c>
      <c r="DH161" s="23">
        <f>EXP(-LN(2)/2)*DH160+(1-EXP(-LN(2)/2))/(LN(2)/2)*DB161*DE161*VLOOKUP('Données projet'!$B$13,Paramètres!$A$1:$I$89,3,0)*0.475*44/12</f>
        <v>1.2408240211934875E-3</v>
      </c>
      <c r="DI161" s="24">
        <f t="shared" si="175"/>
        <v>121.94427913728398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8.4429999999999943</v>
      </c>
      <c r="N162" s="14">
        <f>IF('Données projet'!$A$36&gt;35,N161+M162-V161,IF(A162&lt;'Données projet'!$A$36,$K$205^A162,IF(A162='Données projet'!$A$36,'Données projet'!$B$36,N161+M162-V161)))</f>
        <v>477.5550000000004</v>
      </c>
      <c r="O162" s="14">
        <f>N162*VLOOKUP('Données projet'!$B$9,Paramètres!$A$1:$I$89,3,0)*VLOOKUP('Données projet'!$B$9,Paramètres!$A$1:$I$89,5,0)</f>
        <v>432.09176400000035</v>
      </c>
      <c r="P162" s="14">
        <f t="shared" si="141"/>
        <v>98.253268876899142</v>
      </c>
      <c r="Q162" s="22">
        <f t="shared" si="162"/>
        <v>923.68426559393322</v>
      </c>
      <c r="R162" s="62">
        <f t="shared" si="109"/>
        <v>1217.0175989272666</v>
      </c>
      <c r="S162" s="62">
        <f ca="1">AVERAGE(OFFSET($R$3,0,0,'Données projet'!$E$9+1,1))-AVERAGE(OFFSET($H$3,0,0,'Données projet'!$E$9+1,1))</f>
        <v>581.88778927327667</v>
      </c>
      <c r="T162" s="62">
        <f t="shared" si="142"/>
        <v>269.67340993773422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65.687725851362757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65.687725851362757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354.24684313982857</v>
      </c>
      <c r="AO162" s="62">
        <f t="shared" si="144"/>
        <v>322.65043486962185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35.080207632364491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35.080207632364491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3.2455318432766944E-13</v>
      </c>
      <c r="BF162" s="14">
        <f t="shared" si="167"/>
        <v>4.2513245787534721E-12</v>
      </c>
      <c r="BG162" s="22">
        <f t="shared" si="168"/>
        <v>7.9696537706996534E-12</v>
      </c>
      <c r="BH162" s="62">
        <f t="shared" si="116"/>
        <v>293.33333333334127</v>
      </c>
      <c r="BI162" s="62">
        <f ca="1">AVERAGE(OFFSET($BH$3,0,0,'Données projet'!$E$11+1,1))-AVERAGE(OFFSET($H$3,0,0,'Données projet'!$E$11+1,1))</f>
        <v>460.77543902152325</v>
      </c>
      <c r="BJ162" s="62">
        <f t="shared" si="146"/>
        <v>341.4342976721104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84.140367452512933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84.140367452512933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-5.6843418860808015E-13</v>
      </c>
      <c r="BZ162" s="14">
        <f>BY162*VLOOKUP('Données projet'!$B$12,Paramètres!$A$1:$I$89,3,0)*VLOOKUP('Données projet'!$B$12,Paramètres!$A$1:$I$89,5,0)</f>
        <v>-3.39923644787632E-13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438.68915237247444</v>
      </c>
      <c r="CE162" s="62">
        <f t="shared" si="148"/>
        <v>376.94419168335452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49.122636748441309</v>
      </c>
      <c r="CL162" s="23">
        <f>EXP(-LN(2)/25)*CL161+(1-EXP(-LN(2)/25))/(LN(2)/25)*Calculateur!CG162*Calculateur!CI162*VLOOKUP('Données projet'!$B$12,Paramètres!$A$1:$I$89,3,0)*0.475*44/12</f>
        <v>3.9027888963046213</v>
      </c>
      <c r="CM162" s="23">
        <f>EXP(-LN(2)/2)*CM161+(1-EXP(-LN(2)/2))/(LN(2)/2)*CG162*CJ162*VLOOKUP('Données projet'!$B$12,Paramètres!$A$1:$I$89,3,0)*0.475*44/12</f>
        <v>1.3214436415629364E-11</v>
      </c>
      <c r="CN162" s="24">
        <f t="shared" si="172"/>
        <v>53.025425644759146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-5.1159076974727213E-13</v>
      </c>
      <c r="CU162" s="18">
        <f>CT162*VLOOKUP('Données projet'!$B$13,Paramètres!$A$1:$I$89,3,0)*VLOOKUP('Données projet'!$B$13,Paramètres!$A$1:$I$89,5,0)</f>
        <v>-2.3942448024172334E-13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302.06513069580848</v>
      </c>
      <c r="CZ162" s="62">
        <f t="shared" si="150"/>
        <v>164.1450425611464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106.86032765236689</v>
      </c>
      <c r="DG162" s="23">
        <f>EXP(-LN(2)/25)*DG161+(1-EXP(-LN(2)/25))/(LN(2)/25)*Calculateur!DB162*Calculateur!DD162*VLOOKUP('Données projet'!$B$13,Paramètres!$A$1:$I$89,3,0)*0.475*44/12</f>
        <v>12.591341336860042</v>
      </c>
      <c r="DH162" s="23">
        <f>EXP(-LN(2)/2)*DH161+(1-EXP(-LN(2)/2))/(LN(2)/2)*DB162*DE162*VLOOKUP('Données projet'!$B$13,Paramètres!$A$1:$I$89,3,0)*0.475*44/12</f>
        <v>8.7739507964507536E-4</v>
      </c>
      <c r="DI162" s="24">
        <f t="shared" si="175"/>
        <v>119.45254638430657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8.4429999999999943</v>
      </c>
      <c r="N163" s="14">
        <f>IF('Données projet'!$A$36&gt;35,N162+M163-V162,IF(A163&lt;'Données projet'!$A$36,$K$205^A163,IF(A163='Données projet'!$A$36,'Données projet'!$B$36,N162+M163-V162)))</f>
        <v>485.99800000000039</v>
      </c>
      <c r="O163" s="14">
        <f>N163*VLOOKUP('Données projet'!$B$9,Paramètres!$A$1:$I$89,3,0)*VLOOKUP('Données projet'!$B$9,Paramètres!$A$1:$I$89,5,0)</f>
        <v>439.73099040000034</v>
      </c>
      <c r="P163" s="14">
        <f t="shared" si="141"/>
        <v>99.786585784186272</v>
      </c>
      <c r="Q163" s="22">
        <f t="shared" si="162"/>
        <v>939.65977852079175</v>
      </c>
      <c r="R163" s="62">
        <f t="shared" si="109"/>
        <v>1232.9931118541251</v>
      </c>
      <c r="S163" s="62">
        <f ca="1">AVERAGE(OFFSET($R$3,0,0,'Données projet'!$E$9+1,1))-AVERAGE(OFFSET($H$3,0,0,'Données projet'!$E$9+1,1))</f>
        <v>581.88778927327667</v>
      </c>
      <c r="T163" s="62">
        <f t="shared" si="142"/>
        <v>269.67340993773422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64.399629612974152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64.399629612974152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354.24684313982857</v>
      </c>
      <c r="AO163" s="62">
        <f t="shared" si="144"/>
        <v>322.65043486962185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34.392306157507718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34.392306157507718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3.2455318432766944E-13</v>
      </c>
      <c r="BF163" s="14">
        <f t="shared" si="167"/>
        <v>4.2513245787534721E-12</v>
      </c>
      <c r="BG163" s="22">
        <f t="shared" si="168"/>
        <v>7.9696537706996534E-12</v>
      </c>
      <c r="BH163" s="62">
        <f t="shared" si="116"/>
        <v>293.33333333334127</v>
      </c>
      <c r="BI163" s="62">
        <f ca="1">AVERAGE(OFFSET($BH$3,0,0,'Données projet'!$E$11+1,1))-AVERAGE(OFFSET($H$3,0,0,'Données projet'!$E$11+1,1))</f>
        <v>460.77543902152325</v>
      </c>
      <c r="BJ163" s="62">
        <f t="shared" si="146"/>
        <v>341.4342976721104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82.490426167325822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82.490426167325822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-5.6843418860808015E-13</v>
      </c>
      <c r="BZ163" s="14">
        <f>BY163*VLOOKUP('Données projet'!$B$12,Paramètres!$A$1:$I$89,3,0)*VLOOKUP('Données projet'!$B$12,Paramètres!$A$1:$I$89,5,0)</f>
        <v>-3.39923644787632E-13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438.68915237247444</v>
      </c>
      <c r="CE163" s="62">
        <f t="shared" si="148"/>
        <v>376.94419168335452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48.159371803654302</v>
      </c>
      <c r="CL163" s="23">
        <f>EXP(-LN(2)/25)*CL162+(1-EXP(-LN(2)/25))/(LN(2)/25)*Calculateur!CG163*Calculateur!CI163*VLOOKUP('Données projet'!$B$12,Paramètres!$A$1:$I$89,3,0)*0.475*44/12</f>
        <v>3.7960669286964235</v>
      </c>
      <c r="CM163" s="23">
        <f>EXP(-LN(2)/2)*CM162+(1-EXP(-LN(2)/2))/(LN(2)/2)*CG163*CJ163*VLOOKUP('Données projet'!$B$12,Paramètres!$A$1:$I$89,3,0)*0.475*44/12</f>
        <v>9.3440175990499776E-12</v>
      </c>
      <c r="CN163" s="24">
        <f t="shared" si="172"/>
        <v>51.955438732360072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-5.1159076974727213E-13</v>
      </c>
      <c r="CU163" s="18">
        <f>CT163*VLOOKUP('Données projet'!$B$13,Paramètres!$A$1:$I$89,3,0)*VLOOKUP('Données projet'!$B$13,Paramètres!$A$1:$I$89,5,0)</f>
        <v>-2.3942448024172334E-13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302.06513069580848</v>
      </c>
      <c r="CZ163" s="62">
        <f t="shared" si="150"/>
        <v>164.1450425611464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104.76486180546802</v>
      </c>
      <c r="DG163" s="23">
        <f>EXP(-LN(2)/25)*DG162+(1-EXP(-LN(2)/25))/(LN(2)/25)*Calculateur!DB163*Calculateur!DD163*VLOOKUP('Données projet'!$B$13,Paramètres!$A$1:$I$89,3,0)*0.475*44/12</f>
        <v>12.247030445853742</v>
      </c>
      <c r="DH163" s="23">
        <f>EXP(-LN(2)/2)*DH162+(1-EXP(-LN(2)/2))/(LN(2)/2)*DB163*DE163*VLOOKUP('Données projet'!$B$13,Paramètres!$A$1:$I$89,3,0)*0.475*44/12</f>
        <v>6.2041201059674373E-4</v>
      </c>
      <c r="DI163" s="24">
        <f t="shared" si="175"/>
        <v>117.01251266333234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8.4429999999999943</v>
      </c>
      <c r="N164" s="14">
        <f>IF('Données projet'!$A$36&gt;35,N163+M164-V163,IF(A164&lt;'Données projet'!$A$36,$K$205^A164,IF(A164='Données projet'!$A$36,'Données projet'!$B$36,N163+M164-V163)))</f>
        <v>494.44100000000037</v>
      </c>
      <c r="O164" s="14">
        <f>N164*VLOOKUP('Données projet'!$B$9,Paramètres!$A$1:$I$89,3,0)*VLOOKUP('Données projet'!$B$9,Paramètres!$A$1:$I$89,5,0)</f>
        <v>447.37021680000026</v>
      </c>
      <c r="P164" s="14">
        <f t="shared" si="141"/>
        <v>101.3168050491076</v>
      </c>
      <c r="Q164" s="22">
        <f t="shared" si="162"/>
        <v>955.62989638719603</v>
      </c>
      <c r="R164" s="62">
        <f t="shared" si="109"/>
        <v>1248.9632297205294</v>
      </c>
      <c r="S164" s="62">
        <f ca="1">AVERAGE(OFFSET($R$3,0,0,'Données projet'!$E$9+1,1))-AVERAGE(OFFSET($H$3,0,0,'Données projet'!$E$9+1,1))</f>
        <v>581.88778927327667</v>
      </c>
      <c r="T164" s="62">
        <f t="shared" si="142"/>
        <v>269.67340993773422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63.136792156159224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63.136792156159224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354.24684313982857</v>
      </c>
      <c r="AO164" s="62">
        <f t="shared" si="144"/>
        <v>322.65043486962185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33.717894010994421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33.717894010994421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3.2455318432766944E-13</v>
      </c>
      <c r="BF164" s="14">
        <f t="shared" si="167"/>
        <v>4.2513245787534721E-12</v>
      </c>
      <c r="BG164" s="22">
        <f t="shared" si="168"/>
        <v>7.9696537706996534E-12</v>
      </c>
      <c r="BH164" s="62">
        <f t="shared" si="116"/>
        <v>293.33333333334127</v>
      </c>
      <c r="BI164" s="62">
        <f ca="1">AVERAGE(OFFSET($BH$3,0,0,'Données projet'!$E$11+1,1))-AVERAGE(OFFSET($H$3,0,0,'Données projet'!$E$11+1,1))</f>
        <v>460.77543902152325</v>
      </c>
      <c r="BJ164" s="62">
        <f t="shared" si="146"/>
        <v>341.4342976721104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80.872839224376406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80.872839224376406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-5.6843418860808015E-13</v>
      </c>
      <c r="BZ164" s="14">
        <f>BY164*VLOOKUP('Données projet'!$B$12,Paramètres!$A$1:$I$89,3,0)*VLOOKUP('Données projet'!$B$12,Paramètres!$A$1:$I$89,5,0)</f>
        <v>-3.39923644787632E-13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438.68915237247444</v>
      </c>
      <c r="CE164" s="62">
        <f t="shared" si="148"/>
        <v>376.94419168335452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47.214995896900966</v>
      </c>
      <c r="CL164" s="23">
        <f>EXP(-LN(2)/25)*CL163+(1-EXP(-LN(2)/25))/(LN(2)/25)*Calculateur!CG164*Calculateur!CI164*VLOOKUP('Données projet'!$B$12,Paramètres!$A$1:$I$89,3,0)*0.475*44/12</f>
        <v>3.6922632789047358</v>
      </c>
      <c r="CM164" s="23">
        <f>EXP(-LN(2)/2)*CM163+(1-EXP(-LN(2)/2))/(LN(2)/2)*CG164*CJ164*VLOOKUP('Données projet'!$B$12,Paramètres!$A$1:$I$89,3,0)*0.475*44/12</f>
        <v>6.6072182078146818E-12</v>
      </c>
      <c r="CN164" s="24">
        <f t="shared" si="172"/>
        <v>50.907259175812307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-5.1159076974727213E-13</v>
      </c>
      <c r="CU164" s="18">
        <f>CT164*VLOOKUP('Données projet'!$B$13,Paramètres!$A$1:$I$89,3,0)*VLOOKUP('Données projet'!$B$13,Paramètres!$A$1:$I$89,5,0)</f>
        <v>-2.3942448024172334E-13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302.06513069580848</v>
      </c>
      <c r="CZ164" s="62">
        <f t="shared" si="150"/>
        <v>164.1450425611464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102.71048676571887</v>
      </c>
      <c r="DG164" s="23">
        <f>EXP(-LN(2)/25)*DG163+(1-EXP(-LN(2)/25))/(LN(2)/25)*Calculateur!DB164*Calculateur!DD164*VLOOKUP('Données projet'!$B$13,Paramètres!$A$1:$I$89,3,0)*0.475*44/12</f>
        <v>11.912134754268532</v>
      </c>
      <c r="DH164" s="23">
        <f>EXP(-LN(2)/2)*DH163+(1-EXP(-LN(2)/2))/(LN(2)/2)*DB164*DE164*VLOOKUP('Données projet'!$B$13,Paramètres!$A$1:$I$89,3,0)*0.475*44/12</f>
        <v>4.3869753982253768E-4</v>
      </c>
      <c r="DI164" s="24">
        <f t="shared" si="175"/>
        <v>114.62306021752723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8.4429999999999943</v>
      </c>
      <c r="N165" s="14">
        <f>IF('Données projet'!$A$36&gt;35,N164+M165-V164,IF(A165&lt;'Données projet'!$A$36,$K$205^A165,IF(A165='Données projet'!$A$36,'Données projet'!$B$36,N164+M165-V164)))</f>
        <v>502.88400000000036</v>
      </c>
      <c r="O165" s="14">
        <f>N165*VLOOKUP('Données projet'!$B$9,Paramètres!$A$1:$I$89,3,0)*VLOOKUP('Données projet'!$B$9,Paramètres!$A$1:$I$89,5,0)</f>
        <v>455.00944320000031</v>
      </c>
      <c r="P165" s="14">
        <f t="shared" si="141"/>
        <v>102.84398567063174</v>
      </c>
      <c r="Q165" s="22">
        <f t="shared" si="162"/>
        <v>971.59472194968396</v>
      </c>
      <c r="R165" s="62">
        <f t="shared" si="109"/>
        <v>1264.9280552830173</v>
      </c>
      <c r="S165" s="62">
        <f ca="1">AVERAGE(OFFSET($R$3,0,0,'Données projet'!$E$9+1,1))-AVERAGE(OFFSET($H$3,0,0,'Données projet'!$E$9+1,1))</f>
        <v>581.88778927327667</v>
      </c>
      <c r="T165" s="62">
        <f t="shared" si="142"/>
        <v>269.67340993773422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61.898718171617645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61.898718171617645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354.24684313982857</v>
      </c>
      <c r="AO165" s="62">
        <f t="shared" si="144"/>
        <v>322.65043486962185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33.056706675323454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33.056706675323454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3.2455318432766944E-13</v>
      </c>
      <c r="BF165" s="14">
        <f t="shared" si="167"/>
        <v>4.2513245787534721E-12</v>
      </c>
      <c r="BG165" s="22">
        <f t="shared" si="168"/>
        <v>7.9696537706996534E-12</v>
      </c>
      <c r="BH165" s="62">
        <f t="shared" si="116"/>
        <v>293.33333333334127</v>
      </c>
      <c r="BI165" s="62">
        <f ca="1">AVERAGE(OFFSET($BH$3,0,0,'Données projet'!$E$11+1,1))-AVERAGE(OFFSET($H$3,0,0,'Données projet'!$E$11+1,1))</f>
        <v>460.77543902152325</v>
      </c>
      <c r="BJ165" s="62">
        <f t="shared" si="146"/>
        <v>341.4342976721104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79.286972174747618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79.286972174747618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-5.6843418860808015E-13</v>
      </c>
      <c r="BZ165" s="14">
        <f>BY165*VLOOKUP('Données projet'!$B$12,Paramètres!$A$1:$I$89,3,0)*VLOOKUP('Données projet'!$B$12,Paramètres!$A$1:$I$89,5,0)</f>
        <v>-3.39923644787632E-13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438.68915237247444</v>
      </c>
      <c r="CE165" s="62">
        <f t="shared" si="148"/>
        <v>376.94419168335452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46.289138625666638</v>
      </c>
      <c r="CL165" s="23">
        <f>EXP(-LN(2)/25)*CL164+(1-EXP(-LN(2)/25))/(LN(2)/25)*Calculateur!CG165*Calculateur!CI165*VLOOKUP('Données projet'!$B$12,Paramètres!$A$1:$I$89,3,0)*0.475*44/12</f>
        <v>3.5912981453753989</v>
      </c>
      <c r="CM165" s="23">
        <f>EXP(-LN(2)/2)*CM164+(1-EXP(-LN(2)/2))/(LN(2)/2)*CG165*CJ165*VLOOKUP('Données projet'!$B$12,Paramètres!$A$1:$I$89,3,0)*0.475*44/12</f>
        <v>4.6720087995249888E-12</v>
      </c>
      <c r="CN165" s="24">
        <f t="shared" si="172"/>
        <v>49.88043677104671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-5.1159076974727213E-13</v>
      </c>
      <c r="CU165" s="18">
        <f>CT165*VLOOKUP('Données projet'!$B$13,Paramètres!$A$1:$I$89,3,0)*VLOOKUP('Données projet'!$B$13,Paramètres!$A$1:$I$89,5,0)</f>
        <v>-2.3942448024172334E-13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302.06513069580848</v>
      </c>
      <c r="CZ165" s="62">
        <f t="shared" si="150"/>
        <v>164.1450425611464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100.69639676745415</v>
      </c>
      <c r="DG165" s="23">
        <f>EXP(-LN(2)/25)*DG164+(1-EXP(-LN(2)/25))/(LN(2)/25)*Calculateur!DB165*Calculateur!DD165*VLOOKUP('Données projet'!$B$13,Paramètres!$A$1:$I$89,3,0)*0.475*44/12</f>
        <v>11.586396802981119</v>
      </c>
      <c r="DH165" s="23">
        <f>EXP(-LN(2)/2)*DH164+(1-EXP(-LN(2)/2))/(LN(2)/2)*DB165*DE165*VLOOKUP('Données projet'!$B$13,Paramètres!$A$1:$I$89,3,0)*0.475*44/12</f>
        <v>3.1020600529837187E-4</v>
      </c>
      <c r="DI165" s="24">
        <f t="shared" si="175"/>
        <v>112.28310377644056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8.4429999999999943</v>
      </c>
      <c r="N166" s="14">
        <f>IF('Données projet'!$A$36&gt;35,N165+M166-V165,IF(A166&lt;'Données projet'!$A$36,$K$205^A166,IF(A166='Données projet'!$A$36,'Données projet'!$B$36,N165+M166-V165)))</f>
        <v>511.32700000000034</v>
      </c>
      <c r="O166" s="14">
        <f>N166*VLOOKUP('Données projet'!$B$9,Paramètres!$A$1:$I$89,3,0)*VLOOKUP('Données projet'!$B$9,Paramètres!$A$1:$I$89,5,0)</f>
        <v>462.64866960000029</v>
      </c>
      <c r="P166" s="14">
        <f t="shared" si="141"/>
        <v>104.36818455309495</v>
      </c>
      <c r="Q166" s="22">
        <f t="shared" si="162"/>
        <v>987.5543543166408</v>
      </c>
      <c r="R166" s="62">
        <f t="shared" si="109"/>
        <v>1280.8876876499742</v>
      </c>
      <c r="S166" s="62">
        <f ca="1">AVERAGE(OFFSET($R$3,0,0,'Données projet'!$E$9+1,1))-AVERAGE(OFFSET($H$3,0,0,'Données projet'!$E$9+1,1))</f>
        <v>581.88778927327667</v>
      </c>
      <c r="T166" s="62">
        <f t="shared" si="142"/>
        <v>269.67340993773422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60.684922062762361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60.684922062762361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354.24684313982857</v>
      </c>
      <c r="AO166" s="62">
        <f t="shared" si="144"/>
        <v>322.65043486962185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32.40848482002054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32.40848482002054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3.2455318432766944E-13</v>
      </c>
      <c r="BF166" s="14">
        <f t="shared" si="167"/>
        <v>4.2513245787534721E-12</v>
      </c>
      <c r="BG166" s="22">
        <f t="shared" si="168"/>
        <v>7.9696537706996534E-12</v>
      </c>
      <c r="BH166" s="62">
        <f t="shared" si="116"/>
        <v>293.33333333334127</v>
      </c>
      <c r="BI166" s="62">
        <f ca="1">AVERAGE(OFFSET($BH$3,0,0,'Données projet'!$E$11+1,1))-AVERAGE(OFFSET($H$3,0,0,'Données projet'!$E$11+1,1))</f>
        <v>460.77543902152325</v>
      </c>
      <c r="BJ166" s="62">
        <f t="shared" si="146"/>
        <v>341.4342976721104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77.73220301067866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77.73220301067866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-5.6843418860808015E-13</v>
      </c>
      <c r="BZ166" s="14">
        <f>BY166*VLOOKUP('Données projet'!$B$12,Paramètres!$A$1:$I$89,3,0)*VLOOKUP('Données projet'!$B$12,Paramètres!$A$1:$I$89,5,0)</f>
        <v>-3.39923644787632E-13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438.68915237247444</v>
      </c>
      <c r="CE166" s="62">
        <f t="shared" si="148"/>
        <v>376.94419168335452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45.381436850804043</v>
      </c>
      <c r="CL166" s="23">
        <f>EXP(-LN(2)/25)*CL165+(1-EXP(-LN(2)/25))/(LN(2)/25)*Calculateur!CG166*Calculateur!CI166*VLOOKUP('Données projet'!$B$12,Paramètres!$A$1:$I$89,3,0)*0.475*44/12</f>
        <v>3.493093908731947</v>
      </c>
      <c r="CM166" s="23">
        <f>EXP(-LN(2)/2)*CM165+(1-EXP(-LN(2)/2))/(LN(2)/2)*CG166*CJ166*VLOOKUP('Données projet'!$B$12,Paramètres!$A$1:$I$89,3,0)*0.475*44/12</f>
        <v>3.3036091039073409E-12</v>
      </c>
      <c r="CN166" s="24">
        <f t="shared" si="172"/>
        <v>48.874530759539297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-5.1159076974727213E-13</v>
      </c>
      <c r="CU166" s="18">
        <f>CT166*VLOOKUP('Données projet'!$B$13,Paramètres!$A$1:$I$89,3,0)*VLOOKUP('Données projet'!$B$13,Paramètres!$A$1:$I$89,5,0)</f>
        <v>-2.3942448024172334E-13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302.06513069580848</v>
      </c>
      <c r="CZ166" s="62">
        <f t="shared" si="150"/>
        <v>164.1450425611464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98.721801845581808</v>
      </c>
      <c r="DG166" s="23">
        <f>EXP(-LN(2)/25)*DG165+(1-EXP(-LN(2)/25))/(LN(2)/25)*Calculateur!DB166*Calculateur!DD166*VLOOKUP('Données projet'!$B$13,Paramètres!$A$1:$I$89,3,0)*0.475*44/12</f>
        <v>11.269566173101474</v>
      </c>
      <c r="DH166" s="23">
        <f>EXP(-LN(2)/2)*DH165+(1-EXP(-LN(2)/2))/(LN(2)/2)*DB166*DE166*VLOOKUP('Données projet'!$B$13,Paramètres!$A$1:$I$89,3,0)*0.475*44/12</f>
        <v>2.1934876991126884E-4</v>
      </c>
      <c r="DI166" s="24">
        <f t="shared" si="175"/>
        <v>109.99158736745321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>
        <f>VLOOKUP(A167,'Données projet'!$A$35:$I$55,2,0)</f>
        <v>519.77</v>
      </c>
      <c r="L167" s="13">
        <f>VLOOKUP(A167,'Données projet'!$A$35:$I$55,9,0)</f>
        <v>8.4429999999999943</v>
      </c>
      <c r="M167" s="13">
        <f t="array" ref="M167">INDEX(L:L,MIN(IF(ISNUMBER(L167:L363),ROW(L167:L363),"")))</f>
        <v>8.4429999999999943</v>
      </c>
      <c r="N167" s="14">
        <f>IF('Données projet'!$A$36&gt;35,N166+M167-V166,IF(A167&lt;'Données projet'!$A$36,$K$205^A167,IF(A167='Données projet'!$A$36,'Données projet'!$B$36,N166+M167-V166)))</f>
        <v>519.77000000000032</v>
      </c>
      <c r="O167" s="14">
        <f>N167*VLOOKUP('Données projet'!$B$9,Paramètres!$A$1:$I$89,3,0)*VLOOKUP('Données projet'!$B$9,Paramètres!$A$1:$I$89,5,0)</f>
        <v>470.28789600000022</v>
      </c>
      <c r="P167" s="14">
        <f t="shared" si="141"/>
        <v>105.88945661390174</v>
      </c>
      <c r="Q167" s="22">
        <f t="shared" si="162"/>
        <v>1003.5088891358791</v>
      </c>
      <c r="R167" s="62">
        <f t="shared" si="109"/>
        <v>1296.8422224692124</v>
      </c>
      <c r="S167" s="62">
        <f ca="1">AVERAGE(OFFSET($R$3,0,0,'Données projet'!$E$9+1,1))-AVERAGE(OFFSET($H$3,0,0,'Données projet'!$E$9+1,1))</f>
        <v>581.88778927327667</v>
      </c>
      <c r="T167" s="62">
        <f t="shared" si="142"/>
        <v>269.67340993773422</v>
      </c>
      <c r="U167" s="16">
        <f>IF(ISNA(VLOOKUP(A167,'Données projet'!$A$35:$I$55,3,0)),0,VLOOKUP(A167,'Données projet'!$A$35:$I$55,3,0))</f>
        <v>14</v>
      </c>
      <c r="V167" s="16">
        <f>IF(ISNA(VLOOKUP(A167,'Données projet'!$A$35:$I$55,4,0)),0,VLOOKUP(A167,'Données projet'!$A$35:$I$55,4,0))</f>
        <v>59.58</v>
      </c>
      <c r="W167" s="17">
        <f>IF(ISNA(VLOOKUP(A167,'Données projet'!$A$35:$I$55,5,0)),0%,VLOOKUP(A167,'Données projet'!$A$35:$I$55,5,0)*VLOOKUP('Données projet'!$B$9,Paramètres!$A$1:$I$89,7,0))</f>
        <v>0.34400000000000003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79.995153514382864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79.995153514382864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354.24684313982857</v>
      </c>
      <c r="AO167" s="62">
        <f t="shared" si="144"/>
        <v>322.65043486962185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31.772974199923826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31.772974199923826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3.2455318432766944E-13</v>
      </c>
      <c r="BF167" s="14">
        <f t="shared" si="167"/>
        <v>4.2513245787534721E-12</v>
      </c>
      <c r="BG167" s="22">
        <f t="shared" si="168"/>
        <v>7.9696537706996534E-12</v>
      </c>
      <c r="BH167" s="62">
        <f t="shared" si="116"/>
        <v>293.33333333334127</v>
      </c>
      <c r="BI167" s="62">
        <f ca="1">AVERAGE(OFFSET($BH$3,0,0,'Données projet'!$E$11+1,1))-AVERAGE(OFFSET($H$3,0,0,'Données projet'!$E$11+1,1))</f>
        <v>460.77543902152325</v>
      </c>
      <c r="BJ167" s="62">
        <f t="shared" si="146"/>
        <v>341.4342976721104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76.207921921601539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76.207921921601539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-5.6843418860808015E-13</v>
      </c>
      <c r="BZ167" s="14">
        <f>BY167*VLOOKUP('Données projet'!$B$12,Paramètres!$A$1:$I$89,3,0)*VLOOKUP('Données projet'!$B$12,Paramètres!$A$1:$I$89,5,0)</f>
        <v>-3.39923644787632E-13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438.68915237247444</v>
      </c>
      <c r="CE167" s="62">
        <f t="shared" si="148"/>
        <v>376.94419168335452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44.49153455410309</v>
      </c>
      <c r="CL167" s="23">
        <f>EXP(-LN(2)/25)*CL166+(1-EXP(-LN(2)/25))/(LN(2)/25)*Calculateur!CG167*Calculateur!CI167*VLOOKUP('Données projet'!$B$12,Paramètres!$A$1:$I$89,3,0)*0.475*44/12</f>
        <v>3.3975750721038467</v>
      </c>
      <c r="CM167" s="23">
        <f>EXP(-LN(2)/2)*CM166+(1-EXP(-LN(2)/2))/(LN(2)/2)*CG167*CJ167*VLOOKUP('Données projet'!$B$12,Paramètres!$A$1:$I$89,3,0)*0.475*44/12</f>
        <v>2.3360043997624944E-12</v>
      </c>
      <c r="CN167" s="24">
        <f t="shared" si="172"/>
        <v>47.889109626209276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-5.1159076974727213E-13</v>
      </c>
      <c r="CU167" s="18">
        <f>CT167*VLOOKUP('Données projet'!$B$13,Paramètres!$A$1:$I$89,3,0)*VLOOKUP('Données projet'!$B$13,Paramètres!$A$1:$I$89,5,0)</f>
        <v>-2.3942448024172334E-13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302.06513069580848</v>
      </c>
      <c r="CZ167" s="62">
        <f t="shared" si="150"/>
        <v>164.1450425611464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96.785927525743404</v>
      </c>
      <c r="DG167" s="23">
        <f>EXP(-LN(2)/25)*DG166+(1-EXP(-LN(2)/25))/(LN(2)/25)*Calculateur!DB167*Calculateur!DD167*VLOOKUP('Données projet'!$B$13,Paramètres!$A$1:$I$89,3,0)*0.475*44/12</f>
        <v>10.961399293457285</v>
      </c>
      <c r="DH167" s="23">
        <f>EXP(-LN(2)/2)*DH166+(1-EXP(-LN(2)/2))/(LN(2)/2)*DB167*DE167*VLOOKUP('Données projet'!$B$13,Paramètres!$A$1:$I$89,3,0)*0.475*44/12</f>
        <v>1.5510300264918593E-4</v>
      </c>
      <c r="DI167" s="24">
        <f t="shared" si="175"/>
        <v>107.74748192220335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8.5459999999999976</v>
      </c>
      <c r="N168" s="14">
        <f>IF('Données projet'!$A$36&gt;35,N167+M168-V167,IF(A168&lt;'Données projet'!$A$36,$K$205^A168,IF(A168='Données projet'!$A$36,'Données projet'!$B$36,N167+M168-V167)))</f>
        <v>468.73600000000039</v>
      </c>
      <c r="O168" s="14">
        <f>N168*VLOOKUP('Données projet'!$B$9,Paramètres!$A$1:$I$89,3,0)*VLOOKUP('Données projet'!$B$9,Paramètres!$A$1:$I$89,5,0)</f>
        <v>424.11233280000033</v>
      </c>
      <c r="P168" s="14">
        <f t="shared" si="141"/>
        <v>96.648293340367189</v>
      </c>
      <c r="Q168" s="22">
        <f t="shared" si="162"/>
        <v>906.99142386114011</v>
      </c>
      <c r="R168" s="62">
        <f t="shared" si="109"/>
        <v>1200.3247571944735</v>
      </c>
      <c r="S168" s="62">
        <f ca="1">AVERAGE(OFFSET($R$3,0,0,'Données projet'!$E$9+1,1))-AVERAGE(OFFSET($H$3,0,0,'Données projet'!$E$9+1,1))</f>
        <v>581.88778927327667</v>
      </c>
      <c r="T168" s="62">
        <f t="shared" si="142"/>
        <v>269.67340993773422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78.426497346191624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78.426497346191624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354.24684313982857</v>
      </c>
      <c r="AO168" s="62">
        <f t="shared" si="144"/>
        <v>322.65043486962185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31.149925555464005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31.149925555464005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3.2455318432766944E-13</v>
      </c>
      <c r="BF168" s="14">
        <f t="shared" si="167"/>
        <v>4.2513245787534721E-12</v>
      </c>
      <c r="BG168" s="22">
        <f t="shared" si="168"/>
        <v>7.9696537706996534E-12</v>
      </c>
      <c r="BH168" s="62">
        <f t="shared" si="116"/>
        <v>293.33333333334127</v>
      </c>
      <c r="BI168" s="62">
        <f ca="1">AVERAGE(OFFSET($BH$3,0,0,'Données projet'!$E$11+1,1))-AVERAGE(OFFSET($H$3,0,0,'Données projet'!$E$11+1,1))</f>
        <v>460.77543902152325</v>
      </c>
      <c r="BJ168" s="62">
        <f t="shared" si="146"/>
        <v>341.4342976721104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74.713531054961564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74.713531054961564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-5.6843418860808015E-13</v>
      </c>
      <c r="BZ168" s="14">
        <f>BY168*VLOOKUP('Données projet'!$B$12,Paramètres!$A$1:$I$89,3,0)*VLOOKUP('Données projet'!$B$12,Paramètres!$A$1:$I$89,5,0)</f>
        <v>-3.39923644787632E-13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438.68915237247444</v>
      </c>
      <c r="CE168" s="62">
        <f t="shared" si="148"/>
        <v>376.94419168335452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43.619082698653635</v>
      </c>
      <c r="CL168" s="23">
        <f>EXP(-LN(2)/25)*CL167+(1-EXP(-LN(2)/25))/(LN(2)/25)*Calculateur!CG168*Calculateur!CI168*VLOOKUP('Données projet'!$B$12,Paramètres!$A$1:$I$89,3,0)*0.475*44/12</f>
        <v>3.3046682030864591</v>
      </c>
      <c r="CM168" s="23">
        <f>EXP(-LN(2)/2)*CM167+(1-EXP(-LN(2)/2))/(LN(2)/2)*CG168*CJ168*VLOOKUP('Données projet'!$B$12,Paramètres!$A$1:$I$89,3,0)*0.475*44/12</f>
        <v>1.6518045519536704E-12</v>
      </c>
      <c r="CN168" s="24">
        <f t="shared" si="172"/>
        <v>46.923750901741741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-5.1159076974727213E-13</v>
      </c>
      <c r="CU168" s="18">
        <f>CT168*VLOOKUP('Données projet'!$B$13,Paramètres!$A$1:$I$89,3,0)*VLOOKUP('Données projet'!$B$13,Paramètres!$A$1:$I$89,5,0)</f>
        <v>-2.3942448024172334E-13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302.06513069580848</v>
      </c>
      <c r="CZ168" s="62">
        <f t="shared" si="150"/>
        <v>164.1450425611464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94.888014520550286</v>
      </c>
      <c r="DG168" s="23">
        <f>EXP(-LN(2)/25)*DG167+(1-EXP(-LN(2)/25))/(LN(2)/25)*Calculateur!DB168*Calculateur!DD168*VLOOKUP('Données projet'!$B$13,Paramètres!$A$1:$I$89,3,0)*0.475*44/12</f>
        <v>10.66165925334276</v>
      </c>
      <c r="DH168" s="23">
        <f>EXP(-LN(2)/2)*DH167+(1-EXP(-LN(2)/2))/(LN(2)/2)*DB168*DE168*VLOOKUP('Données projet'!$B$13,Paramètres!$A$1:$I$89,3,0)*0.475*44/12</f>
        <v>1.0967438495563442E-4</v>
      </c>
      <c r="DI168" s="24">
        <f t="shared" si="175"/>
        <v>105.54978344827801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8.5459999999999976</v>
      </c>
      <c r="N169" s="14">
        <f>IF('Données projet'!$A$36&gt;35,N168+M169-V168,IF(A169&lt;'Données projet'!$A$36,$K$205^A169,IF(A169='Données projet'!$A$36,'Données projet'!$B$36,N168+M169-V168)))</f>
        <v>477.28200000000038</v>
      </c>
      <c r="O169" s="14">
        <f>N169*VLOOKUP('Données projet'!$B$9,Paramètres!$A$1:$I$89,3,0)*VLOOKUP('Données projet'!$B$9,Paramètres!$A$1:$I$89,5,0)</f>
        <v>431.84475360000033</v>
      </c>
      <c r="P169" s="14">
        <f t="shared" si="141"/>
        <v>98.203637489221336</v>
      </c>
      <c r="Q169" s="22">
        <f t="shared" si="162"/>
        <v>923.16761448039449</v>
      </c>
      <c r="R169" s="62">
        <f t="shared" si="109"/>
        <v>1216.5009478137279</v>
      </c>
      <c r="S169" s="62">
        <f ca="1">AVERAGE(OFFSET($R$3,0,0,'Données projet'!$E$9+1,1))-AVERAGE(OFFSET($H$3,0,0,'Données projet'!$E$9+1,1))</f>
        <v>581.88778927327667</v>
      </c>
      <c r="T169" s="62">
        <f t="shared" si="142"/>
        <v>269.67340993773422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76.888601568672826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76.888601568672826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354.24684313982857</v>
      </c>
      <c r="AO169" s="62">
        <f t="shared" si="144"/>
        <v>322.65043486962185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30.539094514899894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30.539094514899894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3.2455318432766944E-13</v>
      </c>
      <c r="BF169" s="14">
        <f t="shared" si="167"/>
        <v>4.2513245787534721E-12</v>
      </c>
      <c r="BG169" s="22">
        <f t="shared" si="168"/>
        <v>7.9696537706996534E-12</v>
      </c>
      <c r="BH169" s="62">
        <f t="shared" si="116"/>
        <v>293.33333333334127</v>
      </c>
      <c r="BI169" s="62">
        <f ca="1">AVERAGE(OFFSET($BH$3,0,0,'Données projet'!$E$11+1,1))-AVERAGE(OFFSET($H$3,0,0,'Données projet'!$E$11+1,1))</f>
        <v>460.77543902152325</v>
      </c>
      <c r="BJ169" s="62">
        <f t="shared" si="146"/>
        <v>341.4342976721104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73.24844428172797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73.24844428172797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-5.6843418860808015E-13</v>
      </c>
      <c r="BZ169" s="14">
        <f>BY169*VLOOKUP('Données projet'!$B$12,Paramètres!$A$1:$I$89,3,0)*VLOOKUP('Données projet'!$B$12,Paramètres!$A$1:$I$89,5,0)</f>
        <v>-3.39923644787632E-13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438.68915237247444</v>
      </c>
      <c r="CE169" s="62">
        <f t="shared" si="148"/>
        <v>376.94419168335452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42.763739091946455</v>
      </c>
      <c r="CL169" s="23">
        <f>EXP(-LN(2)/25)*CL168+(1-EXP(-LN(2)/25))/(LN(2)/25)*Calculateur!CG169*Calculateur!CI169*VLOOKUP('Données projet'!$B$12,Paramètres!$A$1:$I$89,3,0)*0.475*44/12</f>
        <v>3.2143018772881122</v>
      </c>
      <c r="CM169" s="23">
        <f>EXP(-LN(2)/2)*CM168+(1-EXP(-LN(2)/2))/(LN(2)/2)*CG169*CJ169*VLOOKUP('Données projet'!$B$12,Paramètres!$A$1:$I$89,3,0)*0.475*44/12</f>
        <v>1.1680021998812472E-12</v>
      </c>
      <c r="CN169" s="24">
        <f t="shared" si="172"/>
        <v>45.978040969235735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-5.1159076974727213E-13</v>
      </c>
      <c r="CU169" s="18">
        <f>CT169*VLOOKUP('Données projet'!$B$13,Paramètres!$A$1:$I$89,3,0)*VLOOKUP('Données projet'!$B$13,Paramètres!$A$1:$I$89,5,0)</f>
        <v>-2.3942448024172334E-13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302.06513069580848</v>
      </c>
      <c r="CZ169" s="62">
        <f t="shared" si="150"/>
        <v>164.1450425611464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93.027318431776379</v>
      </c>
      <c r="DG169" s="23">
        <f>EXP(-LN(2)/25)*DG168+(1-EXP(-LN(2)/25))/(LN(2)/25)*Calculateur!DB169*Calculateur!DD169*VLOOKUP('Données projet'!$B$13,Paramètres!$A$1:$I$89,3,0)*0.475*44/12</f>
        <v>10.370115620387811</v>
      </c>
      <c r="DH169" s="23">
        <f>EXP(-LN(2)/2)*DH168+(1-EXP(-LN(2)/2))/(LN(2)/2)*DB169*DE169*VLOOKUP('Données projet'!$B$13,Paramètres!$A$1:$I$89,3,0)*0.475*44/12</f>
        <v>7.7551501324592967E-5</v>
      </c>
      <c r="DI169" s="24">
        <f t="shared" si="175"/>
        <v>103.39751160366551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8.5459999999999976</v>
      </c>
      <c r="N170" s="14">
        <f>IF('Données projet'!$A$36&gt;35,N169+M170-V169,IF(A170&lt;'Données projet'!$A$36,$K$205^A170,IF(A170='Données projet'!$A$36,'Données projet'!$B$36,N169+M170-V169)))</f>
        <v>485.82800000000037</v>
      </c>
      <c r="O170" s="14">
        <f>N170*VLOOKUP('Données projet'!$B$9,Paramètres!$A$1:$I$89,3,0)*VLOOKUP('Données projet'!$B$9,Paramètres!$A$1:$I$89,5,0)</f>
        <v>439.57717440000033</v>
      </c>
      <c r="P170" s="14">
        <f t="shared" si="141"/>
        <v>99.755743172047673</v>
      </c>
      <c r="Q170" s="22">
        <f t="shared" si="162"/>
        <v>939.33816477131688</v>
      </c>
      <c r="R170" s="62">
        <f t="shared" si="109"/>
        <v>1232.6714981046503</v>
      </c>
      <c r="S170" s="62">
        <f ca="1">AVERAGE(OFFSET($R$3,0,0,'Données projet'!$E$9+1,1))-AVERAGE(OFFSET($H$3,0,0,'Données projet'!$E$9+1,1))</f>
        <v>581.88778927327667</v>
      </c>
      <c r="T170" s="62">
        <f t="shared" si="142"/>
        <v>269.67340993773422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75.380862989327369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75.380862989327369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354.24684313982857</v>
      </c>
      <c r="AO170" s="62">
        <f t="shared" si="144"/>
        <v>322.65043486962185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29.940241498471096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29.940241498471096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3.2455318432766944E-13</v>
      </c>
      <c r="BF170" s="14">
        <f t="shared" si="167"/>
        <v>4.2513245787534721E-12</v>
      </c>
      <c r="BG170" s="22">
        <f t="shared" si="168"/>
        <v>7.9696537706996534E-12</v>
      </c>
      <c r="BH170" s="62">
        <f t="shared" si="116"/>
        <v>293.33333333334127</v>
      </c>
      <c r="BI170" s="62">
        <f ca="1">AVERAGE(OFFSET($BH$3,0,0,'Données projet'!$E$11+1,1))-AVERAGE(OFFSET($H$3,0,0,'Données projet'!$E$11+1,1))</f>
        <v>460.77543902152325</v>
      </c>
      <c r="BJ170" s="62">
        <f t="shared" si="146"/>
        <v>341.4342976721104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71.81208696650279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71.81208696650279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-5.6843418860808015E-13</v>
      </c>
      <c r="BZ170" s="14">
        <f>BY170*VLOOKUP('Données projet'!$B$12,Paramètres!$A$1:$I$89,3,0)*VLOOKUP('Données projet'!$B$12,Paramètres!$A$1:$I$89,5,0)</f>
        <v>-3.39923644787632E-13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438.68915237247444</v>
      </c>
      <c r="CE170" s="62">
        <f t="shared" si="148"/>
        <v>376.94419168335452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41.925168251658718</v>
      </c>
      <c r="CL170" s="23">
        <f>EXP(-LN(2)/25)*CL169+(1-EXP(-LN(2)/25))/(LN(2)/25)*Calculateur!CG170*Calculateur!CI170*VLOOKUP('Données projet'!$B$12,Paramètres!$A$1:$I$89,3,0)*0.475*44/12</f>
        <v>3.1264066234208796</v>
      </c>
      <c r="CM170" s="23">
        <f>EXP(-LN(2)/2)*CM169+(1-EXP(-LN(2)/2))/(LN(2)/2)*CG170*CJ170*VLOOKUP('Données projet'!$B$12,Paramètres!$A$1:$I$89,3,0)*0.475*44/12</f>
        <v>8.2590227597683522E-13</v>
      </c>
      <c r="CN170" s="24">
        <f t="shared" si="172"/>
        <v>45.051574875080419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-5.1159076974727213E-13</v>
      </c>
      <c r="CU170" s="18">
        <f>CT170*VLOOKUP('Données projet'!$B$13,Paramètres!$A$1:$I$89,3,0)*VLOOKUP('Données projet'!$B$13,Paramètres!$A$1:$I$89,5,0)</f>
        <v>-2.3942448024172334E-13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302.06513069580848</v>
      </c>
      <c r="CZ170" s="62">
        <f t="shared" si="150"/>
        <v>164.1450425611464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91.20310945839077</v>
      </c>
      <c r="DG170" s="23">
        <f>EXP(-LN(2)/25)*DG169+(1-EXP(-LN(2)/25))/(LN(2)/25)*Calculateur!DB170*Calculateur!DD170*VLOOKUP('Données projet'!$B$13,Paramètres!$A$1:$I$89,3,0)*0.475*44/12</f>
        <v>10.086544263407626</v>
      </c>
      <c r="DH170" s="23">
        <f>EXP(-LN(2)/2)*DH169+(1-EXP(-LN(2)/2))/(LN(2)/2)*DB170*DE170*VLOOKUP('Données projet'!$B$13,Paramètres!$A$1:$I$89,3,0)*0.475*44/12</f>
        <v>5.483719247781721E-5</v>
      </c>
      <c r="DI170" s="24">
        <f t="shared" si="175"/>
        <v>101.28970855899088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8.5459999999999976</v>
      </c>
      <c r="N171" s="14">
        <f>IF('Données projet'!$A$36&gt;35,N170+M171-V170,IF(A171&lt;'Données projet'!$A$36,$K$205^A171,IF(A171='Données projet'!$A$36,'Données projet'!$B$36,N170+M171-V170)))</f>
        <v>494.37400000000036</v>
      </c>
      <c r="O171" s="14">
        <f>N171*VLOOKUP('Données projet'!$B$9,Paramètres!$A$1:$I$89,3,0)*VLOOKUP('Données projet'!$B$9,Paramètres!$A$1:$I$89,5,0)</f>
        <v>447.30959520000027</v>
      </c>
      <c r="P171" s="14">
        <f t="shared" si="141"/>
        <v>101.30467392781068</v>
      </c>
      <c r="Q171" s="22">
        <f t="shared" si="162"/>
        <v>955.50318539760417</v>
      </c>
      <c r="R171" s="62">
        <f t="shared" si="109"/>
        <v>1248.8365187309375</v>
      </c>
      <c r="S171" s="62">
        <f ca="1">AVERAGE(OFFSET($R$3,0,0,'Données projet'!$E$9+1,1))-AVERAGE(OFFSET($H$3,0,0,'Données projet'!$E$9+1,1))</f>
        <v>581.88778927327667</v>
      </c>
      <c r="T171" s="62">
        <f t="shared" si="142"/>
        <v>269.67340993773422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73.902690243893147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73.902690243893147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354.24684313982857</v>
      </c>
      <c r="AO171" s="62">
        <f t="shared" si="144"/>
        <v>322.65043486962185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29.353131624430194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29.353131624430194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3.2455318432766944E-13</v>
      </c>
      <c r="BF171" s="14">
        <f t="shared" si="167"/>
        <v>4.2513245787534721E-12</v>
      </c>
      <c r="BG171" s="22">
        <f t="shared" si="168"/>
        <v>7.9696537706996534E-12</v>
      </c>
      <c r="BH171" s="62">
        <f t="shared" si="116"/>
        <v>293.33333333334127</v>
      </c>
      <c r="BI171" s="62">
        <f ca="1">AVERAGE(OFFSET($BH$3,0,0,'Données projet'!$E$11+1,1))-AVERAGE(OFFSET($H$3,0,0,'Données projet'!$E$11+1,1))</f>
        <v>460.77543902152325</v>
      </c>
      <c r="BJ171" s="62">
        <f t="shared" si="146"/>
        <v>341.4342976721104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70.403895742137721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70.403895742137721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-5.6843418860808015E-13</v>
      </c>
      <c r="BZ171" s="14">
        <f>BY171*VLOOKUP('Données projet'!$B$12,Paramètres!$A$1:$I$89,3,0)*VLOOKUP('Données projet'!$B$12,Paramètres!$A$1:$I$89,5,0)</f>
        <v>-3.39923644787632E-13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438.68915237247444</v>
      </c>
      <c r="CE171" s="62">
        <f t="shared" si="148"/>
        <v>376.94419168335452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41.103041274071316</v>
      </c>
      <c r="CL171" s="23">
        <f>EXP(-LN(2)/25)*CL170+(1-EXP(-LN(2)/25))/(LN(2)/25)*Calculateur!CG171*Calculateur!CI171*VLOOKUP('Données projet'!$B$12,Paramètres!$A$1:$I$89,3,0)*0.475*44/12</f>
        <v>3.0409148698928568</v>
      </c>
      <c r="CM171" s="23">
        <f>EXP(-LN(2)/2)*CM170+(1-EXP(-LN(2)/2))/(LN(2)/2)*CG171*CJ171*VLOOKUP('Données projet'!$B$12,Paramètres!$A$1:$I$89,3,0)*0.475*44/12</f>
        <v>5.840010999406236E-13</v>
      </c>
      <c r="CN171" s="24">
        <f t="shared" si="172"/>
        <v>44.143956143964758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-5.1159076974727213E-13</v>
      </c>
      <c r="CU171" s="18">
        <f>CT171*VLOOKUP('Données projet'!$B$13,Paramètres!$A$1:$I$89,3,0)*VLOOKUP('Données projet'!$B$13,Paramètres!$A$1:$I$89,5,0)</f>
        <v>-2.3942448024172334E-13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302.06513069580848</v>
      </c>
      <c r="CZ171" s="62">
        <f t="shared" si="150"/>
        <v>164.1450425611464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89.414672110315649</v>
      </c>
      <c r="DG171" s="23">
        <f>EXP(-LN(2)/25)*DG170+(1-EXP(-LN(2)/25))/(LN(2)/25)*Calculateur!DB171*Calculateur!DD171*VLOOKUP('Données projet'!$B$13,Paramètres!$A$1:$I$89,3,0)*0.475*44/12</f>
        <v>9.8107271800964355</v>
      </c>
      <c r="DH171" s="23">
        <f>EXP(-LN(2)/2)*DH170+(1-EXP(-LN(2)/2))/(LN(2)/2)*DB171*DE171*VLOOKUP('Données projet'!$B$13,Paramètres!$A$1:$I$89,3,0)*0.475*44/12</f>
        <v>3.8775750662296483E-5</v>
      </c>
      <c r="DI171" s="24">
        <f t="shared" si="175"/>
        <v>99.225438066162752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8.5459999999999976</v>
      </c>
      <c r="N172" s="14">
        <f>IF('Données projet'!$A$36&gt;35,N171+M172-V171,IF(A172&lt;'Données projet'!$A$36,$K$205^A172,IF(A172='Données projet'!$A$36,'Données projet'!$B$36,N171+M172-V171)))</f>
        <v>502.92000000000036</v>
      </c>
      <c r="O172" s="14">
        <f>N172*VLOOKUP('Données projet'!$B$9,Paramètres!$A$1:$I$89,3,0)*VLOOKUP('Données projet'!$B$9,Paramètres!$A$1:$I$89,5,0)</f>
        <v>455.04201600000027</v>
      </c>
      <c r="P172" s="14">
        <f t="shared" si="141"/>
        <v>102.85049097288233</v>
      </c>
      <c r="Q172" s="22">
        <f t="shared" si="162"/>
        <v>971.66278297777069</v>
      </c>
      <c r="R172" s="62">
        <f t="shared" si="109"/>
        <v>1264.9961163111041</v>
      </c>
      <c r="S172" s="62">
        <f ca="1">AVERAGE(OFFSET($R$3,0,0,'Données projet'!$E$9+1,1))-AVERAGE(OFFSET($H$3,0,0,'Données projet'!$E$9+1,1))</f>
        <v>581.88778927327667</v>
      </c>
      <c r="T172" s="62">
        <f t="shared" si="142"/>
        <v>269.67340993773422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72.453503564400549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72.453503564400549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354.24684313982857</v>
      </c>
      <c r="AO172" s="62">
        <f t="shared" si="144"/>
        <v>322.65043486962185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28.777534616917571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28.777534616917571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3.2455318432766944E-13</v>
      </c>
      <c r="BF172" s="14">
        <f t="shared" si="167"/>
        <v>4.2513245787534721E-12</v>
      </c>
      <c r="BG172" s="22">
        <f t="shared" si="168"/>
        <v>7.9696537706996534E-12</v>
      </c>
      <c r="BH172" s="62">
        <f t="shared" si="116"/>
        <v>293.33333333334127</v>
      </c>
      <c r="BI172" s="62">
        <f ca="1">AVERAGE(OFFSET($BH$3,0,0,'Données projet'!$E$11+1,1))-AVERAGE(OFFSET($H$3,0,0,'Données projet'!$E$11+1,1))</f>
        <v>460.77543902152325</v>
      </c>
      <c r="BJ172" s="62">
        <f t="shared" si="146"/>
        <v>341.4342976721104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69.023318288770625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69.023318288770625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-5.6843418860808015E-13</v>
      </c>
      <c r="BZ172" s="14">
        <f>BY172*VLOOKUP('Données projet'!$B$12,Paramètres!$A$1:$I$89,3,0)*VLOOKUP('Données projet'!$B$12,Paramètres!$A$1:$I$89,5,0)</f>
        <v>-3.39923644787632E-13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438.68915237247444</v>
      </c>
      <c r="CE172" s="62">
        <f t="shared" si="148"/>
        <v>376.94419168335452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40.297035705066463</v>
      </c>
      <c r="CL172" s="23">
        <f>EXP(-LN(2)/25)*CL171+(1-EXP(-LN(2)/25))/(LN(2)/25)*Calculateur!CG172*Calculateur!CI172*VLOOKUP('Données projet'!$B$12,Paramètres!$A$1:$I$89,3,0)*0.475*44/12</f>
        <v>2.9577608928608736</v>
      </c>
      <c r="CM172" s="23">
        <f>EXP(-LN(2)/2)*CM171+(1-EXP(-LN(2)/2))/(LN(2)/2)*CG172*CJ172*VLOOKUP('Données projet'!$B$12,Paramètres!$A$1:$I$89,3,0)*0.475*44/12</f>
        <v>4.1295113798841761E-13</v>
      </c>
      <c r="CN172" s="24">
        <f t="shared" si="172"/>
        <v>43.254796597927751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-5.1159076974727213E-13</v>
      </c>
      <c r="CU172" s="18">
        <f>CT172*VLOOKUP('Données projet'!$B$13,Paramètres!$A$1:$I$89,3,0)*VLOOKUP('Données projet'!$B$13,Paramètres!$A$1:$I$89,5,0)</f>
        <v>-2.3942448024172334E-13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302.06513069580848</v>
      </c>
      <c r="CZ172" s="62">
        <f t="shared" si="150"/>
        <v>164.1450425611464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87.661304927797204</v>
      </c>
      <c r="DG172" s="23">
        <f>EXP(-LN(2)/25)*DG171+(1-EXP(-LN(2)/25))/(LN(2)/25)*Calculateur!DB172*Calculateur!DD172*VLOOKUP('Données projet'!$B$13,Paramètres!$A$1:$I$89,3,0)*0.475*44/12</f>
        <v>9.5424523294329795</v>
      </c>
      <c r="DH172" s="23">
        <f>EXP(-LN(2)/2)*DH171+(1-EXP(-LN(2)/2))/(LN(2)/2)*DB172*DE172*VLOOKUP('Données projet'!$B$13,Paramètres!$A$1:$I$89,3,0)*0.475*44/12</f>
        <v>2.7418596238908605E-5</v>
      </c>
      <c r="DI172" s="24">
        <f t="shared" si="175"/>
        <v>97.203784675826412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8.5459999999999976</v>
      </c>
      <c r="N173" s="14">
        <f>IF('Données projet'!$A$36&gt;35,N172+M173-V172,IF(A173&lt;'Données projet'!$A$36,$K$205^A173,IF(A173='Données projet'!$A$36,'Données projet'!$B$36,N172+M173-V172)))</f>
        <v>511.46600000000035</v>
      </c>
      <c r="O173" s="14">
        <f>N173*VLOOKUP('Données projet'!$B$9,Paramètres!$A$1:$I$89,3,0)*VLOOKUP('Données projet'!$B$9,Paramètres!$A$1:$I$89,5,0)</f>
        <v>462.77443680000027</v>
      </c>
      <c r="P173" s="14">
        <f t="shared" si="141"/>
        <v>104.39325332394039</v>
      </c>
      <c r="Q173" s="22">
        <f t="shared" si="162"/>
        <v>987.81706029919678</v>
      </c>
      <c r="R173" s="62">
        <f t="shared" si="109"/>
        <v>1281.15039363253</v>
      </c>
      <c r="S173" s="62">
        <f ca="1">AVERAGE(OFFSET($R$3,0,0,'Données projet'!$E$9+1,1))-AVERAGE(OFFSET($H$3,0,0,'Données projet'!$E$9+1,1))</f>
        <v>581.88778927327667</v>
      </c>
      <c r="T173" s="62">
        <f t="shared" si="142"/>
        <v>269.67340993773422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71.032734551776201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71.032734551776201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354.24684313982857</v>
      </c>
      <c r="AO173" s="62">
        <f t="shared" si="144"/>
        <v>322.65043486962185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28.213224715642763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28.213224715642763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3.2455318432766944E-13</v>
      </c>
      <c r="BF173" s="14">
        <f t="shared" si="167"/>
        <v>4.2513245787534721E-12</v>
      </c>
      <c r="BG173" s="22">
        <f t="shared" si="168"/>
        <v>7.9696537706996534E-12</v>
      </c>
      <c r="BH173" s="62">
        <f t="shared" si="116"/>
        <v>293.33333333334127</v>
      </c>
      <c r="BI173" s="62">
        <f ca="1">AVERAGE(OFFSET($BH$3,0,0,'Données projet'!$E$11+1,1))-AVERAGE(OFFSET($H$3,0,0,'Données projet'!$E$11+1,1))</f>
        <v>460.77543902152325</v>
      </c>
      <c r="BJ173" s="62">
        <f t="shared" si="146"/>
        <v>341.4342976721104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67.669813117194948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67.669813117194948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-5.6843418860808015E-13</v>
      </c>
      <c r="BZ173" s="14">
        <f>BY173*VLOOKUP('Données projet'!$B$12,Paramètres!$A$1:$I$89,3,0)*VLOOKUP('Données projet'!$B$12,Paramètres!$A$1:$I$89,5,0)</f>
        <v>-3.39923644787632E-13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438.68915237247444</v>
      </c>
      <c r="CE173" s="62">
        <f t="shared" si="148"/>
        <v>376.94419168335452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39.50683541365494</v>
      </c>
      <c r="CL173" s="23">
        <f>EXP(-LN(2)/25)*CL172+(1-EXP(-LN(2)/25))/(LN(2)/25)*Calculateur!CG173*Calculateur!CI173*VLOOKUP('Données projet'!$B$12,Paramètres!$A$1:$I$89,3,0)*0.475*44/12</f>
        <v>2.8768807657037079</v>
      </c>
      <c r="CM173" s="23">
        <f>EXP(-LN(2)/2)*CM172+(1-EXP(-LN(2)/2))/(LN(2)/2)*CG173*CJ173*VLOOKUP('Données projet'!$B$12,Paramètres!$A$1:$I$89,3,0)*0.475*44/12</f>
        <v>2.920005499703118E-13</v>
      </c>
      <c r="CN173" s="24">
        <f t="shared" si="172"/>
        <v>42.383716179358942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-5.1159076974727213E-13</v>
      </c>
      <c r="CU173" s="18">
        <f>CT173*VLOOKUP('Données projet'!$B$13,Paramètres!$A$1:$I$89,3,0)*VLOOKUP('Données projet'!$B$13,Paramètres!$A$1:$I$89,5,0)</f>
        <v>-2.3942448024172334E-13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302.06513069580848</v>
      </c>
      <c r="CZ173" s="62">
        <f t="shared" si="150"/>
        <v>164.1450425611464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85.942320206279575</v>
      </c>
      <c r="DG173" s="23">
        <f>EXP(-LN(2)/25)*DG172+(1-EXP(-LN(2)/25))/(LN(2)/25)*Calculateur!DB173*Calculateur!DD173*VLOOKUP('Données projet'!$B$13,Paramètres!$A$1:$I$89,3,0)*0.475*44/12</f>
        <v>9.2815134686688765</v>
      </c>
      <c r="DH173" s="23">
        <f>EXP(-LN(2)/2)*DH172+(1-EXP(-LN(2)/2))/(LN(2)/2)*DB173*DE173*VLOOKUP('Données projet'!$B$13,Paramètres!$A$1:$I$89,3,0)*0.475*44/12</f>
        <v>1.9387875331148242E-5</v>
      </c>
      <c r="DI173" s="24">
        <f t="shared" si="175"/>
        <v>95.223853062823778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8.5459999999999976</v>
      </c>
      <c r="N174" s="14">
        <f>IF('Données projet'!$A$36&gt;35,N173+M174-V173,IF(A174&lt;'Données projet'!$A$36,$K$205^A174,IF(A174='Données projet'!$A$36,'Données projet'!$B$36,N173+M174-V173)))</f>
        <v>520.0120000000004</v>
      </c>
      <c r="O174" s="14">
        <f>N174*VLOOKUP('Données projet'!$B$9,Paramètres!$A$1:$I$89,3,0)*VLOOKUP('Données projet'!$B$9,Paramètres!$A$1:$I$89,5,0)</f>
        <v>470.50685760000033</v>
      </c>
      <c r="P174" s="14">
        <f t="shared" si="141"/>
        <v>105.93301791241842</v>
      </c>
      <c r="Q174" s="22">
        <f t="shared" si="162"/>
        <v>1003.9661165174626</v>
      </c>
      <c r="R174" s="62">
        <f t="shared" si="109"/>
        <v>1297.299449850796</v>
      </c>
      <c r="S174" s="62">
        <f ca="1">AVERAGE(OFFSET($R$3,0,0,'Données projet'!$E$9+1,1))-AVERAGE(OFFSET($H$3,0,0,'Données projet'!$E$9+1,1))</f>
        <v>581.88778927327667</v>
      </c>
      <c r="T174" s="62">
        <f t="shared" si="142"/>
        <v>269.67340993773422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69.639825952905895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69.639825952905895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354.24684313982857</v>
      </c>
      <c r="AO174" s="62">
        <f t="shared" si="144"/>
        <v>322.65043486962185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27.6599805873369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27.6599805873369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3.2455318432766944E-13</v>
      </c>
      <c r="BF174" s="14">
        <f t="shared" si="167"/>
        <v>4.2513245787534721E-12</v>
      </c>
      <c r="BG174" s="22">
        <f t="shared" si="168"/>
        <v>7.9696537706996534E-12</v>
      </c>
      <c r="BH174" s="62">
        <f t="shared" si="116"/>
        <v>293.33333333334127</v>
      </c>
      <c r="BI174" s="62">
        <f ca="1">AVERAGE(OFFSET($BH$3,0,0,'Données projet'!$E$11+1,1))-AVERAGE(OFFSET($H$3,0,0,'Données projet'!$E$11+1,1))</f>
        <v>460.77543902152325</v>
      </c>
      <c r="BJ174" s="62">
        <f t="shared" si="146"/>
        <v>341.4342976721104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66.342849356477231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66.342849356477231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-5.6843418860808015E-13</v>
      </c>
      <c r="BZ174" s="14">
        <f>BY174*VLOOKUP('Données projet'!$B$12,Paramètres!$A$1:$I$89,3,0)*VLOOKUP('Données projet'!$B$12,Paramètres!$A$1:$I$89,5,0)</f>
        <v>-3.39923644787632E-13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438.68915237247444</v>
      </c>
      <c r="CE174" s="62">
        <f t="shared" si="148"/>
        <v>376.94419168335452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38.73213046798341</v>
      </c>
      <c r="CL174" s="23">
        <f>EXP(-LN(2)/25)*CL173+(1-EXP(-LN(2)/25))/(LN(2)/25)*Calculateur!CG174*Calculateur!CI174*VLOOKUP('Données projet'!$B$12,Paramètres!$A$1:$I$89,3,0)*0.475*44/12</f>
        <v>2.7982123098769556</v>
      </c>
      <c r="CM174" s="23">
        <f>EXP(-LN(2)/2)*CM173+(1-EXP(-LN(2)/2))/(LN(2)/2)*CG174*CJ174*VLOOKUP('Données projet'!$B$12,Paramètres!$A$1:$I$89,3,0)*0.475*44/12</f>
        <v>2.0647556899420881E-13</v>
      </c>
      <c r="CN174" s="24">
        <f t="shared" si="172"/>
        <v>41.530342777860575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-5.1159076974727213E-13</v>
      </c>
      <c r="CU174" s="18">
        <f>CT174*VLOOKUP('Données projet'!$B$13,Paramètres!$A$1:$I$89,3,0)*VLOOKUP('Données projet'!$B$13,Paramètres!$A$1:$I$89,5,0)</f>
        <v>-2.3942448024172334E-13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302.06513069580848</v>
      </c>
      <c r="CZ174" s="62">
        <f t="shared" si="150"/>
        <v>164.1450425611464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84.257043726673743</v>
      </c>
      <c r="DG174" s="23">
        <f>EXP(-LN(2)/25)*DG173+(1-EXP(-LN(2)/25))/(LN(2)/25)*Calculateur!DB174*Calculateur!DD174*VLOOKUP('Données projet'!$B$13,Paramètres!$A$1:$I$89,3,0)*0.475*44/12</f>
        <v>9.0277099947745452</v>
      </c>
      <c r="DH174" s="23">
        <f>EXP(-LN(2)/2)*DH173+(1-EXP(-LN(2)/2))/(LN(2)/2)*DB174*DE174*VLOOKUP('Données projet'!$B$13,Paramètres!$A$1:$I$89,3,0)*0.475*44/12</f>
        <v>1.3709298119454303E-5</v>
      </c>
      <c r="DI174" s="24">
        <f t="shared" si="175"/>
        <v>93.284767430746399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8.5459999999999976</v>
      </c>
      <c r="N175" s="14">
        <f>IF('Données projet'!$A$36&gt;35,N174+M175-V174,IF(A175&lt;'Données projet'!$A$36,$K$205^A175,IF(A175='Données projet'!$A$36,'Données projet'!$B$36,N174+M175-V174)))</f>
        <v>528.55800000000045</v>
      </c>
      <c r="O175" s="14">
        <f>N175*VLOOKUP('Données projet'!$B$9,Paramètres!$A$1:$I$89,3,0)*VLOOKUP('Données projet'!$B$9,Paramètres!$A$1:$I$89,5,0)</f>
        <v>478.23927840000039</v>
      </c>
      <c r="P175" s="14">
        <f t="shared" si="141"/>
        <v>107.46983969122122</v>
      </c>
      <c r="Q175" s="22">
        <f t="shared" si="162"/>
        <v>1020.110047342211</v>
      </c>
      <c r="R175" s="62">
        <f t="shared" si="109"/>
        <v>1313.4433806755444</v>
      </c>
      <c r="S175" s="62">
        <f ca="1">AVERAGE(OFFSET($R$3,0,0,'Données projet'!$E$9+1,1))-AVERAGE(OFFSET($H$3,0,0,'Données projet'!$E$9+1,1))</f>
        <v>581.88778927327667</v>
      </c>
      <c r="T175" s="62">
        <f t="shared" si="142"/>
        <v>269.67340993773422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68.27423144206908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68.27423144206908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354.24684313982857</v>
      </c>
      <c r="AO175" s="62">
        <f t="shared" si="144"/>
        <v>322.65043486962185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27.117585238941516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27.117585238941516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3.2455318432766944E-13</v>
      </c>
      <c r="BF175" s="14">
        <f t="shared" si="167"/>
        <v>4.2513245787534721E-12</v>
      </c>
      <c r="BG175" s="22">
        <f t="shared" si="168"/>
        <v>7.9696537706996534E-12</v>
      </c>
      <c r="BH175" s="62">
        <f t="shared" si="116"/>
        <v>293.33333333334127</v>
      </c>
      <c r="BI175" s="62">
        <f ca="1">AVERAGE(OFFSET($BH$3,0,0,'Données projet'!$E$11+1,1))-AVERAGE(OFFSET($H$3,0,0,'Données projet'!$E$11+1,1))</f>
        <v>460.77543902152325</v>
      </c>
      <c r="BJ175" s="62">
        <f t="shared" si="146"/>
        <v>341.4342976721104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65.041906545739224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65.041906545739224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-5.6843418860808015E-13</v>
      </c>
      <c r="BZ175" s="14">
        <f>BY175*VLOOKUP('Données projet'!$B$12,Paramètres!$A$1:$I$89,3,0)*VLOOKUP('Données projet'!$B$12,Paramètres!$A$1:$I$89,5,0)</f>
        <v>-3.39923644787632E-13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438.68915237247444</v>
      </c>
      <c r="CE175" s="62">
        <f t="shared" si="148"/>
        <v>376.94419168335452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37.972617013773139</v>
      </c>
      <c r="CL175" s="23">
        <f>EXP(-LN(2)/25)*CL174+(1-EXP(-LN(2)/25))/(LN(2)/25)*Calculateur!CG175*Calculateur!CI175*VLOOKUP('Données projet'!$B$12,Paramètres!$A$1:$I$89,3,0)*0.475*44/12</f>
        <v>2.7216950471117802</v>
      </c>
      <c r="CM175" s="23">
        <f>EXP(-LN(2)/2)*CM174+(1-EXP(-LN(2)/2))/(LN(2)/2)*CG175*CJ175*VLOOKUP('Données projet'!$B$12,Paramètres!$A$1:$I$89,3,0)*0.475*44/12</f>
        <v>1.460002749851559E-13</v>
      </c>
      <c r="CN175" s="24">
        <f t="shared" si="172"/>
        <v>40.694312060885068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-5.1159076974727213E-13</v>
      </c>
      <c r="CU175" s="18">
        <f>CT175*VLOOKUP('Données projet'!$B$13,Paramètres!$A$1:$I$89,3,0)*VLOOKUP('Données projet'!$B$13,Paramètres!$A$1:$I$89,5,0)</f>
        <v>-2.3942448024172334E-13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302.06513069580848</v>
      </c>
      <c r="CZ175" s="62">
        <f t="shared" si="150"/>
        <v>164.1450425611464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82.604814490915828</v>
      </c>
      <c r="DG175" s="23">
        <f>EXP(-LN(2)/25)*DG174+(1-EXP(-LN(2)/25))/(LN(2)/25)*Calculateur!DB175*Calculateur!DD175*VLOOKUP('Données projet'!$B$13,Paramètres!$A$1:$I$89,3,0)*0.475*44/12</f>
        <v>8.7808467902207994</v>
      </c>
      <c r="DH175" s="23">
        <f>EXP(-LN(2)/2)*DH174+(1-EXP(-LN(2)/2))/(LN(2)/2)*DB175*DE175*VLOOKUP('Données projet'!$B$13,Paramètres!$A$1:$I$89,3,0)*0.475*44/12</f>
        <v>9.6939376655741208E-6</v>
      </c>
      <c r="DI175" s="24">
        <f t="shared" si="175"/>
        <v>91.385670975074305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8.5459999999999976</v>
      </c>
      <c r="N176" s="14">
        <f>IF('Données projet'!$A$36&gt;35,N175+M176-V175,IF(A176&lt;'Données projet'!$A$36,$K$205^A176,IF(A176='Données projet'!$A$36,'Données projet'!$B$36,N175+M176-V175)))</f>
        <v>537.1040000000005</v>
      </c>
      <c r="O176" s="14">
        <f>N176*VLOOKUP('Données projet'!$B$9,Paramètres!$A$1:$I$89,3,0)*VLOOKUP('Données projet'!$B$9,Paramètres!$A$1:$I$89,5,0)</f>
        <v>485.97169920000039</v>
      </c>
      <c r="P176" s="14">
        <f t="shared" si="141"/>
        <v>109.00377173434057</v>
      </c>
      <c r="Q176" s="22">
        <f t="shared" si="162"/>
        <v>1036.2489452106438</v>
      </c>
      <c r="R176" s="62">
        <f t="shared" si="109"/>
        <v>1329.5822785439771</v>
      </c>
      <c r="S176" s="62">
        <f ca="1">AVERAGE(OFFSET($R$3,0,0,'Données projet'!$E$9+1,1))-AVERAGE(OFFSET($H$3,0,0,'Données projet'!$E$9+1,1))</f>
        <v>581.88778927327667</v>
      </c>
      <c r="T176" s="62">
        <f t="shared" si="142"/>
        <v>269.67340993773422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66.935415406659359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66.935415406659359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354.24684313982857</v>
      </c>
      <c r="AO176" s="62">
        <f t="shared" si="144"/>
        <v>322.65043486962185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26.58582593249967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26.58582593249967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3.2455318432766944E-13</v>
      </c>
      <c r="BF176" s="14">
        <f t="shared" si="167"/>
        <v>4.2513245787534721E-12</v>
      </c>
      <c r="BG176" s="22">
        <f t="shared" si="168"/>
        <v>7.9696537706996534E-12</v>
      </c>
      <c r="BH176" s="62">
        <f t="shared" si="116"/>
        <v>293.33333333334127</v>
      </c>
      <c r="BI176" s="62">
        <f ca="1">AVERAGE(OFFSET($BH$3,0,0,'Données projet'!$E$11+1,1))-AVERAGE(OFFSET($H$3,0,0,'Données projet'!$E$11+1,1))</f>
        <v>460.77543902152325</v>
      </c>
      <c r="BJ176" s="62">
        <f t="shared" si="146"/>
        <v>341.4342976721104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63.766474430023024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63.766474430023024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-5.6843418860808015E-13</v>
      </c>
      <c r="BZ176" s="14">
        <f>BY176*VLOOKUP('Données projet'!$B$12,Paramètres!$A$1:$I$89,3,0)*VLOOKUP('Données projet'!$B$12,Paramètres!$A$1:$I$89,5,0)</f>
        <v>-3.39923644787632E-13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438.68915237247444</v>
      </c>
      <c r="CE176" s="62">
        <f t="shared" si="148"/>
        <v>376.94419168335452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37.227997155142468</v>
      </c>
      <c r="CL176" s="23">
        <f>EXP(-LN(2)/25)*CL175+(1-EXP(-LN(2)/25))/(LN(2)/25)*Calculateur!CG176*Calculateur!CI176*VLOOKUP('Données projet'!$B$12,Paramètres!$A$1:$I$89,3,0)*0.475*44/12</f>
        <v>2.6472701529207865</v>
      </c>
      <c r="CM176" s="23">
        <f>EXP(-LN(2)/2)*CM175+(1-EXP(-LN(2)/2))/(LN(2)/2)*CG176*CJ176*VLOOKUP('Données projet'!$B$12,Paramètres!$A$1:$I$89,3,0)*0.475*44/12</f>
        <v>1.032377844971044E-13</v>
      </c>
      <c r="CN176" s="24">
        <f t="shared" si="172"/>
        <v>39.875267308063364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-5.1159076974727213E-13</v>
      </c>
      <c r="CU176" s="18">
        <f>CT176*VLOOKUP('Données projet'!$B$13,Paramètres!$A$1:$I$89,3,0)*VLOOKUP('Données projet'!$B$13,Paramètres!$A$1:$I$89,5,0)</f>
        <v>-2.3942448024172334E-13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302.06513069580848</v>
      </c>
      <c r="CZ176" s="62">
        <f t="shared" si="150"/>
        <v>164.1450425611464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80.984984462710798</v>
      </c>
      <c r="DG176" s="23">
        <f>EXP(-LN(2)/25)*DG175+(1-EXP(-LN(2)/25))/(LN(2)/25)*Calculateur!DB176*Calculateur!DD176*VLOOKUP('Données projet'!$B$13,Paramètres!$A$1:$I$89,3,0)*0.475*44/12</f>
        <v>8.5407340729775481</v>
      </c>
      <c r="DH176" s="23">
        <f>EXP(-LN(2)/2)*DH175+(1-EXP(-LN(2)/2))/(LN(2)/2)*DB176*DE176*VLOOKUP('Données projet'!$B$13,Paramètres!$A$1:$I$89,3,0)*0.475*44/12</f>
        <v>6.8546490597271513E-6</v>
      </c>
      <c r="DI176" s="24">
        <f t="shared" si="175"/>
        <v>89.525725390337399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>
        <f>VLOOKUP(A177,'Données projet'!$A$35:$I$55,2,0)</f>
        <v>545.65</v>
      </c>
      <c r="L177" s="13">
        <f>VLOOKUP(A177,'Données projet'!$A$35:$I$55,9,0)</f>
        <v>8.5459999999999976</v>
      </c>
      <c r="M177" s="13">
        <f t="array" ref="M177">INDEX(L:L,MIN(IF(ISNUMBER(L177:L373),ROW(L177:L373),"")))</f>
        <v>8.5459999999999976</v>
      </c>
      <c r="N177" s="14">
        <f>IF('Données projet'!$A$36&gt;35,N176+M177-V176,IF(A177&lt;'Données projet'!$A$36,$K$205^A177,IF(A177='Données projet'!$A$36,'Données projet'!$B$36,N176+M177-V176)))</f>
        <v>545.65000000000055</v>
      </c>
      <c r="O177" s="14">
        <f>N177*VLOOKUP('Données projet'!$B$9,Paramètres!$A$1:$I$89,3,0)*VLOOKUP('Données projet'!$B$9,Paramètres!$A$1:$I$89,5,0)</f>
        <v>493.7041200000005</v>
      </c>
      <c r="P177" s="14">
        <f t="shared" si="141"/>
        <v>110.53486532995269</v>
      </c>
      <c r="Q177" s="22">
        <f t="shared" si="162"/>
        <v>1052.3828994496685</v>
      </c>
      <c r="R177" s="62">
        <f t="shared" si="109"/>
        <v>1345.7162327830017</v>
      </c>
      <c r="S177" s="62">
        <f ca="1">AVERAGE(OFFSET($R$3,0,0,'Données projet'!$E$9+1,1))-AVERAGE(OFFSET($H$3,0,0,'Données projet'!$E$9+1,1))</f>
        <v>581.88778927327667</v>
      </c>
      <c r="T177" s="62">
        <f t="shared" si="142"/>
        <v>269.67340993773422</v>
      </c>
      <c r="U177" s="16">
        <f>IF(ISNA(VLOOKUP(A177,'Données projet'!$A$35:$I$55,3,0)),0,VLOOKUP(A177,'Données projet'!$A$35:$I$55,3,0))</f>
        <v>15</v>
      </c>
      <c r="V177" s="16">
        <f>IF(ISNA(VLOOKUP(A177,'Données projet'!$A$35:$I$55,4,0)),0,VLOOKUP(A177,'Données projet'!$A$35:$I$55,4,0))</f>
        <v>214.77</v>
      </c>
      <c r="W177" s="17">
        <f>IF(ISNA(VLOOKUP(A177,'Données projet'!$A$35:$I$55,5,0)),0%,VLOOKUP(A177,'Données projet'!$A$35:$I$55,5,0)*VLOOKUP('Données projet'!$B$9,Paramètres!$A$1:$I$89,7,0))</f>
        <v>0.34400000000000003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139.52069574293077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139.52069574293077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354.24684313982857</v>
      </c>
      <c r="AO177" s="62">
        <f t="shared" si="144"/>
        <v>322.65043486962185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26.064494101715997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26.064494101715997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3.2455318432766944E-13</v>
      </c>
      <c r="BF177" s="14">
        <f t="shared" si="167"/>
        <v>4.2513245787534721E-12</v>
      </c>
      <c r="BG177" s="22">
        <f t="shared" si="168"/>
        <v>7.9696537706996534E-12</v>
      </c>
      <c r="BH177" s="62">
        <f t="shared" si="116"/>
        <v>293.33333333334127</v>
      </c>
      <c r="BI177" s="62">
        <f ca="1">AVERAGE(OFFSET($BH$3,0,0,'Données projet'!$E$11+1,1))-AVERAGE(OFFSET($H$3,0,0,'Données projet'!$E$11+1,1))</f>
        <v>460.77543902152325</v>
      </c>
      <c r="BJ177" s="62">
        <f t="shared" si="146"/>
        <v>341.4342976721104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62.516052760159241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62.516052760159241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-5.6843418860808015E-13</v>
      </c>
      <c r="BZ177" s="14">
        <f>BY177*VLOOKUP('Données projet'!$B$12,Paramètres!$A$1:$I$89,3,0)*VLOOKUP('Données projet'!$B$12,Paramètres!$A$1:$I$89,5,0)</f>
        <v>-3.39923644787632E-13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438.68915237247444</v>
      </c>
      <c r="CE177" s="62">
        <f t="shared" si="148"/>
        <v>376.94419168335452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36.497978837766276</v>
      </c>
      <c r="CL177" s="23">
        <f>EXP(-LN(2)/25)*CL176+(1-EXP(-LN(2)/25))/(LN(2)/25)*Calculateur!CG177*Calculateur!CI177*VLOOKUP('Données projet'!$B$12,Paramètres!$A$1:$I$89,3,0)*0.475*44/12</f>
        <v>2.5748804113752808</v>
      </c>
      <c r="CM177" s="23">
        <f>EXP(-LN(2)/2)*CM176+(1-EXP(-LN(2)/2))/(LN(2)/2)*CG177*CJ177*VLOOKUP('Données projet'!$B$12,Paramètres!$A$1:$I$89,3,0)*0.475*44/12</f>
        <v>7.300013749257795E-14</v>
      </c>
      <c r="CN177" s="24">
        <f t="shared" si="172"/>
        <v>39.072859249141629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-5.1159076974727213E-13</v>
      </c>
      <c r="CU177" s="18">
        <f>CT177*VLOOKUP('Données projet'!$B$13,Paramètres!$A$1:$I$89,3,0)*VLOOKUP('Données projet'!$B$13,Paramètres!$A$1:$I$89,5,0)</f>
        <v>-2.3942448024172334E-13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302.06513069580848</v>
      </c>
      <c r="CZ177" s="62">
        <f t="shared" si="150"/>
        <v>164.1450425611464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79.396918313360118</v>
      </c>
      <c r="DG177" s="23">
        <f>EXP(-LN(2)/25)*DG176+(1-EXP(-LN(2)/25))/(LN(2)/25)*Calculateur!DB177*Calculateur!DD177*VLOOKUP('Données projet'!$B$13,Paramètres!$A$1:$I$89,3,0)*0.475*44/12</f>
        <v>8.3071872506142928</v>
      </c>
      <c r="DH177" s="23">
        <f>EXP(-LN(2)/2)*DH176+(1-EXP(-LN(2)/2))/(LN(2)/2)*DB177*DE177*VLOOKUP('Données projet'!$B$13,Paramètres!$A$1:$I$89,3,0)*0.475*44/12</f>
        <v>4.8469688327870604E-6</v>
      </c>
      <c r="DI177" s="24">
        <f t="shared" si="175"/>
        <v>87.704110410943244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5.3866666666666747</v>
      </c>
      <c r="N178" s="14">
        <f>IF('Données projet'!$A$36&gt;35,N177+M178-V177,IF(A178&lt;'Données projet'!$A$36,$K$205^A178,IF(A178='Données projet'!$A$36,'Données projet'!$B$36,N177+M178-V177)))</f>
        <v>336.26666666666722</v>
      </c>
      <c r="O178" s="14">
        <f>N178*VLOOKUP('Données projet'!$B$9,Paramètres!$A$1:$I$89,3,0)*VLOOKUP('Données projet'!$B$9,Paramètres!$A$1:$I$89,5,0)</f>
        <v>304.2540800000005</v>
      </c>
      <c r="P178" s="14">
        <f t="shared" si="141"/>
        <v>72.067549889405967</v>
      </c>
      <c r="Q178" s="22">
        <f t="shared" si="162"/>
        <v>655.42683872404962</v>
      </c>
      <c r="R178" s="62">
        <f t="shared" si="109"/>
        <v>948.76017205738299</v>
      </c>
      <c r="S178" s="62">
        <f ca="1">AVERAGE(OFFSET($R$3,0,0,'Données projet'!$E$9+1,1))-AVERAGE(OFFSET($H$3,0,0,'Données projet'!$E$9+1,1))</f>
        <v>581.88778927327667</v>
      </c>
      <c r="T178" s="62">
        <f t="shared" si="142"/>
        <v>269.67340993773422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136.78477999863344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136.78477999863344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354.24684313982857</v>
      </c>
      <c r="AO178" s="62">
        <f t="shared" si="144"/>
        <v>322.65043486962185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25.553385270152972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25.553385270152972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3.2455318432766944E-13</v>
      </c>
      <c r="BF178" s="14">
        <f t="shared" si="167"/>
        <v>4.2513245787534721E-12</v>
      </c>
      <c r="BG178" s="22">
        <f t="shared" si="168"/>
        <v>7.9696537706996534E-12</v>
      </c>
      <c r="BH178" s="62">
        <f t="shared" si="116"/>
        <v>293.33333333334127</v>
      </c>
      <c r="BI178" s="62">
        <f ca="1">AVERAGE(OFFSET($BH$3,0,0,'Données projet'!$E$11+1,1))-AVERAGE(OFFSET($H$3,0,0,'Données projet'!$E$11+1,1))</f>
        <v>460.77543902152325</v>
      </c>
      <c r="BJ178" s="62">
        <f t="shared" si="146"/>
        <v>341.4342976721104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61.290151096559576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61.290151096559576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-5.6843418860808015E-13</v>
      </c>
      <c r="BZ178" s="14">
        <f>BY178*VLOOKUP('Données projet'!$B$12,Paramètres!$A$1:$I$89,3,0)*VLOOKUP('Données projet'!$B$12,Paramètres!$A$1:$I$89,5,0)</f>
        <v>-3.39923644787632E-13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438.68915237247444</v>
      </c>
      <c r="CE178" s="62">
        <f t="shared" si="148"/>
        <v>376.94419168335452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35.782275734326625</v>
      </c>
      <c r="CL178" s="23">
        <f>EXP(-LN(2)/25)*CL177+(1-EXP(-LN(2)/25))/(LN(2)/25)*Calculateur!CG178*Calculateur!CI178*VLOOKUP('Données projet'!$B$12,Paramètres!$A$1:$I$89,3,0)*0.475*44/12</f>
        <v>2.5044701711191477</v>
      </c>
      <c r="CM178" s="23">
        <f>EXP(-LN(2)/2)*CM177+(1-EXP(-LN(2)/2))/(LN(2)/2)*CG178*CJ178*VLOOKUP('Données projet'!$B$12,Paramètres!$A$1:$I$89,3,0)*0.475*44/12</f>
        <v>5.1618892248552201E-14</v>
      </c>
      <c r="CN178" s="24">
        <f t="shared" si="172"/>
        <v>38.286745905445819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-5.1159076974727213E-13</v>
      </c>
      <c r="CU178" s="18">
        <f>CT178*VLOOKUP('Données projet'!$B$13,Paramètres!$A$1:$I$89,3,0)*VLOOKUP('Données projet'!$B$13,Paramètres!$A$1:$I$89,5,0)</f>
        <v>-2.3942448024172334E-13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302.06513069580848</v>
      </c>
      <c r="CZ178" s="62">
        <f t="shared" si="150"/>
        <v>164.1450425611464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77.8399931725735</v>
      </c>
      <c r="DG178" s="23">
        <f>EXP(-LN(2)/25)*DG177+(1-EXP(-LN(2)/25))/(LN(2)/25)*Calculateur!DB178*Calculateur!DD178*VLOOKUP('Données projet'!$B$13,Paramètres!$A$1:$I$89,3,0)*0.475*44/12</f>
        <v>8.0800267783902537</v>
      </c>
      <c r="DH178" s="23">
        <f>EXP(-LN(2)/2)*DH177+(1-EXP(-LN(2)/2))/(LN(2)/2)*DB178*DE178*VLOOKUP('Données projet'!$B$13,Paramètres!$A$1:$I$89,3,0)*0.475*44/12</f>
        <v>3.4273245298635756E-6</v>
      </c>
      <c r="DI178" s="24">
        <f t="shared" si="175"/>
        <v>85.920023378288278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5.3866666666666747</v>
      </c>
      <c r="N179" s="14">
        <f>IF('Données projet'!$A$36&gt;35,N178+M179-V178,IF(A179&lt;'Données projet'!$A$36,$K$205^A179,IF(A179='Données projet'!$A$36,'Données projet'!$B$36,N178+M179-V178)))</f>
        <v>341.65333333333388</v>
      </c>
      <c r="O179" s="14">
        <f>N179*VLOOKUP('Données projet'!$B$9,Paramètres!$A$1:$I$89,3,0)*VLOOKUP('Données projet'!$B$9,Paramètres!$A$1:$I$89,5,0)</f>
        <v>309.12793600000049</v>
      </c>
      <c r="P179" s="14">
        <f t="shared" si="141"/>
        <v>73.086678650713282</v>
      </c>
      <c r="Q179" s="22">
        <f t="shared" si="162"/>
        <v>665.6904538499931</v>
      </c>
      <c r="R179" s="62">
        <f t="shared" si="109"/>
        <v>959.02378718332648</v>
      </c>
      <c r="S179" s="62">
        <f ca="1">AVERAGE(OFFSET($R$3,0,0,'Données projet'!$E$9+1,1))-AVERAGE(OFFSET($H$3,0,0,'Données projet'!$E$9+1,1))</f>
        <v>581.88778927327667</v>
      </c>
      <c r="T179" s="62">
        <f t="shared" si="142"/>
        <v>269.67340993773422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134.10251389333797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134.10251389333797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354.24684313982857</v>
      </c>
      <c r="AO179" s="62">
        <f t="shared" si="144"/>
        <v>322.65043486962185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25.052298971031295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25.052298971031295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3.2455318432766944E-13</v>
      </c>
      <c r="BF179" s="14">
        <f t="shared" si="167"/>
        <v>4.2513245787534721E-12</v>
      </c>
      <c r="BG179" s="22">
        <f t="shared" si="168"/>
        <v>7.9696537706996534E-12</v>
      </c>
      <c r="BH179" s="62">
        <f t="shared" si="116"/>
        <v>293.33333333334127</v>
      </c>
      <c r="BI179" s="62">
        <f ca="1">AVERAGE(OFFSET($BH$3,0,0,'Données projet'!$E$11+1,1))-AVERAGE(OFFSET($H$3,0,0,'Données projet'!$E$11+1,1))</f>
        <v>460.77543902152325</v>
      </c>
      <c r="BJ179" s="62">
        <f t="shared" si="146"/>
        <v>341.4342976721104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60.088288616856914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60.088288616856914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-5.6843418860808015E-13</v>
      </c>
      <c r="BZ179" s="14">
        <f>BY179*VLOOKUP('Données projet'!$B$12,Paramètres!$A$1:$I$89,3,0)*VLOOKUP('Données projet'!$B$12,Paramètres!$A$1:$I$89,5,0)</f>
        <v>-3.39923644787632E-13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438.68915237247444</v>
      </c>
      <c r="CE179" s="62">
        <f t="shared" si="148"/>
        <v>376.94419168335452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35.080607132209636</v>
      </c>
      <c r="CL179" s="23">
        <f>EXP(-LN(2)/25)*CL178+(1-EXP(-LN(2)/25))/(LN(2)/25)*Calculateur!CG179*Calculateur!CI179*VLOOKUP('Données projet'!$B$12,Paramètres!$A$1:$I$89,3,0)*0.475*44/12</f>
        <v>2.4359853025855323</v>
      </c>
      <c r="CM179" s="23">
        <f>EXP(-LN(2)/2)*CM178+(1-EXP(-LN(2)/2))/(LN(2)/2)*CG179*CJ179*VLOOKUP('Données projet'!$B$12,Paramètres!$A$1:$I$89,3,0)*0.475*44/12</f>
        <v>3.6500068746288975E-14</v>
      </c>
      <c r="CN179" s="24">
        <f t="shared" si="172"/>
        <v>37.516592434795207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-5.1159076974727213E-13</v>
      </c>
      <c r="CU179" s="18">
        <f>CT179*VLOOKUP('Données projet'!$B$13,Paramètres!$A$1:$I$89,3,0)*VLOOKUP('Données projet'!$B$13,Paramètres!$A$1:$I$89,5,0)</f>
        <v>-2.3942448024172334E-13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302.06513069580848</v>
      </c>
      <c r="CZ179" s="62">
        <f t="shared" si="150"/>
        <v>164.1450425611464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76.313598384167136</v>
      </c>
      <c r="DG179" s="23">
        <f>EXP(-LN(2)/25)*DG178+(1-EXP(-LN(2)/25))/(LN(2)/25)*Calculateur!DB179*Calculateur!DD179*VLOOKUP('Données projet'!$B$13,Paramètres!$A$1:$I$89,3,0)*0.475*44/12</f>
        <v>7.8590780212250309</v>
      </c>
      <c r="DH179" s="23">
        <f>EXP(-LN(2)/2)*DH178+(1-EXP(-LN(2)/2))/(LN(2)/2)*DB179*DE179*VLOOKUP('Données projet'!$B$13,Paramètres!$A$1:$I$89,3,0)*0.475*44/12</f>
        <v>2.4234844163935302E-6</v>
      </c>
      <c r="DI179" s="24">
        <f t="shared" si="175"/>
        <v>84.172678828876585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>
        <f>VLOOKUP(A180,'Données projet'!$A$35:$I$55,2,0)</f>
        <v>347.04</v>
      </c>
      <c r="L180" s="13">
        <f>VLOOKUP(A180,'Données projet'!$A$35:$I$55,9,0)</f>
        <v>5.3866666666666747</v>
      </c>
      <c r="M180" s="13">
        <f t="array" ref="M180">INDEX(L:L,MIN(IF(ISNUMBER(L180:L376),ROW(L180:L376),"")))</f>
        <v>5.3866666666666747</v>
      </c>
      <c r="N180" s="14">
        <f>IF('Données projet'!$A$36&gt;35,N179+M180-V179,IF(A180&lt;'Données projet'!$A$36,$K$205^A180,IF(A180='Données projet'!$A$36,'Données projet'!$B$36,N179+M180-V179)))</f>
        <v>347.04000000000053</v>
      </c>
      <c r="O180" s="14">
        <f>N180*VLOOKUP('Données projet'!$B$9,Paramètres!$A$1:$I$89,3,0)*VLOOKUP('Données projet'!$B$9,Paramètres!$A$1:$I$89,5,0)</f>
        <v>314.00179200000048</v>
      </c>
      <c r="P180" s="14">
        <f t="shared" si="141"/>
        <v>74.103938722927282</v>
      </c>
      <c r="Q180" s="22">
        <f t="shared" si="162"/>
        <v>675.95081434243241</v>
      </c>
      <c r="R180" s="62">
        <f t="shared" si="109"/>
        <v>969.28414767576578</v>
      </c>
      <c r="S180" s="62">
        <f ca="1">AVERAGE(OFFSET($R$3,0,0,'Données projet'!$E$9+1,1))-AVERAGE(OFFSET($H$3,0,0,'Données projet'!$E$9+1,1))</f>
        <v>581.88778927327667</v>
      </c>
      <c r="T180" s="62">
        <f t="shared" si="142"/>
        <v>269.67340993773422</v>
      </c>
      <c r="U180" s="16">
        <f>IF(ISNA(VLOOKUP(A180,'Données projet'!$A$35:$I$55,3,0)),0,VLOOKUP(A180,'Données projet'!$A$35:$I$55,3,0))</f>
        <v>16</v>
      </c>
      <c r="V180" s="16">
        <f>IF(ISNA(VLOOKUP(A180,'Données projet'!$A$35:$I$55,4,0)),0,VLOOKUP(A180,'Données projet'!$A$35:$I$55,4,0))</f>
        <v>115.19</v>
      </c>
      <c r="W180" s="17">
        <f>IF(ISNA(VLOOKUP(A180,'Données projet'!$A$35:$I$55,5,0)),0%,VLOOKUP(A180,'Données projet'!$A$35:$I$55,5,0)*VLOOKUP('Données projet'!$B$9,Paramètres!$A$1:$I$89,7,0))</f>
        <v>0.34400000000000003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171.10730334928334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171.10730334928334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354.24684313982857</v>
      </c>
      <c r="AO180" s="62">
        <f t="shared" si="144"/>
        <v>322.65043486962185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24.561038668602929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24.561038668602929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3.2455318432766944E-13</v>
      </c>
      <c r="BF180" s="14">
        <f t="shared" si="167"/>
        <v>4.2513245787534721E-12</v>
      </c>
      <c r="BG180" s="22">
        <f t="shared" si="168"/>
        <v>7.9696537706996534E-12</v>
      </c>
      <c r="BH180" s="62">
        <f t="shared" si="116"/>
        <v>293.33333333334127</v>
      </c>
      <c r="BI180" s="62">
        <f ca="1">AVERAGE(OFFSET($BH$3,0,0,'Données projet'!$E$11+1,1))-AVERAGE(OFFSET($H$3,0,0,'Données projet'!$E$11+1,1))</f>
        <v>460.77543902152325</v>
      </c>
      <c r="BJ180" s="62">
        <f t="shared" si="146"/>
        <v>341.4342976721104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58.909993927317494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58.909993927317494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-5.6843418860808015E-13</v>
      </c>
      <c r="BZ180" s="14">
        <f>BY180*VLOOKUP('Données projet'!$B$12,Paramètres!$A$1:$I$89,3,0)*VLOOKUP('Données projet'!$B$12,Paramètres!$A$1:$I$89,5,0)</f>
        <v>-3.39923644787632E-13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438.68915237247444</v>
      </c>
      <c r="CE180" s="62">
        <f t="shared" si="148"/>
        <v>376.94419168335452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34.392697823404575</v>
      </c>
      <c r="CL180" s="23">
        <f>EXP(-LN(2)/25)*CL179+(1-EXP(-LN(2)/25))/(LN(2)/25)*Calculateur!CG180*Calculateur!CI180*VLOOKUP('Données projet'!$B$12,Paramètres!$A$1:$I$89,3,0)*0.475*44/12</f>
        <v>2.3693731563834315</v>
      </c>
      <c r="CM180" s="23">
        <f>EXP(-LN(2)/2)*CM179+(1-EXP(-LN(2)/2))/(LN(2)/2)*CG180*CJ180*VLOOKUP('Données projet'!$B$12,Paramètres!$A$1:$I$89,3,0)*0.475*44/12</f>
        <v>2.5809446124276101E-14</v>
      </c>
      <c r="CN180" s="24">
        <f t="shared" si="172"/>
        <v>36.762070979788035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-5.1159076974727213E-13</v>
      </c>
      <c r="CU180" s="18">
        <f>CT180*VLOOKUP('Données projet'!$B$13,Paramètres!$A$1:$I$89,3,0)*VLOOKUP('Données projet'!$B$13,Paramètres!$A$1:$I$89,5,0)</f>
        <v>-2.3942448024172334E-13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302.06513069580848</v>
      </c>
      <c r="CZ180" s="62">
        <f t="shared" si="150"/>
        <v>164.1450425611464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74.817135266552526</v>
      </c>
      <c r="DG180" s="23">
        <f>EXP(-LN(2)/25)*DG179+(1-EXP(-LN(2)/25))/(LN(2)/25)*Calculateur!DB180*Calculateur!DD180*VLOOKUP('Données projet'!$B$13,Paramètres!$A$1:$I$89,3,0)*0.475*44/12</f>
        <v>7.6441711194436817</v>
      </c>
      <c r="DH180" s="23">
        <f>EXP(-LN(2)/2)*DH179+(1-EXP(-LN(2)/2))/(LN(2)/2)*DB180*DE180*VLOOKUP('Données projet'!$B$13,Paramètres!$A$1:$I$89,3,0)*0.475*44/12</f>
        <v>1.7136622649317878E-6</v>
      </c>
      <c r="DI180" s="24">
        <f t="shared" si="175"/>
        <v>82.461308099658481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3.2566666666666606</v>
      </c>
      <c r="N181" s="14">
        <f>IF('Données projet'!$A$36&gt;35,N180+M181-V180,IF(A181&lt;'Données projet'!$A$36,$K$205^A181,IF(A181='Données projet'!$A$36,'Données projet'!$B$36,N180+M181-V180)))</f>
        <v>235.10666666666719</v>
      </c>
      <c r="O181" s="14">
        <f>N181*VLOOKUP('Données projet'!$B$9,Paramètres!$A$1:$I$89,3,0)*VLOOKUP('Données projet'!$B$9,Paramètres!$A$1:$I$89,5,0)</f>
        <v>212.72451200000049</v>
      </c>
      <c r="P181" s="14">
        <f t="shared" si="141"/>
        <v>52.530512718953382</v>
      </c>
      <c r="Q181" s="22">
        <f t="shared" si="162"/>
        <v>461.98583471884461</v>
      </c>
      <c r="R181" s="62">
        <f t="shared" si="109"/>
        <v>755.31916805217793</v>
      </c>
      <c r="S181" s="62">
        <f ca="1">AVERAGE(OFFSET($R$3,0,0,'Données projet'!$E$9+1,1))-AVERAGE(OFFSET($H$3,0,0,'Données projet'!$E$9+1,1))</f>
        <v>581.88778927327667</v>
      </c>
      <c r="T181" s="62">
        <f t="shared" si="142"/>
        <v>269.67340993773422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167.75199349575374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167.75199349575374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354.24684313982857</v>
      </c>
      <c r="AO181" s="62">
        <f t="shared" si="144"/>
        <v>322.65043486962185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24.079411681065988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24.079411681065988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3.2455318432766944E-13</v>
      </c>
      <c r="BF181" s="14">
        <f t="shared" si="167"/>
        <v>4.2513245787534721E-12</v>
      </c>
      <c r="BG181" s="22">
        <f t="shared" si="168"/>
        <v>7.9696537706996534E-12</v>
      </c>
      <c r="BH181" s="62">
        <f t="shared" si="116"/>
        <v>293.33333333334127</v>
      </c>
      <c r="BI181" s="62">
        <f ca="1">AVERAGE(OFFSET($BH$3,0,0,'Données projet'!$E$11+1,1))-AVERAGE(OFFSET($H$3,0,0,'Données projet'!$E$11+1,1))</f>
        <v>460.77543902152325</v>
      </c>
      <c r="BJ181" s="62">
        <f t="shared" si="146"/>
        <v>341.4342976721104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57.754804877951145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57.754804877951145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-5.6843418860808015E-13</v>
      </c>
      <c r="BZ181" s="14">
        <f>BY181*VLOOKUP('Données projet'!$B$12,Paramètres!$A$1:$I$89,3,0)*VLOOKUP('Données projet'!$B$12,Paramètres!$A$1:$I$89,5,0)</f>
        <v>-3.39923644787632E-13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438.68915237247444</v>
      </c>
      <c r="CE181" s="62">
        <f t="shared" si="148"/>
        <v>376.94419168335452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33.71827799656193</v>
      </c>
      <c r="CL181" s="23">
        <f>EXP(-LN(2)/25)*CL180+(1-EXP(-LN(2)/25))/(LN(2)/25)*Calculateur!CG181*Calculateur!CI181*VLOOKUP('Données projet'!$B$12,Paramètres!$A$1:$I$89,3,0)*0.475*44/12</f>
        <v>2.3045825228222077</v>
      </c>
      <c r="CM181" s="23">
        <f>EXP(-LN(2)/2)*CM180+(1-EXP(-LN(2)/2))/(LN(2)/2)*CG181*CJ181*VLOOKUP('Données projet'!$B$12,Paramètres!$A$1:$I$89,3,0)*0.475*44/12</f>
        <v>1.8250034373144488E-14</v>
      </c>
      <c r="CN181" s="24">
        <f t="shared" si="172"/>
        <v>36.02286051938416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-5.1159076974727213E-13</v>
      </c>
      <c r="CU181" s="18">
        <f>CT181*VLOOKUP('Données projet'!$B$13,Paramètres!$A$1:$I$89,3,0)*VLOOKUP('Données projet'!$B$13,Paramètres!$A$1:$I$89,5,0)</f>
        <v>-2.3942448024172334E-13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302.06513069580848</v>
      </c>
      <c r="CZ181" s="62">
        <f t="shared" si="150"/>
        <v>164.1450425611464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73.350016877921959</v>
      </c>
      <c r="DG181" s="23">
        <f>EXP(-LN(2)/25)*DG180+(1-EXP(-LN(2)/25))/(LN(2)/25)*Calculateur!DB181*Calculateur!DD181*VLOOKUP('Données projet'!$B$13,Paramètres!$A$1:$I$89,3,0)*0.475*44/12</f>
        <v>7.4351408581930061</v>
      </c>
      <c r="DH181" s="23">
        <f>EXP(-LN(2)/2)*DH180+(1-EXP(-LN(2)/2))/(LN(2)/2)*DB181*DE181*VLOOKUP('Données projet'!$B$13,Paramètres!$A$1:$I$89,3,0)*0.475*44/12</f>
        <v>1.2117422081967651E-6</v>
      </c>
      <c r="DI181" s="24">
        <f t="shared" si="175"/>
        <v>80.78515894785717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3.2566666666666606</v>
      </c>
      <c r="N182" s="14">
        <f>IF('Données projet'!$A$36&gt;35,N181+M182-V181,IF(A182&lt;'Données projet'!$A$36,$K$205^A182,IF(A182='Données projet'!$A$36,'Données projet'!$B$36,N181+M182-V181)))</f>
        <v>238.36333333333386</v>
      </c>
      <c r="O182" s="14">
        <f>N182*VLOOKUP('Données projet'!$B$9,Paramètres!$A$1:$I$89,3,0)*VLOOKUP('Données projet'!$B$9,Paramètres!$A$1:$I$89,5,0)</f>
        <v>215.67114400000045</v>
      </c>
      <c r="P182" s="14">
        <f t="shared" si="141"/>
        <v>53.172944836363733</v>
      </c>
      <c r="Q182" s="22">
        <f t="shared" si="162"/>
        <v>468.23678805666754</v>
      </c>
      <c r="R182" s="62">
        <f t="shared" si="109"/>
        <v>761.57012139000085</v>
      </c>
      <c r="S182" s="62">
        <f ca="1">AVERAGE(OFFSET($R$3,0,0,'Données projet'!$E$9+1,1))-AVERAGE(OFFSET($H$3,0,0,'Données projet'!$E$9+1,1))</f>
        <v>581.88778927327667</v>
      </c>
      <c r="T182" s="62">
        <f t="shared" si="142"/>
        <v>269.67340993773422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164.46247922191492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164.46247922191492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354.24684313982857</v>
      </c>
      <c r="AO182" s="62">
        <f t="shared" si="144"/>
        <v>322.65043486962185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23.607229104991191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23.607229104991191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3.2455318432766944E-13</v>
      </c>
      <c r="BF182" s="14">
        <f t="shared" si="167"/>
        <v>4.2513245787534721E-12</v>
      </c>
      <c r="BG182" s="22">
        <f t="shared" si="168"/>
        <v>7.9696537706996534E-12</v>
      </c>
      <c r="BH182" s="62">
        <f t="shared" si="116"/>
        <v>293.33333333334127</v>
      </c>
      <c r="BI182" s="62">
        <f ca="1">AVERAGE(OFFSET($BH$3,0,0,'Données projet'!$E$11+1,1))-AVERAGE(OFFSET($H$3,0,0,'Données projet'!$E$11+1,1))</f>
        <v>460.77543902152325</v>
      </c>
      <c r="BJ182" s="62">
        <f t="shared" si="146"/>
        <v>341.4342976721104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56.622268381247125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56.622268381247125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-5.6843418860808015E-13</v>
      </c>
      <c r="BZ182" s="14">
        <f>BY182*VLOOKUP('Données projet'!$B$12,Paramètres!$A$1:$I$89,3,0)*VLOOKUP('Données projet'!$B$12,Paramètres!$A$1:$I$89,5,0)</f>
        <v>-3.39923644787632E-13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438.68915237247444</v>
      </c>
      <c r="CE182" s="62">
        <f t="shared" si="148"/>
        <v>376.94419168335452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33.057083131168191</v>
      </c>
      <c r="CL182" s="23">
        <f>EXP(-LN(2)/25)*CL181+(1-EXP(-LN(2)/25))/(LN(2)/25)*Calculateur!CG182*Calculateur!CI182*VLOOKUP('Données projet'!$B$12,Paramètres!$A$1:$I$89,3,0)*0.475*44/12</f>
        <v>2.2415635925429065</v>
      </c>
      <c r="CM182" s="23">
        <f>EXP(-LN(2)/2)*CM181+(1-EXP(-LN(2)/2))/(LN(2)/2)*CG182*CJ182*VLOOKUP('Données projet'!$B$12,Paramètres!$A$1:$I$89,3,0)*0.475*44/12</f>
        <v>1.290472306213805E-14</v>
      </c>
      <c r="CN182" s="24">
        <f t="shared" si="172"/>
        <v>35.298646723711116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-5.1159076974727213E-13</v>
      </c>
      <c r="CU182" s="18">
        <f>CT182*VLOOKUP('Données projet'!$B$13,Paramètres!$A$1:$I$89,3,0)*VLOOKUP('Données projet'!$B$13,Paramètres!$A$1:$I$89,5,0)</f>
        <v>-2.3942448024172334E-13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302.06513069580848</v>
      </c>
      <c r="CZ182" s="62">
        <f t="shared" si="150"/>
        <v>164.1450425611464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71.911667786038592</v>
      </c>
      <c r="DG182" s="23">
        <f>EXP(-LN(2)/25)*DG181+(1-EXP(-LN(2)/25))/(LN(2)/25)*Calculateur!DB182*Calculateur!DD182*VLOOKUP('Données projet'!$B$13,Paramètres!$A$1:$I$89,3,0)*0.475*44/12</f>
        <v>7.2318265404286537</v>
      </c>
      <c r="DH182" s="23">
        <f>EXP(-LN(2)/2)*DH181+(1-EXP(-LN(2)/2))/(LN(2)/2)*DB182*DE182*VLOOKUP('Données projet'!$B$13,Paramètres!$A$1:$I$89,3,0)*0.475*44/12</f>
        <v>8.5683113246589391E-7</v>
      </c>
      <c r="DI182" s="24">
        <f t="shared" si="175"/>
        <v>79.143495183298384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>
        <f>VLOOKUP(A183,'Données projet'!$A$35:$I$55,2,0)</f>
        <v>241.62</v>
      </c>
      <c r="L183" s="13">
        <f>VLOOKUP(A183,'Données projet'!$A$35:$I$55,9,0)</f>
        <v>3.2566666666666606</v>
      </c>
      <c r="M183" s="13">
        <f t="array" ref="M183">INDEX(L:L,MIN(IF(ISNUMBER(L183:L379),ROW(L183:L379),"")))</f>
        <v>3.2566666666666606</v>
      </c>
      <c r="N183" s="14">
        <f>IF('Données projet'!$A$36&gt;35,N182+M183-V182,IF(A183&lt;'Données projet'!$A$36,$K$205^A183,IF(A183='Données projet'!$A$36,'Données projet'!$B$36,N182+M183-V182)))</f>
        <v>241.62000000000052</v>
      </c>
      <c r="O183" s="14">
        <f>N183*VLOOKUP('Données projet'!$B$9,Paramètres!$A$1:$I$89,3,0)*VLOOKUP('Données projet'!$B$9,Paramètres!$A$1:$I$89,5,0)</f>
        <v>218.61777600000045</v>
      </c>
      <c r="P183" s="14">
        <f t="shared" si="141"/>
        <v>53.814356054061541</v>
      </c>
      <c r="Q183" s="22">
        <f t="shared" si="162"/>
        <v>474.48596332749122</v>
      </c>
      <c r="R183" s="62">
        <f t="shared" si="109"/>
        <v>767.81929666082453</v>
      </c>
      <c r="S183" s="62">
        <f ca="1">AVERAGE(OFFSET($R$3,0,0,'Données projet'!$E$9+1,1))-AVERAGE(OFFSET($H$3,0,0,'Données projet'!$E$9+1,1))</f>
        <v>581.88778927327667</v>
      </c>
      <c r="T183" s="62">
        <f t="shared" si="142"/>
        <v>269.67340993773422</v>
      </c>
      <c r="U183" s="16">
        <f>IF(ISNA(VLOOKUP(A183,'Données projet'!$A$35:$I$55,3,0)),0,VLOOKUP(A183,'Données projet'!$A$35:$I$55,3,0))</f>
        <v>17</v>
      </c>
      <c r="V183" s="16">
        <f>IF(ISNA(VLOOKUP(A183,'Données projet'!$A$35:$I$55,4,0)),0,VLOOKUP(A183,'Données projet'!$A$35:$I$55,4,0))</f>
        <v>77.72</v>
      </c>
      <c r="W183" s="17">
        <f>IF(ISNA(VLOOKUP(A183,'Données projet'!$A$35:$I$55,5,0)),0%,VLOOKUP(A183,'Données projet'!$A$35:$I$55,5,0)*VLOOKUP('Données projet'!$B$9,Paramètres!$A$1:$I$89,7,0))</f>
        <v>0.34400000000000003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187.97928881270488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187.97928881270488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354.24684313982857</v>
      </c>
      <c r="AO183" s="62">
        <f t="shared" si="144"/>
        <v>322.65043486962185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23.144305741230287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23.144305741230287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3.2455318432766944E-13</v>
      </c>
      <c r="BF183" s="14">
        <f t="shared" si="167"/>
        <v>4.2513245787534721E-12</v>
      </c>
      <c r="BG183" s="22">
        <f t="shared" si="168"/>
        <v>7.9696537706996534E-12</v>
      </c>
      <c r="BH183" s="62">
        <f t="shared" si="116"/>
        <v>293.33333333334127</v>
      </c>
      <c r="BI183" s="62">
        <f ca="1">AVERAGE(OFFSET($BH$3,0,0,'Données projet'!$E$11+1,1))-AVERAGE(OFFSET($H$3,0,0,'Données projet'!$E$11+1,1))</f>
        <v>460.77543902152325</v>
      </c>
      <c r="BJ183" s="62">
        <f t="shared" si="146"/>
        <v>341.4342976721104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55.511940234464419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55.511940234464419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-5.6843418860808015E-13</v>
      </c>
      <c r="BZ183" s="14">
        <f>BY183*VLOOKUP('Données projet'!$B$12,Paramètres!$A$1:$I$89,3,0)*VLOOKUP('Données projet'!$B$12,Paramètres!$A$1:$I$89,5,0)</f>
        <v>-3.39923644787632E-13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438.68915237247444</v>
      </c>
      <c r="CE183" s="62">
        <f t="shared" si="148"/>
        <v>376.94419168335452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32.408853893795779</v>
      </c>
      <c r="CL183" s="23">
        <f>EXP(-LN(2)/25)*CL182+(1-EXP(-LN(2)/25))/(LN(2)/25)*Calculateur!CG183*Calculateur!CI183*VLOOKUP('Données projet'!$B$12,Paramètres!$A$1:$I$89,3,0)*0.475*44/12</f>
        <v>2.1802679182261144</v>
      </c>
      <c r="CM183" s="23">
        <f>EXP(-LN(2)/2)*CM182+(1-EXP(-LN(2)/2))/(LN(2)/2)*CG183*CJ183*VLOOKUP('Données projet'!$B$12,Paramètres!$A$1:$I$89,3,0)*0.475*44/12</f>
        <v>9.1250171865722438E-15</v>
      </c>
      <c r="CN183" s="24">
        <f t="shared" si="172"/>
        <v>34.589121812021901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-5.1159076974727213E-13</v>
      </c>
      <c r="CU183" s="18">
        <f>CT183*VLOOKUP('Données projet'!$B$13,Paramètres!$A$1:$I$89,3,0)*VLOOKUP('Données projet'!$B$13,Paramètres!$A$1:$I$89,5,0)</f>
        <v>-2.3942448024172334E-13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302.06513069580848</v>
      </c>
      <c r="CZ183" s="62">
        <f t="shared" si="150"/>
        <v>164.1450425611464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70.501523842540735</v>
      </c>
      <c r="DG183" s="23">
        <f>EXP(-LN(2)/25)*DG182+(1-EXP(-LN(2)/25))/(LN(2)/25)*Calculateur!DB183*Calculateur!DD183*VLOOKUP('Données projet'!$B$13,Paramètres!$A$1:$I$89,3,0)*0.475*44/12</f>
        <v>7.0340718633754031</v>
      </c>
      <c r="DH183" s="23">
        <f>EXP(-LN(2)/2)*DH182+(1-EXP(-LN(2)/2))/(LN(2)/2)*DB183*DE183*VLOOKUP('Données projet'!$B$13,Paramètres!$A$1:$I$89,3,0)*0.475*44/12</f>
        <v>6.0587110409838255E-7</v>
      </c>
      <c r="DI183" s="24">
        <f t="shared" si="175"/>
        <v>77.535596311787245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1.9533333333333285</v>
      </c>
      <c r="N184" s="14">
        <f>IF('Données projet'!$A$36&gt;35,N183+M184-V183,IF(A184&lt;'Données projet'!$A$36,$K$205^A184,IF(A184='Données projet'!$A$36,'Données projet'!$B$36,N183+M184-V183)))</f>
        <v>165.85333333333384</v>
      </c>
      <c r="O184" s="14">
        <f>N184*VLOOKUP('Données projet'!$B$9,Paramètres!$A$1:$I$89,3,0)*VLOOKUP('Données projet'!$B$9,Paramètres!$A$1:$I$89,5,0)</f>
        <v>150.06409600000046</v>
      </c>
      <c r="P184" s="14">
        <f t="shared" si="141"/>
        <v>38.593151304664545</v>
      </c>
      <c r="Q184" s="22">
        <f t="shared" si="162"/>
        <v>328.57803905562486</v>
      </c>
      <c r="R184" s="62">
        <f t="shared" si="109"/>
        <v>621.91137238895817</v>
      </c>
      <c r="S184" s="62">
        <f ca="1">AVERAGE(OFFSET($R$3,0,0,'Données projet'!$E$9+1,1))-AVERAGE(OFFSET($H$3,0,0,'Données projet'!$E$9+1,1))</f>
        <v>581.88778927327667</v>
      </c>
      <c r="T184" s="62">
        <f t="shared" si="142"/>
        <v>269.67340993773422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184.29312961513256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184.29312961513256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354.24684313982857</v>
      </c>
      <c r="AO184" s="62">
        <f t="shared" si="144"/>
        <v>322.65043486962185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22.69046002227736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22.69046002227736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3.2455318432766944E-13</v>
      </c>
      <c r="BF184" s="14">
        <f t="shared" si="167"/>
        <v>4.2513245787534721E-12</v>
      </c>
      <c r="BG184" s="22">
        <f t="shared" si="168"/>
        <v>7.9696537706996534E-12</v>
      </c>
      <c r="BH184" s="62">
        <f t="shared" si="116"/>
        <v>293.33333333334127</v>
      </c>
      <c r="BI184" s="62">
        <f ca="1">AVERAGE(OFFSET($BH$3,0,0,'Données projet'!$E$11+1,1))-AVERAGE(OFFSET($H$3,0,0,'Données projet'!$E$11+1,1))</f>
        <v>460.77543902152325</v>
      </c>
      <c r="BJ184" s="62">
        <f t="shared" si="146"/>
        <v>341.4342976721104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54.423384945406823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54.423384945406823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-5.6843418860808015E-13</v>
      </c>
      <c r="BZ184" s="14">
        <f>BY184*VLOOKUP('Données projet'!$B$12,Paramètres!$A$1:$I$89,3,0)*VLOOKUP('Données projet'!$B$12,Paramètres!$A$1:$I$89,5,0)</f>
        <v>-3.39923644787632E-13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438.68915237247444</v>
      </c>
      <c r="CE184" s="62">
        <f t="shared" si="148"/>
        <v>376.94419168335452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31.773336036387445</v>
      </c>
      <c r="CL184" s="23">
        <f>EXP(-LN(2)/25)*CL183+(1-EXP(-LN(2)/25))/(LN(2)/25)*Calculateur!CG184*Calculateur!CI184*VLOOKUP('Données projet'!$B$12,Paramètres!$A$1:$I$89,3,0)*0.475*44/12</f>
        <v>2.1206483773469147</v>
      </c>
      <c r="CM184" s="23">
        <f>EXP(-LN(2)/2)*CM183+(1-EXP(-LN(2)/2))/(LN(2)/2)*CG184*CJ184*VLOOKUP('Données projet'!$B$12,Paramètres!$A$1:$I$89,3,0)*0.475*44/12</f>
        <v>6.4523615310690252E-15</v>
      </c>
      <c r="CN184" s="24">
        <f t="shared" si="172"/>
        <v>33.893984413734366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-5.1159076974727213E-13</v>
      </c>
      <c r="CU184" s="18">
        <f>CT184*VLOOKUP('Données projet'!$B$13,Paramètres!$A$1:$I$89,3,0)*VLOOKUP('Données projet'!$B$13,Paramètres!$A$1:$I$89,5,0)</f>
        <v>-2.3942448024172334E-13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302.06513069580848</v>
      </c>
      <c r="CZ184" s="62">
        <f t="shared" si="150"/>
        <v>164.1450425611464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69.119031961671993</v>
      </c>
      <c r="DG184" s="23">
        <f>EXP(-LN(2)/25)*DG183+(1-EXP(-LN(2)/25))/(LN(2)/25)*Calculateur!DB184*Calculateur!DD184*VLOOKUP('Données projet'!$B$13,Paramètres!$A$1:$I$89,3,0)*0.475*44/12</f>
        <v>6.8417247983656404</v>
      </c>
      <c r="DH184" s="23">
        <f>EXP(-LN(2)/2)*DH183+(1-EXP(-LN(2)/2))/(LN(2)/2)*DB184*DE184*VLOOKUP('Données projet'!$B$13,Paramètres!$A$1:$I$89,3,0)*0.475*44/12</f>
        <v>4.2841556623294695E-7</v>
      </c>
      <c r="DI184" s="24">
        <f t="shared" si="175"/>
        <v>75.960757188453201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1.9533333333333285</v>
      </c>
      <c r="N185" s="14">
        <f>IF('Données projet'!$A$36&gt;35,N184+M185-V184,IF(A185&lt;'Données projet'!$A$36,$K$205^A185,IF(A185='Données projet'!$A$36,'Données projet'!$B$36,N184+M185-V184)))</f>
        <v>167.80666666666716</v>
      </c>
      <c r="O185" s="14">
        <f>N185*VLOOKUP('Données projet'!$B$9,Paramètres!$A$1:$I$89,3,0)*VLOOKUP('Données projet'!$B$9,Paramètres!$A$1:$I$89,5,0)</f>
        <v>151.83147200000045</v>
      </c>
      <c r="P185" s="14">
        <f t="shared" si="141"/>
        <v>38.994499777620597</v>
      </c>
      <c r="Q185" s="22">
        <f t="shared" si="162"/>
        <v>332.35523417935661</v>
      </c>
      <c r="R185" s="62">
        <f t="shared" si="109"/>
        <v>625.68856751268993</v>
      </c>
      <c r="S185" s="62">
        <f ca="1">AVERAGE(OFFSET($R$3,0,0,'Données projet'!$E$9+1,1))-AVERAGE(OFFSET($H$3,0,0,'Données projet'!$E$9+1,1))</f>
        <v>581.88778927327667</v>
      </c>
      <c r="T185" s="62">
        <f t="shared" si="142"/>
        <v>269.67340993773422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180.67925375108953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180.67925375108953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354.24684313982857</v>
      </c>
      <c r="AO185" s="62">
        <f t="shared" si="144"/>
        <v>322.65043486962185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22.245513941054547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22.245513941054547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3.2455318432766944E-13</v>
      </c>
      <c r="BF185" s="14">
        <f t="shared" si="167"/>
        <v>4.2513245787534721E-12</v>
      </c>
      <c r="BG185" s="22">
        <f t="shared" si="168"/>
        <v>7.9696537706996534E-12</v>
      </c>
      <c r="BH185" s="62">
        <f t="shared" si="116"/>
        <v>293.33333333334127</v>
      </c>
      <c r="BI185" s="62">
        <f ca="1">AVERAGE(OFFSET($BH$3,0,0,'Données projet'!$E$11+1,1))-AVERAGE(OFFSET($H$3,0,0,'Données projet'!$E$11+1,1))</f>
        <v>460.77543902152325</v>
      </c>
      <c r="BJ185" s="62">
        <f t="shared" si="146"/>
        <v>341.4342976721104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53.356175561614478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53.356175561614478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-5.6843418860808015E-13</v>
      </c>
      <c r="BZ185" s="14">
        <f>BY185*VLOOKUP('Données projet'!$B$12,Paramètres!$A$1:$I$89,3,0)*VLOOKUP('Données projet'!$B$12,Paramètres!$A$1:$I$89,5,0)</f>
        <v>-3.39923644787632E-13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438.68915237247444</v>
      </c>
      <c r="CE185" s="62">
        <f t="shared" si="148"/>
        <v>376.94419168335452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31.150280296535271</v>
      </c>
      <c r="CL185" s="23">
        <f>EXP(-LN(2)/25)*CL184+(1-EXP(-LN(2)/25))/(LN(2)/25)*Calculateur!CG185*Calculateur!CI185*VLOOKUP('Données projet'!$B$12,Paramètres!$A$1:$I$89,3,0)*0.475*44/12</f>
        <v>2.0626591359483117</v>
      </c>
      <c r="CM185" s="23">
        <f>EXP(-LN(2)/2)*CM184+(1-EXP(-LN(2)/2))/(LN(2)/2)*CG185*CJ185*VLOOKUP('Données projet'!$B$12,Paramètres!$A$1:$I$89,3,0)*0.475*44/12</f>
        <v>4.5625085932861219E-15</v>
      </c>
      <c r="CN185" s="24">
        <f t="shared" si="172"/>
        <v>33.212939432483587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-5.1159076974727213E-13</v>
      </c>
      <c r="CU185" s="18">
        <f>CT185*VLOOKUP('Données projet'!$B$13,Paramètres!$A$1:$I$89,3,0)*VLOOKUP('Données projet'!$B$13,Paramètres!$A$1:$I$89,5,0)</f>
        <v>-2.3942448024172334E-13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302.06513069580848</v>
      </c>
      <c r="CZ185" s="62">
        <f t="shared" si="150"/>
        <v>164.1450425611464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67.763649903350299</v>
      </c>
      <c r="DG185" s="23">
        <f>EXP(-LN(2)/25)*DG184+(1-EXP(-LN(2)/25))/(LN(2)/25)*Calculateur!DB185*Calculateur!DD185*VLOOKUP('Données projet'!$B$13,Paramètres!$A$1:$I$89,3,0)*0.475*44/12</f>
        <v>6.6546374739636622</v>
      </c>
      <c r="DH185" s="23">
        <f>EXP(-LN(2)/2)*DH184+(1-EXP(-LN(2)/2))/(LN(2)/2)*DB185*DE185*VLOOKUP('Données projet'!$B$13,Paramètres!$A$1:$I$89,3,0)*0.475*44/12</f>
        <v>3.0293555204919128E-7</v>
      </c>
      <c r="DI185" s="24">
        <f t="shared" si="175"/>
        <v>74.418287680249506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>
        <f>VLOOKUP(A186,'Données projet'!$A$35:$I$55,2,0)</f>
        <v>169.76</v>
      </c>
      <c r="L186" s="13">
        <f>VLOOKUP(A186,'Données projet'!$A$35:$I$55,9,0)</f>
        <v>1.9533333333333285</v>
      </c>
      <c r="M186" s="13">
        <f t="array" ref="M186">INDEX(L:L,MIN(IF(ISNUMBER(L186:L382),ROW(L186:L382),"")))</f>
        <v>1.9533333333333285</v>
      </c>
      <c r="N186" s="14">
        <f>IF('Données projet'!$A$36&gt;35,N185+M186-V185,IF(A186&lt;'Données projet'!$A$36,$K$205^A186,IF(A186='Données projet'!$A$36,'Données projet'!$B$36,N185+M186-V185)))</f>
        <v>169.76000000000047</v>
      </c>
      <c r="O186" s="14">
        <f>N186*VLOOKUP('Données projet'!$B$9,Paramètres!$A$1:$I$89,3,0)*VLOOKUP('Données projet'!$B$9,Paramètres!$A$1:$I$89,5,0)</f>
        <v>153.5988480000004</v>
      </c>
      <c r="P186" s="14">
        <f t="shared" si="141"/>
        <v>39.395304802658316</v>
      </c>
      <c r="Q186" s="22">
        <f t="shared" si="162"/>
        <v>336.13148279796388</v>
      </c>
      <c r="R186" s="62">
        <f t="shared" si="109"/>
        <v>629.4648161312972</v>
      </c>
      <c r="S186" s="62">
        <f ca="1">AVERAGE(OFFSET($R$3,0,0,'Données projet'!$E$9+1,1))-AVERAGE(OFFSET($H$3,0,0,'Données projet'!$E$9+1,1))</f>
        <v>581.88778927327667</v>
      </c>
      <c r="T186" s="62">
        <f t="shared" si="142"/>
        <v>269.67340993773422</v>
      </c>
      <c r="U186" s="16">
        <f>IF(ISNA(VLOOKUP(A186,'Données projet'!$A$35:$I$55,3,0)),0,VLOOKUP(A186,'Données projet'!$A$35:$I$55,3,0))</f>
        <v>18</v>
      </c>
      <c r="V186" s="16">
        <f>IF(ISNA(VLOOKUP(A186,'Données projet'!$A$35:$I$55,4,0)),0,VLOOKUP(A186,'Données projet'!$A$35:$I$55,4,0))</f>
        <v>169.76</v>
      </c>
      <c r="W186" s="17">
        <f>IF(ISNA(VLOOKUP(A186,'Données projet'!$A$35:$I$55,5,0)),0%,VLOOKUP(A186,'Données projet'!$A$35:$I$55,5,0)*VLOOKUP('Données projet'!$B$9,Paramètres!$A$1:$I$89,7,0))</f>
        <v>0.34400000000000003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235.54709180576182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235.54709180576182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354.24684313982857</v>
      </c>
      <c r="AO186" s="62">
        <f t="shared" si="144"/>
        <v>322.65043486962185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21.809292981094202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21.809292981094202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3.2455318432766944E-13</v>
      </c>
      <c r="BF186" s="14">
        <f t="shared" si="167"/>
        <v>4.2513245787534721E-12</v>
      </c>
      <c r="BG186" s="22">
        <f t="shared" si="168"/>
        <v>7.9696537706996534E-12</v>
      </c>
      <c r="BH186" s="62">
        <f t="shared" si="116"/>
        <v>293.33333333334127</v>
      </c>
      <c r="BI186" s="62">
        <f ca="1">AVERAGE(OFFSET($BH$3,0,0,'Données projet'!$E$11+1,1))-AVERAGE(OFFSET($H$3,0,0,'Données projet'!$E$11+1,1))</f>
        <v>460.77543902152325</v>
      </c>
      <c r="BJ186" s="62">
        <f t="shared" si="146"/>
        <v>341.4342976721104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52.309893502904849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52.309893502904849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-5.6843418860808015E-13</v>
      </c>
      <c r="BZ186" s="14">
        <f>BY186*VLOOKUP('Données projet'!$B$12,Paramètres!$A$1:$I$89,3,0)*VLOOKUP('Données projet'!$B$12,Paramètres!$A$1:$I$89,5,0)</f>
        <v>-3.39923644787632E-13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438.68915237247444</v>
      </c>
      <c r="CE186" s="62">
        <f t="shared" si="148"/>
        <v>376.94419168335452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30.539442299715123</v>
      </c>
      <c r="CL186" s="23">
        <f>EXP(-LN(2)/25)*CL185+(1-EXP(-LN(2)/25))/(LN(2)/25)*Calculateur!CG186*Calculateur!CI186*VLOOKUP('Données projet'!$B$12,Paramètres!$A$1:$I$89,3,0)*0.475*44/12</f>
        <v>2.0062556134052754</v>
      </c>
      <c r="CM186" s="23">
        <f>EXP(-LN(2)/2)*CM185+(1-EXP(-LN(2)/2))/(LN(2)/2)*CG186*CJ186*VLOOKUP('Données projet'!$B$12,Paramètres!$A$1:$I$89,3,0)*0.475*44/12</f>
        <v>3.2261807655345126E-15</v>
      </c>
      <c r="CN186" s="24">
        <f t="shared" si="172"/>
        <v>32.545697913120399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-5.1159076974727213E-13</v>
      </c>
      <c r="CU186" s="18">
        <f>CT186*VLOOKUP('Données projet'!$B$13,Paramètres!$A$1:$I$89,3,0)*VLOOKUP('Données projet'!$B$13,Paramètres!$A$1:$I$89,5,0)</f>
        <v>-2.3942448024172334E-13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302.06513069580848</v>
      </c>
      <c r="CZ186" s="62">
        <f t="shared" si="150"/>
        <v>164.1450425611464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66.434846060490869</v>
      </c>
      <c r="DG186" s="23">
        <f>EXP(-LN(2)/25)*DG185+(1-EXP(-LN(2)/25))/(LN(2)/25)*Calculateur!DB186*Calculateur!DD186*VLOOKUP('Données projet'!$B$13,Paramètres!$A$1:$I$89,3,0)*0.475*44/12</f>
        <v>6.4726660622859509</v>
      </c>
      <c r="DH186" s="23">
        <f>EXP(-LN(2)/2)*DH185+(1-EXP(-LN(2)/2))/(LN(2)/2)*DB186*DE186*VLOOKUP('Données projet'!$B$13,Paramètres!$A$1:$I$89,3,0)*0.475*44/12</f>
        <v>2.1420778311647348E-7</v>
      </c>
      <c r="DI186" s="24">
        <f t="shared" si="175"/>
        <v>72.90751233698461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4.8316906031686813E-13</v>
      </c>
      <c r="O187" s="14">
        <f>N187*VLOOKUP('Données projet'!$B$9,Paramètres!$A$1:$I$89,3,0)*VLOOKUP('Données projet'!$B$9,Paramètres!$A$1:$I$89,5,0)</f>
        <v>4.3717136577470225E-13</v>
      </c>
      <c r="P187" s="14">
        <f t="shared" si="141"/>
        <v>5.5313598682231701E-12</v>
      </c>
      <c r="Q187" s="22">
        <f t="shared" si="162"/>
        <v>1.039519189921296E-11</v>
      </c>
      <c r="R187" s="62">
        <f t="shared" si="109"/>
        <v>293.33333333334372</v>
      </c>
      <c r="S187" s="62">
        <f ca="1">AVERAGE(OFFSET($R$3,0,0,'Données projet'!$E$9+1,1))-AVERAGE(OFFSET($H$3,0,0,'Données projet'!$E$9+1,1))</f>
        <v>581.88778927327667</v>
      </c>
      <c r="T187" s="62">
        <f t="shared" si="142"/>
        <v>269.67340993773422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230.92815700499065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230.92815700499065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354.24684313982857</v>
      </c>
      <c r="AO187" s="62">
        <f t="shared" si="144"/>
        <v>322.65043486962185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21.381626048090165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21.381626048090165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3.2455318432766944E-13</v>
      </c>
      <c r="BF187" s="14">
        <f t="shared" si="167"/>
        <v>4.2513245787534721E-12</v>
      </c>
      <c r="BG187" s="22">
        <f t="shared" si="168"/>
        <v>7.9696537706996534E-12</v>
      </c>
      <c r="BH187" s="62">
        <f t="shared" si="116"/>
        <v>293.33333333334127</v>
      </c>
      <c r="BI187" s="62">
        <f ca="1">AVERAGE(OFFSET($BH$3,0,0,'Données projet'!$E$11+1,1))-AVERAGE(OFFSET($H$3,0,0,'Données projet'!$E$11+1,1))</f>
        <v>460.77543902152325</v>
      </c>
      <c r="BJ187" s="62">
        <f t="shared" si="146"/>
        <v>341.4342976721104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51.284128397197478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51.284128397197478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-5.6843418860808015E-13</v>
      </c>
      <c r="BZ187" s="14">
        <f>BY187*VLOOKUP('Données projet'!$B$12,Paramètres!$A$1:$I$89,3,0)*VLOOKUP('Données projet'!$B$12,Paramètres!$A$1:$I$89,5,0)</f>
        <v>-3.39923644787632E-13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438.68915237247444</v>
      </c>
      <c r="CE187" s="62">
        <f t="shared" si="148"/>
        <v>376.94419168335452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29.940582463438226</v>
      </c>
      <c r="CL187" s="23">
        <f>EXP(-LN(2)/25)*CL186+(1-EXP(-LN(2)/25))/(LN(2)/25)*Calculateur!CG187*Calculateur!CI187*VLOOKUP('Données projet'!$B$12,Paramètres!$A$1:$I$89,3,0)*0.475*44/12</f>
        <v>1.9513944481523107</v>
      </c>
      <c r="CM187" s="23">
        <f>EXP(-LN(2)/2)*CM186+(1-EXP(-LN(2)/2))/(LN(2)/2)*CG187*CJ187*VLOOKUP('Données projet'!$B$12,Paramètres!$A$1:$I$89,3,0)*0.475*44/12</f>
        <v>2.2812542966430609E-15</v>
      </c>
      <c r="CN187" s="24">
        <f t="shared" si="172"/>
        <v>31.89197691159054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-5.1159076974727213E-13</v>
      </c>
      <c r="CU187" s="18">
        <f>CT187*VLOOKUP('Données projet'!$B$13,Paramètres!$A$1:$I$89,3,0)*VLOOKUP('Données projet'!$B$13,Paramètres!$A$1:$I$89,5,0)</f>
        <v>-2.3942448024172334E-13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302.06513069580848</v>
      </c>
      <c r="CZ187" s="62">
        <f t="shared" si="150"/>
        <v>164.1450425611464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65.132099250499593</v>
      </c>
      <c r="DG187" s="23">
        <f>EXP(-LN(2)/25)*DG186+(1-EXP(-LN(2)/25))/(LN(2)/25)*Calculateur!DB187*Calculateur!DD187*VLOOKUP('Données projet'!$B$13,Paramètres!$A$1:$I$89,3,0)*0.475*44/12</f>
        <v>6.2956706684300272</v>
      </c>
      <c r="DH187" s="23">
        <f>EXP(-LN(2)/2)*DH186+(1-EXP(-LN(2)/2))/(LN(2)/2)*DB187*DE187*VLOOKUP('Données projet'!$B$13,Paramètres!$A$1:$I$89,3,0)*0.475*44/12</f>
        <v>1.5146777602459564E-7</v>
      </c>
      <c r="DI187" s="24">
        <f t="shared" si="175"/>
        <v>71.427770070397386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4.8316906031686813E-13</v>
      </c>
      <c r="O188" s="14">
        <f>N188*VLOOKUP('Données projet'!$B$9,Paramètres!$A$1:$I$89,3,0)*VLOOKUP('Données projet'!$B$9,Paramètres!$A$1:$I$89,5,0)</f>
        <v>4.3717136577470225E-13</v>
      </c>
      <c r="P188" s="14">
        <f t="shared" si="141"/>
        <v>5.5313598682231701E-12</v>
      </c>
      <c r="Q188" s="22">
        <f t="shared" si="162"/>
        <v>1.039519189921296E-11</v>
      </c>
      <c r="R188" s="62">
        <f t="shared" si="109"/>
        <v>293.33333333334372</v>
      </c>
      <c r="S188" s="62">
        <f ca="1">AVERAGE(OFFSET($R$3,0,0,'Données projet'!$E$9+1,1))-AVERAGE(OFFSET($H$3,0,0,'Données projet'!$E$9+1,1))</f>
        <v>581.88778927327667</v>
      </c>
      <c r="T188" s="62">
        <f t="shared" si="142"/>
        <v>269.67340993773422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226.39979669839056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226.39979669839056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354.24684313982857</v>
      </c>
      <c r="AO188" s="62">
        <f t="shared" si="144"/>
        <v>322.65043486962185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20.962345402791264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20.962345402791264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3.2455318432766944E-13</v>
      </c>
      <c r="BF188" s="14">
        <f t="shared" si="167"/>
        <v>4.2513245787534721E-12</v>
      </c>
      <c r="BG188" s="22">
        <f t="shared" si="168"/>
        <v>7.9696537706996534E-12</v>
      </c>
      <c r="BH188" s="62">
        <f t="shared" si="116"/>
        <v>293.33333333334127</v>
      </c>
      <c r="BI188" s="62">
        <f ca="1">AVERAGE(OFFSET($BH$3,0,0,'Données projet'!$E$11+1,1))-AVERAGE(OFFSET($H$3,0,0,'Données projet'!$E$11+1,1))</f>
        <v>460.77543902152325</v>
      </c>
      <c r="BJ188" s="62">
        <f t="shared" si="146"/>
        <v>341.4342976721104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50.278477919558092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50.278477919558092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-5.6843418860808015E-13</v>
      </c>
      <c r="BZ188" s="14">
        <f>BY188*VLOOKUP('Données projet'!$B$12,Paramètres!$A$1:$I$89,3,0)*VLOOKUP('Données projet'!$B$12,Paramètres!$A$1:$I$89,5,0)</f>
        <v>-3.39923644787632E-13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438.68915237247444</v>
      </c>
      <c r="CE188" s="62">
        <f t="shared" si="148"/>
        <v>376.94419168335452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29.353465903282288</v>
      </c>
      <c r="CL188" s="23">
        <f>EXP(-LN(2)/25)*CL187+(1-EXP(-LN(2)/25))/(LN(2)/25)*Calculateur!CG188*Calculateur!CI188*VLOOKUP('Données projet'!$B$12,Paramètres!$A$1:$I$89,3,0)*0.475*44/12</f>
        <v>1.8980334643482117</v>
      </c>
      <c r="CM188" s="23">
        <f>EXP(-LN(2)/2)*CM187+(1-EXP(-LN(2)/2))/(LN(2)/2)*CG188*CJ188*VLOOKUP('Données projet'!$B$12,Paramètres!$A$1:$I$89,3,0)*0.475*44/12</f>
        <v>1.6130903827672563E-15</v>
      </c>
      <c r="CN188" s="24">
        <f t="shared" si="172"/>
        <v>31.251499367630501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-5.1159076974727213E-13</v>
      </c>
      <c r="CU188" s="18">
        <f>CT188*VLOOKUP('Données projet'!$B$13,Paramètres!$A$1:$I$89,3,0)*VLOOKUP('Données projet'!$B$13,Paramètres!$A$1:$I$89,5,0)</f>
        <v>-2.3942448024172334E-13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302.06513069580848</v>
      </c>
      <c r="CZ188" s="62">
        <f t="shared" si="150"/>
        <v>164.1450425611464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63.854898510855158</v>
      </c>
      <c r="DG188" s="23">
        <f>EXP(-LN(2)/25)*DG187+(1-EXP(-LN(2)/25))/(LN(2)/25)*Calculateur!DB188*Calculateur!DD188*VLOOKUP('Données projet'!$B$13,Paramètres!$A$1:$I$89,3,0)*0.475*44/12</f>
        <v>6.1235152229268763</v>
      </c>
      <c r="DH188" s="23">
        <f>EXP(-LN(2)/2)*DH187+(1-EXP(-LN(2)/2))/(LN(2)/2)*DB188*DE188*VLOOKUP('Données projet'!$B$13,Paramètres!$A$1:$I$89,3,0)*0.475*44/12</f>
        <v>1.0710389155823674E-7</v>
      </c>
      <c r="DI188" s="24">
        <f t="shared" si="175"/>
        <v>69.978413840885921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4.8316906031686813E-13</v>
      </c>
      <c r="O189" s="14">
        <f>N189*VLOOKUP('Données projet'!$B$9,Paramètres!$A$1:$I$89,3,0)*VLOOKUP('Données projet'!$B$9,Paramètres!$A$1:$I$89,5,0)</f>
        <v>4.3717136577470225E-13</v>
      </c>
      <c r="P189" s="14">
        <f t="shared" si="141"/>
        <v>5.5313598682231701E-12</v>
      </c>
      <c r="Q189" s="22">
        <f t="shared" si="162"/>
        <v>1.039519189921296E-11</v>
      </c>
      <c r="R189" s="62">
        <f t="shared" si="109"/>
        <v>293.33333333334372</v>
      </c>
      <c r="S189" s="62">
        <f ca="1">AVERAGE(OFFSET($R$3,0,0,'Données projet'!$E$9+1,1))-AVERAGE(OFFSET($H$3,0,0,'Données projet'!$E$9+1,1))</f>
        <v>581.88778927327667</v>
      </c>
      <c r="T189" s="62">
        <f t="shared" si="142"/>
        <v>269.67340993773422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221.96023477537582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221.96023477537582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354.24684313982857</v>
      </c>
      <c r="AO189" s="62">
        <f t="shared" si="144"/>
        <v>322.65043486962185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20.551286595210733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20.551286595210733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3.2455318432766944E-13</v>
      </c>
      <c r="BF189" s="14">
        <f t="shared" si="167"/>
        <v>4.2513245787534721E-12</v>
      </c>
      <c r="BG189" s="22">
        <f t="shared" si="168"/>
        <v>7.9696537706996534E-12</v>
      </c>
      <c r="BH189" s="62">
        <f t="shared" si="116"/>
        <v>293.33333333334127</v>
      </c>
      <c r="BI189" s="62">
        <f ca="1">AVERAGE(OFFSET($BH$3,0,0,'Données projet'!$E$11+1,1))-AVERAGE(OFFSET($H$3,0,0,'Données projet'!$E$11+1,1))</f>
        <v>460.77543902152325</v>
      </c>
      <c r="BJ189" s="62">
        <f t="shared" si="146"/>
        <v>341.4342976721104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49.292547634398993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49.292547634398993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-5.6843418860808015E-13</v>
      </c>
      <c r="BZ189" s="14">
        <f>BY189*VLOOKUP('Données projet'!$B$12,Paramètres!$A$1:$I$89,3,0)*VLOOKUP('Données projet'!$B$12,Paramètres!$A$1:$I$89,5,0)</f>
        <v>-3.39923644787632E-13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438.68915237247444</v>
      </c>
      <c r="CE189" s="62">
        <f t="shared" si="148"/>
        <v>376.94419168335452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28.777862340765264</v>
      </c>
      <c r="CL189" s="23">
        <f>EXP(-LN(2)/25)*CL188+(1-EXP(-LN(2)/25))/(LN(2)/25)*Calculateur!CG189*Calculateur!CI189*VLOOKUP('Données projet'!$B$12,Paramètres!$A$1:$I$89,3,0)*0.475*44/12</f>
        <v>1.8461316394523679</v>
      </c>
      <c r="CM189" s="23">
        <f>EXP(-LN(2)/2)*CM188+(1-EXP(-LN(2)/2))/(LN(2)/2)*CG189*CJ189*VLOOKUP('Données projet'!$B$12,Paramètres!$A$1:$I$89,3,0)*0.475*44/12</f>
        <v>1.1406271483215305E-15</v>
      </c>
      <c r="CN189" s="24">
        <f t="shared" si="172"/>
        <v>30.62399398021763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-5.1159076974727213E-13</v>
      </c>
      <c r="CU189" s="18">
        <f>CT189*VLOOKUP('Données projet'!$B$13,Paramètres!$A$1:$I$89,3,0)*VLOOKUP('Données projet'!$B$13,Paramètres!$A$1:$I$89,5,0)</f>
        <v>-2.3942448024172334E-13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302.06513069580848</v>
      </c>
      <c r="CZ189" s="62">
        <f t="shared" si="150"/>
        <v>164.1450425611464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62.602742898699617</v>
      </c>
      <c r="DG189" s="23">
        <f>EXP(-LN(2)/25)*DG188+(1-EXP(-LN(2)/25))/(LN(2)/25)*Calculateur!DB189*Calculateur!DD189*VLOOKUP('Données projet'!$B$13,Paramètres!$A$1:$I$89,3,0)*0.475*44/12</f>
        <v>5.9560673771342705</v>
      </c>
      <c r="DH189" s="23">
        <f>EXP(-LN(2)/2)*DH188+(1-EXP(-LN(2)/2))/(LN(2)/2)*DB189*DE189*VLOOKUP('Données projet'!$B$13,Paramètres!$A$1:$I$89,3,0)*0.475*44/12</f>
        <v>7.5733888012297819E-8</v>
      </c>
      <c r="DI189" s="24">
        <f t="shared" si="175"/>
        <v>68.558810351567786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4.8316906031686813E-13</v>
      </c>
      <c r="O190" s="14">
        <f>N190*VLOOKUP('Données projet'!$B$9,Paramètres!$A$1:$I$89,3,0)*VLOOKUP('Données projet'!$B$9,Paramètres!$A$1:$I$89,5,0)</f>
        <v>4.3717136577470225E-13</v>
      </c>
      <c r="P190" s="14">
        <f t="shared" si="141"/>
        <v>5.5313598682231701E-12</v>
      </c>
      <c r="Q190" s="22">
        <f t="shared" si="162"/>
        <v>1.039519189921296E-11</v>
      </c>
      <c r="R190" s="62">
        <f t="shared" si="109"/>
        <v>293.33333333334372</v>
      </c>
      <c r="S190" s="62">
        <f ca="1">AVERAGE(OFFSET($R$3,0,0,'Données projet'!$E$9+1,1))-AVERAGE(OFFSET($H$3,0,0,'Données projet'!$E$9+1,1))</f>
        <v>581.88778927327667</v>
      </c>
      <c r="T190" s="62">
        <f t="shared" si="142"/>
        <v>269.67340993773422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217.60772995380603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217.60772995380603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354.24684313982857</v>
      </c>
      <c r="AO190" s="62">
        <f t="shared" si="144"/>
        <v>322.65043486962185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20.14828840012574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20.14828840012574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3.2455318432766944E-13</v>
      </c>
      <c r="BF190" s="14">
        <f t="shared" si="167"/>
        <v>4.2513245787534721E-12</v>
      </c>
      <c r="BG190" s="22">
        <f t="shared" si="168"/>
        <v>7.9696537706996534E-12</v>
      </c>
      <c r="BH190" s="62">
        <f t="shared" si="116"/>
        <v>293.33333333334127</v>
      </c>
      <c r="BI190" s="62">
        <f ca="1">AVERAGE(OFFSET($BH$3,0,0,'Données projet'!$E$11+1,1))-AVERAGE(OFFSET($H$3,0,0,'Données projet'!$E$11+1,1))</f>
        <v>460.77543902152325</v>
      </c>
      <c r="BJ190" s="62">
        <f t="shared" si="146"/>
        <v>341.4342976721104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48.325950840773764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48.325950840773764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-5.6843418860808015E-13</v>
      </c>
      <c r="BZ190" s="14">
        <f>BY190*VLOOKUP('Données projet'!$B$12,Paramètres!$A$1:$I$89,3,0)*VLOOKUP('Données projet'!$B$12,Paramètres!$A$1:$I$89,5,0)</f>
        <v>-3.39923644787632E-13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438.68915237247444</v>
      </c>
      <c r="CE190" s="62">
        <f t="shared" si="148"/>
        <v>376.94419168335452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28.213546013025695</v>
      </c>
      <c r="CL190" s="23">
        <f>EXP(-LN(2)/25)*CL189+(1-EXP(-LN(2)/25))/(LN(2)/25)*Calculateur!CG190*Calculateur!CI190*VLOOKUP('Données projet'!$B$12,Paramètres!$A$1:$I$89,3,0)*0.475*44/12</f>
        <v>1.7956490726876995</v>
      </c>
      <c r="CM190" s="23">
        <f>EXP(-LN(2)/2)*CM189+(1-EXP(-LN(2)/2))/(LN(2)/2)*CG190*CJ190*VLOOKUP('Données projet'!$B$12,Paramètres!$A$1:$I$89,3,0)*0.475*44/12</f>
        <v>8.0654519138362815E-16</v>
      </c>
      <c r="CN190" s="24">
        <f t="shared" si="172"/>
        <v>30.009195085713394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-5.1159076974727213E-13</v>
      </c>
      <c r="CU190" s="18">
        <f>CT190*VLOOKUP('Données projet'!$B$13,Paramètres!$A$1:$I$89,3,0)*VLOOKUP('Données projet'!$B$13,Paramètres!$A$1:$I$89,5,0)</f>
        <v>-2.3942448024172334E-13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302.06513069580848</v>
      </c>
      <c r="CZ190" s="62">
        <f t="shared" si="150"/>
        <v>164.1450425611464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61.37514129435894</v>
      </c>
      <c r="DG190" s="23">
        <f>EXP(-LN(2)/25)*DG189+(1-EXP(-LN(2)/25))/(LN(2)/25)*Calculateur!DB190*Calculateur!DD190*VLOOKUP('Données projet'!$B$13,Paramètres!$A$1:$I$89,3,0)*0.475*44/12</f>
        <v>5.7931984014905629</v>
      </c>
      <c r="DH190" s="23">
        <f>EXP(-LN(2)/2)*DH189+(1-EXP(-LN(2)/2))/(LN(2)/2)*DB190*DE190*VLOOKUP('Données projet'!$B$13,Paramètres!$A$1:$I$89,3,0)*0.475*44/12</f>
        <v>5.3551945779118369E-8</v>
      </c>
      <c r="DI190" s="24">
        <f t="shared" si="175"/>
        <v>67.16833974940144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4.8316906031686813E-13</v>
      </c>
      <c r="O191" s="14">
        <f>N191*VLOOKUP('Données projet'!$B$9,Paramètres!$A$1:$I$89,3,0)*VLOOKUP('Données projet'!$B$9,Paramètres!$A$1:$I$89,5,0)</f>
        <v>4.3717136577470225E-13</v>
      </c>
      <c r="P191" s="14">
        <f t="shared" si="141"/>
        <v>5.5313598682231701E-12</v>
      </c>
      <c r="Q191" s="22">
        <f t="shared" si="162"/>
        <v>1.039519189921296E-11</v>
      </c>
      <c r="R191" s="62">
        <f t="shared" si="109"/>
        <v>293.33333333334372</v>
      </c>
      <c r="S191" s="62">
        <f ca="1">AVERAGE(OFFSET($R$3,0,0,'Données projet'!$E$9+1,1))-AVERAGE(OFFSET($H$3,0,0,'Données projet'!$E$9+1,1))</f>
        <v>581.88778927327667</v>
      </c>
      <c r="T191" s="62">
        <f t="shared" si="142"/>
        <v>269.67340993773422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213.3405750970214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213.3405750970214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354.24684313982857</v>
      </c>
      <c r="AO191" s="62">
        <f t="shared" si="144"/>
        <v>322.65043486962185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19.753192753841738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19.753192753841738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3.2455318432766944E-13</v>
      </c>
      <c r="BF191" s="14">
        <f t="shared" si="167"/>
        <v>4.2513245787534721E-12</v>
      </c>
      <c r="BG191" s="22">
        <f t="shared" si="168"/>
        <v>7.9696537706996534E-12</v>
      </c>
      <c r="BH191" s="62">
        <f t="shared" si="116"/>
        <v>293.33333333334127</v>
      </c>
      <c r="BI191" s="62">
        <f ca="1">AVERAGE(OFFSET($BH$3,0,0,'Données projet'!$E$11+1,1))-AVERAGE(OFFSET($H$3,0,0,'Données projet'!$E$11+1,1))</f>
        <v>460.77543902152325</v>
      </c>
      <c r="BJ191" s="62">
        <f t="shared" si="146"/>
        <v>341.4342976721104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47.3783084207057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47.3783084207057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-5.6843418860808015E-13</v>
      </c>
      <c r="BZ191" s="14">
        <f>BY191*VLOOKUP('Données projet'!$B$12,Paramètres!$A$1:$I$89,3,0)*VLOOKUP('Données projet'!$B$12,Paramètres!$A$1:$I$89,5,0)</f>
        <v>-3.39923644787632E-13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438.68915237247444</v>
      </c>
      <c r="CE191" s="62">
        <f t="shared" si="148"/>
        <v>376.94419168335452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27.660295584274124</v>
      </c>
      <c r="CL191" s="23">
        <f>EXP(-LN(2)/25)*CL190+(1-EXP(-LN(2)/25))/(LN(2)/25)*Calculateur!CG191*Calculateur!CI191*VLOOKUP('Données projet'!$B$12,Paramètres!$A$1:$I$89,3,0)*0.475*44/12</f>
        <v>1.7465469543659735</v>
      </c>
      <c r="CM191" s="23">
        <f>EXP(-LN(2)/2)*CM190+(1-EXP(-LN(2)/2))/(LN(2)/2)*CG191*CJ191*VLOOKUP('Données projet'!$B$12,Paramètres!$A$1:$I$89,3,0)*0.475*44/12</f>
        <v>5.7031357416076524E-16</v>
      </c>
      <c r="CN191" s="24">
        <f t="shared" si="172"/>
        <v>29.406842538640099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-5.1159076974727213E-13</v>
      </c>
      <c r="CU191" s="18">
        <f>CT191*VLOOKUP('Données projet'!$B$13,Paramètres!$A$1:$I$89,3,0)*VLOOKUP('Données projet'!$B$13,Paramètres!$A$1:$I$89,5,0)</f>
        <v>-2.3942448024172334E-13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302.06513069580848</v>
      </c>
      <c r="CZ191" s="62">
        <f t="shared" si="150"/>
        <v>164.1450425611464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60.17161220871634</v>
      </c>
      <c r="DG191" s="23">
        <f>EXP(-LN(2)/25)*DG190+(1-EXP(-LN(2)/25))/(LN(2)/25)*Calculateur!DB191*Calculateur!DD191*VLOOKUP('Données projet'!$B$13,Paramètres!$A$1:$I$89,3,0)*0.475*44/12</f>
        <v>5.6347830865507404</v>
      </c>
      <c r="DH191" s="23">
        <f>EXP(-LN(2)/2)*DH190+(1-EXP(-LN(2)/2))/(LN(2)/2)*DB191*DE191*VLOOKUP('Données projet'!$B$13,Paramètres!$A$1:$I$89,3,0)*0.475*44/12</f>
        <v>3.786694400614891E-8</v>
      </c>
      <c r="DI191" s="24">
        <f t="shared" si="175"/>
        <v>65.80639533313402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4.8316906031686813E-13</v>
      </c>
      <c r="O192" s="14">
        <f>N192*VLOOKUP('Données projet'!$B$9,Paramètres!$A$1:$I$89,3,0)*VLOOKUP('Données projet'!$B$9,Paramètres!$A$1:$I$89,5,0)</f>
        <v>4.3717136577470225E-13</v>
      </c>
      <c r="P192" s="14">
        <f t="shared" si="141"/>
        <v>5.5313598682231701E-12</v>
      </c>
      <c r="Q192" s="22">
        <f t="shared" si="162"/>
        <v>1.039519189921296E-11</v>
      </c>
      <c r="R192" s="62">
        <f t="shared" si="109"/>
        <v>293.33333333334372</v>
      </c>
      <c r="S192" s="62">
        <f ca="1">AVERAGE(OFFSET($R$3,0,0,'Données projet'!$E$9+1,1))-AVERAGE(OFFSET($H$3,0,0,'Données projet'!$E$9+1,1))</f>
        <v>581.88778927327667</v>
      </c>
      <c r="T192" s="62">
        <f t="shared" si="142"/>
        <v>269.67340993773422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209.15709654427084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209.15709654427084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354.24684313982857</v>
      </c>
      <c r="AO192" s="62">
        <f t="shared" si="144"/>
        <v>322.65043486962185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19.365844692196813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19.365844692196813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3.2455318432766944E-13</v>
      </c>
      <c r="BF192" s="14">
        <f t="shared" si="167"/>
        <v>4.2513245787534721E-12</v>
      </c>
      <c r="BG192" s="22">
        <f t="shared" si="168"/>
        <v>7.9696537706996534E-12</v>
      </c>
      <c r="BH192" s="62">
        <f t="shared" si="116"/>
        <v>293.33333333334127</v>
      </c>
      <c r="BI192" s="62">
        <f ca="1">AVERAGE(OFFSET($BH$3,0,0,'Données projet'!$E$11+1,1))-AVERAGE(OFFSET($H$3,0,0,'Données projet'!$E$11+1,1))</f>
        <v>460.77543902152325</v>
      </c>
      <c r="BJ192" s="62">
        <f t="shared" si="146"/>
        <v>341.4342976721104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46.449248690490364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46.449248690490364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-5.6843418860808015E-13</v>
      </c>
      <c r="BZ192" s="14">
        <f>BY192*VLOOKUP('Données projet'!$B$12,Paramètres!$A$1:$I$89,3,0)*VLOOKUP('Données projet'!$B$12,Paramètres!$A$1:$I$89,5,0)</f>
        <v>-3.39923644787632E-13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438.68915237247444</v>
      </c>
      <c r="CE192" s="62">
        <f t="shared" si="148"/>
        <v>376.94419168335452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27.11789405898093</v>
      </c>
      <c r="CL192" s="23">
        <f>EXP(-LN(2)/25)*CL191+(1-EXP(-LN(2)/25))/(LN(2)/25)*Calculateur!CG192*Calculateur!CI192*VLOOKUP('Données projet'!$B$12,Paramètres!$A$1:$I$89,3,0)*0.475*44/12</f>
        <v>1.6987875360519233</v>
      </c>
      <c r="CM192" s="23">
        <f>EXP(-LN(2)/2)*CM191+(1-EXP(-LN(2)/2))/(LN(2)/2)*CG192*CJ192*VLOOKUP('Données projet'!$B$12,Paramètres!$A$1:$I$89,3,0)*0.475*44/12</f>
        <v>4.0327259569181407E-16</v>
      </c>
      <c r="CN192" s="24">
        <f t="shared" si="172"/>
        <v>28.816681595032854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-5.1159076974727213E-13</v>
      </c>
      <c r="CU192" s="18">
        <f>CT192*VLOOKUP('Données projet'!$B$13,Paramètres!$A$1:$I$89,3,0)*VLOOKUP('Données projet'!$B$13,Paramètres!$A$1:$I$89,5,0)</f>
        <v>-2.3942448024172334E-13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302.06513069580848</v>
      </c>
      <c r="CZ192" s="62">
        <f t="shared" si="150"/>
        <v>164.1450425611464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58.991683594362932</v>
      </c>
      <c r="DG192" s="23">
        <f>EXP(-LN(2)/25)*DG191+(1-EXP(-LN(2)/25))/(LN(2)/25)*Calculateur!DB192*Calculateur!DD192*VLOOKUP('Données projet'!$B$13,Paramètres!$A$1:$I$89,3,0)*0.475*44/12</f>
        <v>5.4806996467286462</v>
      </c>
      <c r="DH192" s="23">
        <f>EXP(-LN(2)/2)*DH191+(1-EXP(-LN(2)/2))/(LN(2)/2)*DB192*DE192*VLOOKUP('Données projet'!$B$13,Paramètres!$A$1:$I$89,3,0)*0.475*44/12</f>
        <v>2.6775972889559185E-8</v>
      </c>
      <c r="DI192" s="24">
        <f t="shared" si="175"/>
        <v>64.472383267867556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4.8316906031686813E-13</v>
      </c>
      <c r="O193" s="14">
        <f>N193*VLOOKUP('Données projet'!$B$9,Paramètres!$A$1:$I$89,3,0)*VLOOKUP('Données projet'!$B$9,Paramètres!$A$1:$I$89,5,0)</f>
        <v>4.3717136577470225E-13</v>
      </c>
      <c r="P193" s="14">
        <f t="shared" si="141"/>
        <v>5.5313598682231701E-12</v>
      </c>
      <c r="Q193" s="22">
        <f t="shared" si="162"/>
        <v>1.039519189921296E-11</v>
      </c>
      <c r="R193" s="62">
        <f t="shared" si="109"/>
        <v>293.33333333334372</v>
      </c>
      <c r="S193" s="62">
        <f ca="1">AVERAGE(OFFSET($R$3,0,0,'Données projet'!$E$9+1,1))-AVERAGE(OFFSET($H$3,0,0,'Données projet'!$E$9+1,1))</f>
        <v>581.88778927327667</v>
      </c>
      <c r="T193" s="62">
        <f t="shared" si="142"/>
        <v>269.67340993773422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205.05565345426976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205.05565345426976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354.24684313982857</v>
      </c>
      <c r="AO193" s="62">
        <f t="shared" si="144"/>
        <v>322.65043486962185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18.986092289781759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18.986092289781759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3.2455318432766944E-13</v>
      </c>
      <c r="BF193" s="14">
        <f t="shared" si="167"/>
        <v>4.2513245787534721E-12</v>
      </c>
      <c r="BG193" s="22">
        <f t="shared" si="168"/>
        <v>7.9696537706996534E-12</v>
      </c>
      <c r="BH193" s="62">
        <f t="shared" si="116"/>
        <v>293.33333333334127</v>
      </c>
      <c r="BI193" s="62">
        <f ca="1">AVERAGE(OFFSET($BH$3,0,0,'Données projet'!$E$11+1,1))-AVERAGE(OFFSET($H$3,0,0,'Données projet'!$E$11+1,1))</f>
        <v>460.77543902152325</v>
      </c>
      <c r="BJ193" s="62">
        <f t="shared" si="146"/>
        <v>341.4342976721104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45.53840725491407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45.53840725491407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-5.6843418860808015E-13</v>
      </c>
      <c r="BZ193" s="14">
        <f>BY193*VLOOKUP('Données projet'!$B$12,Paramètres!$A$1:$I$89,3,0)*VLOOKUP('Données projet'!$B$12,Paramètres!$A$1:$I$89,5,0)</f>
        <v>-3.39923644787632E-13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438.68915237247444</v>
      </c>
      <c r="CE193" s="62">
        <f t="shared" si="148"/>
        <v>376.94419168335452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26.586128696766473</v>
      </c>
      <c r="CL193" s="23">
        <f>EXP(-LN(2)/25)*CL192+(1-EXP(-LN(2)/25))/(LN(2)/25)*Calculateur!CG193*Calculateur!CI193*VLOOKUP('Données projet'!$B$12,Paramètres!$A$1:$I$89,3,0)*0.475*44/12</f>
        <v>1.6523341015432296</v>
      </c>
      <c r="CM193" s="23">
        <f>EXP(-LN(2)/2)*CM192+(1-EXP(-LN(2)/2))/(LN(2)/2)*CG193*CJ193*VLOOKUP('Données projet'!$B$12,Paramètres!$A$1:$I$89,3,0)*0.475*44/12</f>
        <v>2.8515678708038262E-16</v>
      </c>
      <c r="CN193" s="24">
        <f t="shared" si="172"/>
        <v>28.238462798309701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-5.1159076974727213E-13</v>
      </c>
      <c r="CU193" s="18">
        <f>CT193*VLOOKUP('Données projet'!$B$13,Paramètres!$A$1:$I$89,3,0)*VLOOKUP('Données projet'!$B$13,Paramètres!$A$1:$I$89,5,0)</f>
        <v>-2.3942448024172334E-13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302.06513069580848</v>
      </c>
      <c r="CZ193" s="62">
        <f t="shared" si="150"/>
        <v>164.1450425611464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57.834892660451601</v>
      </c>
      <c r="DG193" s="23">
        <f>EXP(-LN(2)/25)*DG192+(1-EXP(-LN(2)/25))/(LN(2)/25)*Calculateur!DB193*Calculateur!DD193*VLOOKUP('Données projet'!$B$13,Paramètres!$A$1:$I$89,3,0)*0.475*44/12</f>
        <v>5.3308296266713828</v>
      </c>
      <c r="DH193" s="23">
        <f>EXP(-LN(2)/2)*DH192+(1-EXP(-LN(2)/2))/(LN(2)/2)*DB193*DE193*VLOOKUP('Données projet'!$B$13,Paramètres!$A$1:$I$89,3,0)*0.475*44/12</f>
        <v>1.8933472003074455E-8</v>
      </c>
      <c r="DI193" s="24">
        <f t="shared" si="175"/>
        <v>63.165722306056452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4.8316906031686813E-13</v>
      </c>
      <c r="O194" s="14">
        <f>N194*VLOOKUP('Données projet'!$B$9,Paramètres!$A$1:$I$89,3,0)*VLOOKUP('Données projet'!$B$9,Paramètres!$A$1:$I$89,5,0)</f>
        <v>4.3717136577470225E-13</v>
      </c>
      <c r="P194" s="14">
        <f t="shared" si="141"/>
        <v>5.5313598682231701E-12</v>
      </c>
      <c r="Q194" s="22">
        <f t="shared" si="162"/>
        <v>1.039519189921296E-11</v>
      </c>
      <c r="R194" s="62">
        <f t="shared" si="109"/>
        <v>293.33333333334372</v>
      </c>
      <c r="S194" s="62">
        <f ca="1">AVERAGE(OFFSET($R$3,0,0,'Données projet'!$E$9+1,1))-AVERAGE(OFFSET($H$3,0,0,'Données projet'!$E$9+1,1))</f>
        <v>581.88778927327667</v>
      </c>
      <c r="T194" s="62">
        <f t="shared" si="142"/>
        <v>269.67340993773422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201.03463716163034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201.03463716163034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354.24684313982857</v>
      </c>
      <c r="AO194" s="62">
        <f t="shared" si="144"/>
        <v>322.65043486962185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18.613786600351968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18.613786600351968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3.2455318432766944E-13</v>
      </c>
      <c r="BF194" s="14">
        <f t="shared" si="167"/>
        <v>4.2513245787534721E-12</v>
      </c>
      <c r="BG194" s="22">
        <f t="shared" si="168"/>
        <v>7.9696537706996534E-12</v>
      </c>
      <c r="BH194" s="62">
        <f t="shared" si="116"/>
        <v>293.33333333334127</v>
      </c>
      <c r="BI194" s="62">
        <f ca="1">AVERAGE(OFFSET($BH$3,0,0,'Données projet'!$E$11+1,1))-AVERAGE(OFFSET($H$3,0,0,'Données projet'!$E$11+1,1))</f>
        <v>460.77543902152325</v>
      </c>
      <c r="BJ194" s="62">
        <f t="shared" si="146"/>
        <v>341.4342976721104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44.645426864331007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44.645426864331007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-5.6843418860808015E-13</v>
      </c>
      <c r="BZ194" s="14">
        <f>BY194*VLOOKUP('Données projet'!$B$12,Paramètres!$A$1:$I$89,3,0)*VLOOKUP('Données projet'!$B$12,Paramètres!$A$1:$I$89,5,0)</f>
        <v>-3.39923644787632E-13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438.68915237247444</v>
      </c>
      <c r="CE194" s="62">
        <f t="shared" si="148"/>
        <v>376.94419168335452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26.064790928960196</v>
      </c>
      <c r="CL194" s="23">
        <f>EXP(-LN(2)/25)*CL193+(1-EXP(-LN(2)/25))/(LN(2)/25)*Calculateur!CG194*Calculateur!CI194*VLOOKUP('Données projet'!$B$12,Paramètres!$A$1:$I$89,3,0)*0.475*44/12</f>
        <v>1.6071509386440561</v>
      </c>
      <c r="CM194" s="23">
        <f>EXP(-LN(2)/2)*CM193+(1-EXP(-LN(2)/2))/(LN(2)/2)*CG194*CJ194*VLOOKUP('Données projet'!$B$12,Paramètres!$A$1:$I$89,3,0)*0.475*44/12</f>
        <v>2.0163629784590704E-16</v>
      </c>
      <c r="CN194" s="24">
        <f t="shared" si="172"/>
        <v>27.671941867604254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-5.1159076974727213E-13</v>
      </c>
      <c r="CU194" s="18">
        <f>CT194*VLOOKUP('Données projet'!$B$13,Paramètres!$A$1:$I$89,3,0)*VLOOKUP('Données projet'!$B$13,Paramètres!$A$1:$I$89,5,0)</f>
        <v>-2.3942448024172334E-13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302.06513069580848</v>
      </c>
      <c r="CZ194" s="62">
        <f t="shared" si="150"/>
        <v>164.1450425611464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56.700785691181473</v>
      </c>
      <c r="DG194" s="23">
        <f>EXP(-LN(2)/25)*DG193+(1-EXP(-LN(2)/25))/(LN(2)/25)*Calculateur!DB194*Calculateur!DD194*VLOOKUP('Données projet'!$B$13,Paramètres!$A$1:$I$89,3,0)*0.475*44/12</f>
        <v>5.185057810193908</v>
      </c>
      <c r="DH194" s="23">
        <f>EXP(-LN(2)/2)*DH193+(1-EXP(-LN(2)/2))/(LN(2)/2)*DB194*DE194*VLOOKUP('Données projet'!$B$13,Paramètres!$A$1:$I$89,3,0)*0.475*44/12</f>
        <v>1.3387986444779592E-8</v>
      </c>
      <c r="DI194" s="24">
        <f t="shared" si="175"/>
        <v>61.885843514763373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4.8316906031686813E-13</v>
      </c>
      <c r="O195" s="14">
        <f>N195*VLOOKUP('Données projet'!$B$9,Paramètres!$A$1:$I$89,3,0)*VLOOKUP('Données projet'!$B$9,Paramètres!$A$1:$I$89,5,0)</f>
        <v>4.3717136577470225E-13</v>
      </c>
      <c r="P195" s="14">
        <f t="shared" si="141"/>
        <v>5.5313598682231701E-12</v>
      </c>
      <c r="Q195" s="22">
        <f t="shared" si="162"/>
        <v>1.039519189921296E-11</v>
      </c>
      <c r="R195" s="62">
        <f t="shared" ref="R195:R203" si="191">Q195+(I195+J195)*44/12</f>
        <v>293.33333333334372</v>
      </c>
      <c r="S195" s="62">
        <f ca="1">AVERAGE(OFFSET($R$3,0,0,'Données projet'!$E$9+1,1))-AVERAGE(OFFSET($H$3,0,0,'Données projet'!$E$9+1,1))</f>
        <v>581.88778927327667</v>
      </c>
      <c r="T195" s="62">
        <f t="shared" si="142"/>
        <v>269.67340993773422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197.09247054591182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197.09247054591182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354.24684313982857</v>
      </c>
      <c r="AO195" s="62">
        <f t="shared" si="144"/>
        <v>322.65043486962185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18.248781598407849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18.248781598407849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3.2455318432766944E-13</v>
      </c>
      <c r="BF195" s="14">
        <f t="shared" si="167"/>
        <v>4.2513245787534721E-12</v>
      </c>
      <c r="BG195" s="22">
        <f t="shared" si="168"/>
        <v>7.9696537706996534E-12</v>
      </c>
      <c r="BH195" s="62">
        <f t="shared" si="116"/>
        <v>293.33333333334127</v>
      </c>
      <c r="BI195" s="62">
        <f ca="1">AVERAGE(OFFSET($BH$3,0,0,'Données projet'!$E$11+1,1))-AVERAGE(OFFSET($H$3,0,0,'Données projet'!$E$11+1,1))</f>
        <v>460.77543902152325</v>
      </c>
      <c r="BJ195" s="62">
        <f t="shared" si="146"/>
        <v>341.4342976721104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43.769957274543025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43.769957274543025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-5.6843418860808015E-13</v>
      </c>
      <c r="BZ195" s="14">
        <f>BY195*VLOOKUP('Données projet'!$B$12,Paramètres!$A$1:$I$89,3,0)*VLOOKUP('Données projet'!$B$12,Paramètres!$A$1:$I$89,5,0)</f>
        <v>-3.39923644787632E-13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438.68915237247444</v>
      </c>
      <c r="CE195" s="62">
        <f t="shared" si="148"/>
        <v>376.94419168335452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25.553676276795962</v>
      </c>
      <c r="CL195" s="23">
        <f>EXP(-LN(2)/25)*CL194+(1-EXP(-LN(2)/25))/(LN(2)/25)*Calculateur!CG195*Calculateur!CI195*VLOOKUP('Données projet'!$B$12,Paramètres!$A$1:$I$89,3,0)*0.475*44/12</f>
        <v>1.5632033117104398</v>
      </c>
      <c r="CM195" s="23">
        <f>EXP(-LN(2)/2)*CM194+(1-EXP(-LN(2)/2))/(LN(2)/2)*CG195*CJ195*VLOOKUP('Données projet'!$B$12,Paramètres!$A$1:$I$89,3,0)*0.475*44/12</f>
        <v>1.4257839354019131E-16</v>
      </c>
      <c r="CN195" s="24">
        <f t="shared" si="172"/>
        <v>27.1168795885064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-5.1159076974727213E-13</v>
      </c>
      <c r="CU195" s="18">
        <f>CT195*VLOOKUP('Données projet'!$B$13,Paramètres!$A$1:$I$89,3,0)*VLOOKUP('Données projet'!$B$13,Paramètres!$A$1:$I$89,5,0)</f>
        <v>-2.3942448024172334E-13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302.06513069580848</v>
      </c>
      <c r="CZ195" s="62">
        <f t="shared" si="150"/>
        <v>164.1450425611464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55.588917867841786</v>
      </c>
      <c r="DG195" s="23">
        <f>EXP(-LN(2)/25)*DG194+(1-EXP(-LN(2)/25))/(LN(2)/25)*Calculateur!DB195*Calculateur!DD195*VLOOKUP('Données projet'!$B$13,Paramètres!$A$1:$I$89,3,0)*0.475*44/12</f>
        <v>5.0432721317038158</v>
      </c>
      <c r="DH195" s="23">
        <f>EXP(-LN(2)/2)*DH194+(1-EXP(-LN(2)/2))/(LN(2)/2)*DB195*DE195*VLOOKUP('Données projet'!$B$13,Paramètres!$A$1:$I$89,3,0)*0.475*44/12</f>
        <v>9.4667360015372274E-9</v>
      </c>
      <c r="DI195" s="24">
        <f t="shared" si="175"/>
        <v>60.632190009012341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4.8316906031686813E-13</v>
      </c>
      <c r="O196" s="14">
        <f>N196*VLOOKUP('Données projet'!$B$9,Paramètres!$A$1:$I$89,3,0)*VLOOKUP('Données projet'!$B$9,Paramètres!$A$1:$I$89,5,0)</f>
        <v>4.3717136577470225E-13</v>
      </c>
      <c r="P196" s="14">
        <f t="shared" si="141"/>
        <v>5.5313598682231701E-12</v>
      </c>
      <c r="Q196" s="22">
        <f t="shared" si="162"/>
        <v>1.039519189921296E-11</v>
      </c>
      <c r="R196" s="62">
        <f t="shared" si="191"/>
        <v>293.33333333334372</v>
      </c>
      <c r="S196" s="62">
        <f ca="1">AVERAGE(OFFSET($R$3,0,0,'Données projet'!$E$9+1,1))-AVERAGE(OFFSET($H$3,0,0,'Données projet'!$E$9+1,1))</f>
        <v>581.88778927327667</v>
      </c>
      <c r="T196" s="62">
        <f t="shared" si="142"/>
        <v>269.67340993773422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193.22760741304333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193.22760741304333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354.24684313982857</v>
      </c>
      <c r="AO196" s="62">
        <f t="shared" si="144"/>
        <v>322.65043486962185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17.890934121920786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17.890934121920786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3.2455318432766944E-13</v>
      </c>
      <c r="BF196" s="14">
        <f t="shared" si="167"/>
        <v>4.2513245787534721E-12</v>
      </c>
      <c r="BG196" s="22">
        <f t="shared" si="168"/>
        <v>7.9696537706996534E-12</v>
      </c>
      <c r="BH196" s="62">
        <f t="shared" ref="BH196:BH203" si="194">BG196+(AY196+AZ196)*44/12</f>
        <v>293.33333333334127</v>
      </c>
      <c r="BI196" s="62">
        <f ca="1">AVERAGE(OFFSET($BH$3,0,0,'Données projet'!$E$11+1,1))-AVERAGE(OFFSET($H$3,0,0,'Données projet'!$E$11+1,1))</f>
        <v>460.77543902152325</v>
      </c>
      <c r="BJ196" s="62">
        <f t="shared" si="146"/>
        <v>341.4342976721104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42.911655109427059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42.911655109427059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-5.6843418860808015E-13</v>
      </c>
      <c r="BZ196" s="14">
        <f>BY196*VLOOKUP('Données projet'!$B$12,Paramètres!$A$1:$I$89,3,0)*VLOOKUP('Données projet'!$B$12,Paramètres!$A$1:$I$89,5,0)</f>
        <v>-3.39923644787632E-13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438.68915237247444</v>
      </c>
      <c r="CE196" s="62">
        <f t="shared" si="148"/>
        <v>376.94419168335452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25.052584271211511</v>
      </c>
      <c r="CL196" s="23">
        <f>EXP(-LN(2)/25)*CL195+(1-EXP(-LN(2)/25))/(LN(2)/25)*Calculateur!CG196*Calculateur!CI196*VLOOKUP('Données projet'!$B$12,Paramètres!$A$1:$I$89,3,0)*0.475*44/12</f>
        <v>1.5204574349464284</v>
      </c>
      <c r="CM196" s="23">
        <f>EXP(-LN(2)/2)*CM195+(1-EXP(-LN(2)/2))/(LN(2)/2)*CG196*CJ196*VLOOKUP('Données projet'!$B$12,Paramètres!$A$1:$I$89,3,0)*0.475*44/12</f>
        <v>1.0081814892295352E-16</v>
      </c>
      <c r="CN196" s="24">
        <f t="shared" si="172"/>
        <v>26.573041706157941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-5.1159076974727213E-13</v>
      </c>
      <c r="CU196" s="18">
        <f>CT196*VLOOKUP('Données projet'!$B$13,Paramètres!$A$1:$I$89,3,0)*VLOOKUP('Données projet'!$B$13,Paramètres!$A$1:$I$89,5,0)</f>
        <v>-2.3942448024172334E-13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302.06513069580848</v>
      </c>
      <c r="CZ196" s="62">
        <f t="shared" si="150"/>
        <v>164.1450425611464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54.498853094345378</v>
      </c>
      <c r="DG196" s="23">
        <f>EXP(-LN(2)/25)*DG195+(1-EXP(-LN(2)/25))/(LN(2)/25)*Calculateur!DB196*Calculateur!DD196*VLOOKUP('Données projet'!$B$13,Paramètres!$A$1:$I$89,3,0)*0.475*44/12</f>
        <v>4.9053635900482204</v>
      </c>
      <c r="DH196" s="23">
        <f>EXP(-LN(2)/2)*DH195+(1-EXP(-LN(2)/2))/(LN(2)/2)*DB196*DE196*VLOOKUP('Données projet'!$B$13,Paramètres!$A$1:$I$89,3,0)*0.475*44/12</f>
        <v>6.6939932223897962E-9</v>
      </c>
      <c r="DI196" s="24">
        <f t="shared" si="175"/>
        <v>59.404216691087591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4.8316906031686813E-13</v>
      </c>
      <c r="O197" s="14">
        <f>N197*VLOOKUP('Données projet'!$B$9,Paramètres!$A$1:$I$89,3,0)*VLOOKUP('Données projet'!$B$9,Paramètres!$A$1:$I$89,5,0)</f>
        <v>4.3717136577470225E-13</v>
      </c>
      <c r="P197" s="14">
        <f t="shared" ref="P197:P203" si="203">EXP(-1.0587+0.8836*LN(O197)+0.284)</f>
        <v>5.5313598682231701E-12</v>
      </c>
      <c r="Q197" s="22">
        <f t="shared" si="162"/>
        <v>1.039519189921296E-11</v>
      </c>
      <c r="R197" s="62">
        <f t="shared" si="191"/>
        <v>293.33333333334372</v>
      </c>
      <c r="S197" s="62">
        <f ca="1">AVERAGE(OFFSET($R$3,0,0,'Données projet'!$E$9+1,1))-AVERAGE(OFFSET($H$3,0,0,'Données projet'!$E$9+1,1))</f>
        <v>581.88778927327667</v>
      </c>
      <c r="T197" s="62">
        <f t="shared" ref="T197:T203" si="204">$T$3</f>
        <v>269.67340993773422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189.43853188887664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189.43853188887664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354.24684313982857</v>
      </c>
      <c r="AO197" s="62">
        <f t="shared" ref="AO197:AO203" si="205">$AO$3</f>
        <v>322.65043486962185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17.540103816182224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17.540103816182224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3.2455318432766944E-13</v>
      </c>
      <c r="BF197" s="14">
        <f t="shared" si="167"/>
        <v>4.2513245787534721E-12</v>
      </c>
      <c r="BG197" s="22">
        <f t="shared" si="168"/>
        <v>7.9696537706996534E-12</v>
      </c>
      <c r="BH197" s="62">
        <f t="shared" si="194"/>
        <v>293.33333333334127</v>
      </c>
      <c r="BI197" s="62">
        <f ca="1">AVERAGE(OFFSET($BH$3,0,0,'Données projet'!$E$11+1,1))-AVERAGE(OFFSET($H$3,0,0,'Données projet'!$E$11+1,1))</f>
        <v>460.77543902152325</v>
      </c>
      <c r="BJ197" s="62">
        <f t="shared" ref="BJ197:BJ203" si="206">$BJ$3</f>
        <v>341.4342976721104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42.070183726256388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42.070183726256388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-5.6843418860808015E-13</v>
      </c>
      <c r="BZ197" s="14">
        <f>BY197*VLOOKUP('Données projet'!$B$12,Paramètres!$A$1:$I$89,3,0)*VLOOKUP('Données projet'!$B$12,Paramètres!$A$1:$I$89,5,0)</f>
        <v>-3.39923644787632E-13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438.68915237247444</v>
      </c>
      <c r="CE197" s="62">
        <f t="shared" ref="CE197:CE203" si="207">$CE$3</f>
        <v>376.94419168335452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24.56131837422063</v>
      </c>
      <c r="CL197" s="23">
        <f>EXP(-LN(2)/25)*CL196+(1-EXP(-LN(2)/25))/(LN(2)/25)*Calculateur!CG197*Calculateur!CI197*VLOOKUP('Données projet'!$B$12,Paramètres!$A$1:$I$89,3,0)*0.475*44/12</f>
        <v>1.4788804464304368</v>
      </c>
      <c r="CM197" s="23">
        <f>EXP(-LN(2)/2)*CM196+(1-EXP(-LN(2)/2))/(LN(2)/2)*CG197*CJ197*VLOOKUP('Données projet'!$B$12,Paramètres!$A$1:$I$89,3,0)*0.475*44/12</f>
        <v>7.1289196770095655E-17</v>
      </c>
      <c r="CN197" s="24">
        <f t="shared" si="172"/>
        <v>26.040198820651067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-5.1159076974727213E-13</v>
      </c>
      <c r="CU197" s="18">
        <f>CT197*VLOOKUP('Données projet'!$B$13,Paramètres!$A$1:$I$89,3,0)*VLOOKUP('Données projet'!$B$13,Paramètres!$A$1:$I$89,5,0)</f>
        <v>-2.3942448024172334E-13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302.06513069580848</v>
      </c>
      <c r="CZ197" s="62">
        <f t="shared" ref="CZ197:CZ203" si="208">$CZ$3</f>
        <v>164.1450425611464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53.430163826183374</v>
      </c>
      <c r="DG197" s="23">
        <f>EXP(-LN(2)/25)*DG196+(1-EXP(-LN(2)/25))/(LN(2)/25)*Calculateur!DB197*Calculateur!DD197*VLOOKUP('Données projet'!$B$13,Paramètres!$A$1:$I$89,3,0)*0.475*44/12</f>
        <v>4.7712261647164924</v>
      </c>
      <c r="DH197" s="23">
        <f>EXP(-LN(2)/2)*DH196+(1-EXP(-LN(2)/2))/(LN(2)/2)*DB197*DE197*VLOOKUP('Données projet'!$B$13,Paramètres!$A$1:$I$89,3,0)*0.475*44/12</f>
        <v>4.7333680007686137E-9</v>
      </c>
      <c r="DI197" s="24">
        <f t="shared" si="175"/>
        <v>58.201389995633235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4.8316906031686813E-13</v>
      </c>
      <c r="O198" s="14">
        <f>N198*VLOOKUP('Données projet'!$B$9,Paramètres!$A$1:$I$89,3,0)*VLOOKUP('Données projet'!$B$9,Paramètres!$A$1:$I$89,5,0)</f>
        <v>4.3717136577470225E-13</v>
      </c>
      <c r="P198" s="14">
        <f t="shared" si="203"/>
        <v>5.5313598682231701E-12</v>
      </c>
      <c r="Q198" s="22">
        <f t="shared" si="162"/>
        <v>1.039519189921296E-11</v>
      </c>
      <c r="R198" s="62">
        <f t="shared" si="191"/>
        <v>293.33333333334372</v>
      </c>
      <c r="S198" s="62">
        <f ca="1">AVERAGE(OFFSET($R$3,0,0,'Données projet'!$E$9+1,1))-AVERAGE(OFFSET($H$3,0,0,'Données projet'!$E$9+1,1))</f>
        <v>581.88778927327667</v>
      </c>
      <c r="T198" s="62">
        <f t="shared" si="204"/>
        <v>269.67340993773422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185.72375782463098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185.72375782463098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354.24684313982857</v>
      </c>
      <c r="AO198" s="62">
        <f t="shared" si="205"/>
        <v>322.65043486962185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17.196153078753838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17.196153078753838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3.2455318432766944E-13</v>
      </c>
      <c r="BF198" s="14">
        <f t="shared" si="167"/>
        <v>4.2513245787534721E-12</v>
      </c>
      <c r="BG198" s="22">
        <f t="shared" si="168"/>
        <v>7.9696537706996534E-12</v>
      </c>
      <c r="BH198" s="62">
        <f t="shared" si="194"/>
        <v>293.33333333334127</v>
      </c>
      <c r="BI198" s="62">
        <f ca="1">AVERAGE(OFFSET($BH$3,0,0,'Données projet'!$E$11+1,1))-AVERAGE(OFFSET($H$3,0,0,'Données projet'!$E$11+1,1))</f>
        <v>460.77543902152325</v>
      </c>
      <c r="BJ198" s="62">
        <f t="shared" si="206"/>
        <v>341.4342976721104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41.245213083662833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41.245213083662833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-5.6843418860808015E-13</v>
      </c>
      <c r="BZ198" s="14">
        <f>BY198*VLOOKUP('Données projet'!$B$12,Paramètres!$A$1:$I$89,3,0)*VLOOKUP('Données projet'!$B$12,Paramètres!$A$1:$I$89,5,0)</f>
        <v>-3.39923644787632E-13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438.68915237247444</v>
      </c>
      <c r="CE198" s="62">
        <f t="shared" si="207"/>
        <v>376.94419168335452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24.079685901827126</v>
      </c>
      <c r="CL198" s="23">
        <f>EXP(-LN(2)/25)*CL197+(1-EXP(-LN(2)/25))/(LN(2)/25)*Calculateur!CG198*Calculateur!CI198*VLOOKUP('Données projet'!$B$12,Paramètres!$A$1:$I$89,3,0)*0.475*44/12</f>
        <v>1.4384403828518539</v>
      </c>
      <c r="CM198" s="23">
        <f>EXP(-LN(2)/2)*CM197+(1-EXP(-LN(2)/2))/(LN(2)/2)*CG198*CJ198*VLOOKUP('Données projet'!$B$12,Paramètres!$A$1:$I$89,3,0)*0.475*44/12</f>
        <v>5.0409074461476759E-17</v>
      </c>
      <c r="CN198" s="24">
        <f t="shared" si="172"/>
        <v>25.518126284678981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-5.1159076974727213E-13</v>
      </c>
      <c r="CU198" s="18">
        <f>CT198*VLOOKUP('Données projet'!$B$13,Paramètres!$A$1:$I$89,3,0)*VLOOKUP('Données projet'!$B$13,Paramètres!$A$1:$I$89,5,0)</f>
        <v>-2.3942448024172334E-13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302.06513069580848</v>
      </c>
      <c r="CZ198" s="62">
        <f t="shared" si="208"/>
        <v>164.1450425611464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52.382430902733937</v>
      </c>
      <c r="DG198" s="23">
        <f>EXP(-LN(2)/25)*DG197+(1-EXP(-LN(2)/25))/(LN(2)/25)*Calculateur!DB198*Calculateur!DD198*VLOOKUP('Données projet'!$B$13,Paramètres!$A$1:$I$89,3,0)*0.475*44/12</f>
        <v>4.6407567343344409</v>
      </c>
      <c r="DH198" s="23">
        <f>EXP(-LN(2)/2)*DH197+(1-EXP(-LN(2)/2))/(LN(2)/2)*DB198*DE198*VLOOKUP('Données projet'!$B$13,Paramètres!$A$1:$I$89,3,0)*0.475*44/12</f>
        <v>3.3469966111948981E-9</v>
      </c>
      <c r="DI198" s="24">
        <f t="shared" si="175"/>
        <v>57.023187640415372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4.8316906031686813E-13</v>
      </c>
      <c r="O199" s="14">
        <f>N199*VLOOKUP('Données projet'!$B$9,Paramètres!$A$1:$I$89,3,0)*VLOOKUP('Données projet'!$B$9,Paramètres!$A$1:$I$89,5,0)</f>
        <v>4.3717136577470225E-13</v>
      </c>
      <c r="P199" s="14">
        <f t="shared" si="203"/>
        <v>5.5313598682231701E-12</v>
      </c>
      <c r="Q199" s="22">
        <f t="shared" si="162"/>
        <v>1.039519189921296E-11</v>
      </c>
      <c r="R199" s="62">
        <f t="shared" si="191"/>
        <v>293.33333333334372</v>
      </c>
      <c r="S199" s="62">
        <f ca="1">AVERAGE(OFFSET($R$3,0,0,'Données projet'!$E$9+1,1))-AVERAGE(OFFSET($H$3,0,0,'Données projet'!$E$9+1,1))</f>
        <v>581.88778927327667</v>
      </c>
      <c r="T199" s="62">
        <f t="shared" si="204"/>
        <v>269.67340993773422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182.08182821399674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182.08182821399674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354.24684313982857</v>
      </c>
      <c r="AO199" s="62">
        <f t="shared" si="205"/>
        <v>322.65043486962185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16.858947005497189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16.858947005497189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3.2455318432766944E-13</v>
      </c>
      <c r="BF199" s="14">
        <f t="shared" si="167"/>
        <v>4.2513245787534721E-12</v>
      </c>
      <c r="BG199" s="22">
        <f t="shared" si="168"/>
        <v>7.9696537706996534E-12</v>
      </c>
      <c r="BH199" s="62">
        <f t="shared" si="194"/>
        <v>293.33333333334127</v>
      </c>
      <c r="BI199" s="62">
        <f ca="1">AVERAGE(OFFSET($BH$3,0,0,'Données projet'!$E$11+1,1))-AVERAGE(OFFSET($H$3,0,0,'Données projet'!$E$11+1,1))</f>
        <v>460.77543902152325</v>
      </c>
      <c r="BJ199" s="62">
        <f t="shared" si="206"/>
        <v>341.4342976721104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40.436419612188132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40.436419612188132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-5.6843418860808015E-13</v>
      </c>
      <c r="BZ199" s="14">
        <f>BY199*VLOOKUP('Données projet'!$B$12,Paramètres!$A$1:$I$89,3,0)*VLOOKUP('Données projet'!$B$12,Paramètres!$A$1:$I$89,5,0)</f>
        <v>-3.39923644787632E-13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438.68915237247444</v>
      </c>
      <c r="CE199" s="62">
        <f t="shared" si="207"/>
        <v>376.94419168335452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23.607497948450462</v>
      </c>
      <c r="CL199" s="23">
        <f>EXP(-LN(2)/25)*CL198+(1-EXP(-LN(2)/25))/(LN(2)/25)*Calculateur!CG199*Calculateur!CI199*VLOOKUP('Données projet'!$B$12,Paramètres!$A$1:$I$89,3,0)*0.475*44/12</f>
        <v>1.3991061549384778</v>
      </c>
      <c r="CM199" s="23">
        <f>EXP(-LN(2)/2)*CM198+(1-EXP(-LN(2)/2))/(LN(2)/2)*CG199*CJ199*VLOOKUP('Données projet'!$B$12,Paramètres!$A$1:$I$89,3,0)*0.475*44/12</f>
        <v>3.5644598385047827E-17</v>
      </c>
      <c r="CN199" s="24">
        <f t="shared" si="172"/>
        <v>25.006604103388938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-5.1159076974727213E-13</v>
      </c>
      <c r="CU199" s="18">
        <f>CT199*VLOOKUP('Données projet'!$B$13,Paramètres!$A$1:$I$89,3,0)*VLOOKUP('Données projet'!$B$13,Paramètres!$A$1:$I$89,5,0)</f>
        <v>-2.3942448024172334E-13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302.06513069580848</v>
      </c>
      <c r="CZ199" s="62">
        <f t="shared" si="208"/>
        <v>164.1450425611464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51.355243382859364</v>
      </c>
      <c r="DG199" s="23">
        <f>EXP(-LN(2)/25)*DG198+(1-EXP(-LN(2)/25))/(LN(2)/25)*Calculateur!DB199*Calculateur!DD199*VLOOKUP('Données projet'!$B$13,Paramètres!$A$1:$I$89,3,0)*0.475*44/12</f>
        <v>4.5138549973872752</v>
      </c>
      <c r="DH199" s="23">
        <f>EXP(-LN(2)/2)*DH198+(1-EXP(-LN(2)/2))/(LN(2)/2)*DB199*DE199*VLOOKUP('Données projet'!$B$13,Paramètres!$A$1:$I$89,3,0)*0.475*44/12</f>
        <v>2.3666840003843068E-9</v>
      </c>
      <c r="DI199" s="24">
        <f t="shared" si="175"/>
        <v>55.869098382613323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4.8316906031686813E-13</v>
      </c>
      <c r="O200" s="14">
        <f>N200*VLOOKUP('Données projet'!$B$9,Paramètres!$A$1:$I$89,3,0)*VLOOKUP('Données projet'!$B$9,Paramètres!$A$1:$I$89,5,0)</f>
        <v>4.3717136577470225E-13</v>
      </c>
      <c r="P200" s="14">
        <f t="shared" si="203"/>
        <v>5.5313598682231701E-12</v>
      </c>
      <c r="Q200" s="22">
        <f t="shared" si="162"/>
        <v>1.039519189921296E-11</v>
      </c>
      <c r="R200" s="62">
        <f t="shared" si="191"/>
        <v>293.33333333334372</v>
      </c>
      <c r="S200" s="62">
        <f ca="1">AVERAGE(OFFSET($R$3,0,0,'Données projet'!$E$9+1,1))-AVERAGE(OFFSET($H$3,0,0,'Données projet'!$E$9+1,1))</f>
        <v>581.88778927327667</v>
      </c>
      <c r="T200" s="62">
        <f t="shared" si="204"/>
        <v>269.67340993773422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178.51131462166933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178.51131462166933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354.24684313982857</v>
      </c>
      <c r="AO200" s="62">
        <f t="shared" si="205"/>
        <v>322.65043486962185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16.528353337661706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16.528353337661706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3.2455318432766944E-13</v>
      </c>
      <c r="BF200" s="14">
        <f t="shared" si="167"/>
        <v>4.2513245787534721E-12</v>
      </c>
      <c r="BG200" s="22">
        <f t="shared" si="168"/>
        <v>7.9696537706996534E-12</v>
      </c>
      <c r="BH200" s="62">
        <f t="shared" si="194"/>
        <v>293.33333333334127</v>
      </c>
      <c r="BI200" s="62">
        <f ca="1">AVERAGE(OFFSET($BH$3,0,0,'Données projet'!$E$11+1,1))-AVERAGE(OFFSET($H$3,0,0,'Données projet'!$E$11+1,1))</f>
        <v>460.77543902152325</v>
      </c>
      <c r="BJ200" s="62">
        <f t="shared" si="206"/>
        <v>341.4342976721104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39.643486087373738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39.643486087373738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-5.6843418860808015E-13</v>
      </c>
      <c r="BZ200" s="14">
        <f>BY200*VLOOKUP('Données projet'!$B$12,Paramètres!$A$1:$I$89,3,0)*VLOOKUP('Données projet'!$B$12,Paramètres!$A$1:$I$89,5,0)</f>
        <v>-3.39923644787632E-13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438.68915237247444</v>
      </c>
      <c r="CE200" s="62">
        <f t="shared" si="207"/>
        <v>376.94419168335452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23.144569312833298</v>
      </c>
      <c r="CL200" s="23">
        <f>EXP(-LN(2)/25)*CL199+(1-EXP(-LN(2)/25))/(LN(2)/25)*Calculateur!CG200*Calculateur!CI200*VLOOKUP('Données projet'!$B$12,Paramètres!$A$1:$I$89,3,0)*0.475*44/12</f>
        <v>1.3608475235558901</v>
      </c>
      <c r="CM200" s="23">
        <f>EXP(-LN(2)/2)*CM199+(1-EXP(-LN(2)/2))/(LN(2)/2)*CG200*CJ200*VLOOKUP('Données projet'!$B$12,Paramètres!$A$1:$I$89,3,0)*0.475*44/12</f>
        <v>2.520453723073838E-17</v>
      </c>
      <c r="CN200" s="24">
        <f t="shared" si="172"/>
        <v>24.505416836389188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-5.1159076974727213E-13</v>
      </c>
      <c r="CU200" s="18">
        <f>CT200*VLOOKUP('Données projet'!$B$13,Paramètres!$A$1:$I$89,3,0)*VLOOKUP('Données projet'!$B$13,Paramètres!$A$1:$I$89,5,0)</f>
        <v>-2.3942448024172334E-13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302.06513069580848</v>
      </c>
      <c r="CZ200" s="62">
        <f t="shared" si="208"/>
        <v>164.1450425611464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50.348198383727009</v>
      </c>
      <c r="DG200" s="23">
        <f>EXP(-LN(2)/25)*DG199+(1-EXP(-LN(2)/25))/(LN(2)/25)*Calculateur!DB200*Calculateur!DD200*VLOOKUP('Données projet'!$B$13,Paramètres!$A$1:$I$89,3,0)*0.475*44/12</f>
        <v>4.3904233951104024</v>
      </c>
      <c r="DH200" s="23">
        <f>EXP(-LN(2)/2)*DH199+(1-EXP(-LN(2)/2))/(LN(2)/2)*DB200*DE200*VLOOKUP('Données projet'!$B$13,Paramètres!$A$1:$I$89,3,0)*0.475*44/12</f>
        <v>1.673498305597449E-9</v>
      </c>
      <c r="DI200" s="24">
        <f t="shared" si="175"/>
        <v>54.738621780510911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4.8316906031686813E-13</v>
      </c>
      <c r="O201" s="14">
        <f>N201*VLOOKUP('Données projet'!$B$9,Paramètres!$A$1:$I$89,3,0)*VLOOKUP('Données projet'!$B$9,Paramètres!$A$1:$I$89,5,0)</f>
        <v>4.3717136577470225E-13</v>
      </c>
      <c r="P201" s="14">
        <f t="shared" si="203"/>
        <v>5.5313598682231701E-12</v>
      </c>
      <c r="Q201" s="22">
        <f t="shared" si="162"/>
        <v>1.039519189921296E-11</v>
      </c>
      <c r="R201" s="62">
        <f t="shared" si="191"/>
        <v>293.33333333334372</v>
      </c>
      <c r="S201" s="62">
        <f ca="1">AVERAGE(OFFSET($R$3,0,0,'Données projet'!$E$9+1,1))-AVERAGE(OFFSET($H$3,0,0,'Données projet'!$E$9+1,1))</f>
        <v>581.88778927327667</v>
      </c>
      <c r="T201" s="62">
        <f t="shared" si="204"/>
        <v>269.67340993773422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175.0108166230892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175.0108166230892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354.24684313982857</v>
      </c>
      <c r="AO201" s="62">
        <f t="shared" si="205"/>
        <v>322.65043486962185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16.204242410010249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16.204242410010249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3.2455318432766944E-13</v>
      </c>
      <c r="BF201" s="14">
        <f t="shared" si="167"/>
        <v>4.2513245787534721E-12</v>
      </c>
      <c r="BG201" s="22">
        <f t="shared" si="168"/>
        <v>7.9696537706996534E-12</v>
      </c>
      <c r="BH201" s="62">
        <f t="shared" si="194"/>
        <v>293.33333333334127</v>
      </c>
      <c r="BI201" s="62">
        <f ca="1">AVERAGE(OFFSET($BH$3,0,0,'Données projet'!$E$11+1,1))-AVERAGE(OFFSET($H$3,0,0,'Données projet'!$E$11+1,1))</f>
        <v>460.77543902152325</v>
      </c>
      <c r="BJ201" s="62">
        <f t="shared" si="206"/>
        <v>341.4342976721104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38.866101505339259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38.866101505339259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-5.6843418860808015E-13</v>
      </c>
      <c r="BZ201" s="14">
        <f>BY201*VLOOKUP('Données projet'!$B$12,Paramètres!$A$1:$I$89,3,0)*VLOOKUP('Données projet'!$B$12,Paramètres!$A$1:$I$89,5,0)</f>
        <v>-3.39923644787632E-13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438.68915237247444</v>
      </c>
      <c r="CE201" s="62">
        <f t="shared" si="207"/>
        <v>376.94419168335452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22.690718425402</v>
      </c>
      <c r="CL201" s="23">
        <f>EXP(-LN(2)/25)*CL200+(1-EXP(-LN(2)/25))/(LN(2)/25)*Calculateur!CG201*Calculateur!CI201*VLOOKUP('Données projet'!$B$12,Paramètres!$A$1:$I$89,3,0)*0.475*44/12</f>
        <v>1.3236350764603932</v>
      </c>
      <c r="CM201" s="23">
        <f>EXP(-LN(2)/2)*CM200+(1-EXP(-LN(2)/2))/(LN(2)/2)*CG201*CJ201*VLOOKUP('Données projet'!$B$12,Paramètres!$A$1:$I$89,3,0)*0.475*44/12</f>
        <v>1.7822299192523914E-17</v>
      </c>
      <c r="CN201" s="24">
        <f t="shared" si="172"/>
        <v>24.014353501862395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-5.1159076974727213E-13</v>
      </c>
      <c r="CU201" s="18">
        <f>CT201*VLOOKUP('Données projet'!$B$13,Paramètres!$A$1:$I$89,3,0)*VLOOKUP('Données projet'!$B$13,Paramètres!$A$1:$I$89,5,0)</f>
        <v>-2.3942448024172334E-13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302.06513069580848</v>
      </c>
      <c r="CZ201" s="62">
        <f t="shared" si="208"/>
        <v>164.1450425611464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49.36090092279084</v>
      </c>
      <c r="DG201" s="23">
        <f>EXP(-LN(2)/25)*DG200+(1-EXP(-LN(2)/25))/(LN(2)/25)*Calculateur!DB201*Calculateur!DD201*VLOOKUP('Données projet'!$B$13,Paramètres!$A$1:$I$89,3,0)*0.475*44/12</f>
        <v>4.2703670364887767</v>
      </c>
      <c r="DH201" s="23">
        <f>EXP(-LN(2)/2)*DH200+(1-EXP(-LN(2)/2))/(LN(2)/2)*DB201*DE201*VLOOKUP('Données projet'!$B$13,Paramètres!$A$1:$I$89,3,0)*0.475*44/12</f>
        <v>1.1833420001921534E-9</v>
      </c>
      <c r="DI201" s="24">
        <f t="shared" si="175"/>
        <v>53.631267960462964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4.8316906031686813E-13</v>
      </c>
      <c r="O202" s="14">
        <f>N202*VLOOKUP('Données projet'!$B$9,Paramètres!$A$1:$I$89,3,0)*VLOOKUP('Données projet'!$B$9,Paramètres!$A$1:$I$89,5,0)</f>
        <v>4.3717136577470225E-13</v>
      </c>
      <c r="P202" s="14">
        <f t="shared" si="203"/>
        <v>5.5313598682231701E-12</v>
      </c>
      <c r="Q202" s="22">
        <f t="shared" si="162"/>
        <v>1.039519189921296E-11</v>
      </c>
      <c r="R202" s="62">
        <f t="shared" si="191"/>
        <v>293.33333333334372</v>
      </c>
      <c r="S202" s="62">
        <f ca="1">AVERAGE(OFFSET($R$3,0,0,'Données projet'!$E$9+1,1))-AVERAGE(OFFSET($H$3,0,0,'Données projet'!$E$9+1,1))</f>
        <v>581.88778927327667</v>
      </c>
      <c r="T202" s="62">
        <f t="shared" si="204"/>
        <v>269.67340993773422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171.57896125516825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171.57896125516825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354.24684313982857</v>
      </c>
      <c r="AO202" s="62">
        <f t="shared" si="205"/>
        <v>322.65043486962185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15.886487099961892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15.886487099961892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3.2455318432766944E-13</v>
      </c>
      <c r="BF202" s="14">
        <f t="shared" si="167"/>
        <v>4.2513245787534721E-12</v>
      </c>
      <c r="BG202" s="22">
        <f t="shared" si="168"/>
        <v>7.9696537706996534E-12</v>
      </c>
      <c r="BH202" s="62">
        <f t="shared" si="194"/>
        <v>293.33333333334127</v>
      </c>
      <c r="BI202" s="62">
        <f ca="1">AVERAGE(OFFSET($BH$3,0,0,'Données projet'!$E$11+1,1))-AVERAGE(OFFSET($H$3,0,0,'Données projet'!$E$11+1,1))</f>
        <v>460.77543902152325</v>
      </c>
      <c r="BJ202" s="62">
        <f t="shared" si="206"/>
        <v>341.4342976721104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38.103960960800705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38.103960960800705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-5.6843418860808015E-13</v>
      </c>
      <c r="BZ202" s="14">
        <f>BY202*VLOOKUP('Données projet'!$B$12,Paramètres!$A$1:$I$89,3,0)*VLOOKUP('Données projet'!$B$12,Paramètres!$A$1:$I$89,5,0)</f>
        <v>-3.39923644787632E-13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438.68915237247444</v>
      </c>
      <c r="CE202" s="62">
        <f t="shared" si="207"/>
        <v>376.94419168335452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22.245767277051524</v>
      </c>
      <c r="CL202" s="23">
        <f>EXP(-LN(2)/25)*CL201+(1-EXP(-LN(2)/25))/(LN(2)/25)*Calculateur!CG202*Calculateur!CI202*VLOOKUP('Données projet'!$B$12,Paramètres!$A$1:$I$89,3,0)*0.475*44/12</f>
        <v>1.2874402056876404</v>
      </c>
      <c r="CM202" s="23">
        <f>EXP(-LN(2)/2)*CM201+(1-EXP(-LN(2)/2))/(LN(2)/2)*CG202*CJ202*VLOOKUP('Données projet'!$B$12,Paramètres!$A$1:$I$89,3,0)*0.475*44/12</f>
        <v>1.260226861536919E-17</v>
      </c>
      <c r="CN202" s="24">
        <f t="shared" si="172"/>
        <v>23.533207482739165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-5.1159076974727213E-13</v>
      </c>
      <c r="CU202" s="18">
        <f>CT202*VLOOKUP('Données projet'!$B$13,Paramètres!$A$1:$I$89,3,0)*VLOOKUP('Données projet'!$B$13,Paramètres!$A$1:$I$89,5,0)</f>
        <v>-2.3942448024172334E-13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302.06513069580848</v>
      </c>
      <c r="CZ202" s="62">
        <f t="shared" si="208"/>
        <v>164.1450425611464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48.392963762871638</v>
      </c>
      <c r="DG202" s="23">
        <f>EXP(-LN(2)/25)*DG201+(1-EXP(-LN(2)/25))/(LN(2)/25)*Calculateur!DB202*Calculateur!DD202*VLOOKUP('Données projet'!$B$13,Paramètres!$A$1:$I$89,3,0)*0.475*44/12</f>
        <v>4.153593625307149</v>
      </c>
      <c r="DH202" s="23">
        <f>EXP(-LN(2)/2)*DH201+(1-EXP(-LN(2)/2))/(LN(2)/2)*DB202*DE202*VLOOKUP('Données projet'!$B$13,Paramètres!$A$1:$I$89,3,0)*0.475*44/12</f>
        <v>8.3674915279872452E-10</v>
      </c>
      <c r="DI202" s="24">
        <f t="shared" si="175"/>
        <v>52.546557389015533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4.8316906031686813E-13</v>
      </c>
      <c r="O203" s="14">
        <f>N203*VLOOKUP('Données projet'!$B$9,Paramètres!$A$1:$I$89,3,0)*VLOOKUP('Données projet'!$B$9,Paramètres!$A$1:$I$89,5,0)</f>
        <v>4.3717136577470225E-13</v>
      </c>
      <c r="P203" s="14">
        <f t="shared" si="203"/>
        <v>5.5313598682231701E-12</v>
      </c>
      <c r="Q203" s="22">
        <f t="shared" si="162"/>
        <v>1.039519189921296E-11</v>
      </c>
      <c r="R203" s="62">
        <f t="shared" si="191"/>
        <v>293.33333333334372</v>
      </c>
      <c r="S203" s="62">
        <f ca="1">AVERAGE(OFFSET($R$3,0,0,'Données projet'!$E$9+1,1))-AVERAGE(OFFSET($H$3,0,0,'Données projet'!$E$9+1,1))</f>
        <v>581.88778927327667</v>
      </c>
      <c r="T203" s="62">
        <f t="shared" si="204"/>
        <v>269.67340993773422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168.21440247778716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168.21440247778716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354.24684313982857</v>
      </c>
      <c r="AO203" s="62">
        <f t="shared" si="205"/>
        <v>322.65043486962185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15.574962777731981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15.574962777731981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3.2455318432766944E-13</v>
      </c>
      <c r="BF203" s="14">
        <f t="shared" si="167"/>
        <v>4.2513245787534721E-12</v>
      </c>
      <c r="BG203" s="22">
        <f t="shared" si="168"/>
        <v>7.9696537706996534E-12</v>
      </c>
      <c r="BH203" s="62">
        <f t="shared" si="194"/>
        <v>293.33333333334127</v>
      </c>
      <c r="BI203" s="62">
        <f ca="1">AVERAGE(OFFSET($BH$3,0,0,'Données projet'!$E$11+1,1))-AVERAGE(OFFSET($H$3,0,0,'Données projet'!$E$11+1,1))</f>
        <v>460.77543902152325</v>
      </c>
      <c r="BJ203" s="62">
        <f t="shared" si="206"/>
        <v>341.4342976721104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37.356765527480718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37.356765527480718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-5.6843418860808015E-13</v>
      </c>
      <c r="BZ203" s="14">
        <f>BY203*VLOOKUP('Données projet'!$B$12,Paramètres!$A$1:$I$89,3,0)*VLOOKUP('Données projet'!$B$12,Paramètres!$A$1:$I$89,5,0)</f>
        <v>-3.39923644787632E-13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438.68915237247444</v>
      </c>
      <c r="CE203" s="62">
        <f t="shared" si="207"/>
        <v>376.94419168335452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21.809541349326796</v>
      </c>
      <c r="CL203" s="23">
        <f>EXP(-LN(2)/25)*CL202+(1-EXP(-LN(2)/25))/(LN(2)/25)*Calculateur!CG203*Calculateur!CI203*VLOOKUP('Données projet'!$B$12,Paramètres!$A$1:$I$89,3,0)*0.475*44/12</f>
        <v>1.2522350855595739</v>
      </c>
      <c r="CM203" s="23">
        <f>EXP(-LN(2)/2)*CM202+(1-EXP(-LN(2)/2))/(LN(2)/2)*CG203*CJ203*VLOOKUP('Données projet'!$B$12,Paramètres!$A$1:$I$89,3,0)*0.475*44/12</f>
        <v>8.9111495962619568E-18</v>
      </c>
      <c r="CN203" s="24">
        <f t="shared" si="172"/>
        <v>23.061776434886369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-5.1159076974727213E-13</v>
      </c>
      <c r="CU203" s="18">
        <f>CT203*VLOOKUP('Données projet'!$B$13,Paramètres!$A$1:$I$89,3,0)*VLOOKUP('Données projet'!$B$13,Paramètres!$A$1:$I$89,5,0)</f>
        <v>-2.3942448024172334E-13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302.06513069580848</v>
      </c>
      <c r="CZ203" s="62">
        <f t="shared" si="208"/>
        <v>164.1450425611464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47.444007260275079</v>
      </c>
      <c r="DG203" s="23">
        <f>EXP(-LN(2)/25)*DG202+(1-EXP(-LN(2)/25))/(LN(2)/25)*Calculateur!DB203*Calculateur!DD203*VLOOKUP('Données projet'!$B$13,Paramètres!$A$1:$I$89,3,0)*0.475*44/12</f>
        <v>4.0400133891951295</v>
      </c>
      <c r="DH203" s="23">
        <f>EXP(-LN(2)/2)*DH202+(1-EXP(-LN(2)/2))/(LN(2)/2)*DB203*DE203*VLOOKUP('Données projet'!$B$13,Paramètres!$A$1:$I$89,3,0)*0.475*44/12</f>
        <v>5.9167100009607671E-10</v>
      </c>
      <c r="DI203" s="24">
        <f t="shared" si="175"/>
        <v>51.484020650061879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1.1289835501862808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1.4003603312913959</v>
      </c>
      <c r="BA205" s="88">
        <f>EXP(LN('Données projet'!B88)/'Données projet'!A88)</f>
        <v>1.1927585931702891</v>
      </c>
      <c r="BV205" s="88">
        <f>EXP(LN('Données projet'!B114)/'Données projet'!A114)</f>
        <v>1.2954438051451196</v>
      </c>
      <c r="CQ205" s="88">
        <f>EXP(LN('Données projet'!B140)/'Données projet'!A140)</f>
        <v>1.1734849744378069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L36" sqref="L36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Chêne sessile</v>
      </c>
      <c r="B6" s="155">
        <f>'Données projet'!D9</f>
        <v>1.4251309223299999</v>
      </c>
      <c r="C6" s="156">
        <f ca="1">IF(OR('Données projet'!B9="",'Données projet'!C9="",'Données projet'!C9=0%),0,Calculateur!S3)</f>
        <v>581.88778927327667</v>
      </c>
      <c r="D6" s="156">
        <f>IF(OR('Données projet'!B9="",'Données projet'!C9="",'Données projet'!C9=0%),0,Calculateur!T3)</f>
        <v>269.67340993773422</v>
      </c>
      <c r="E6" s="156">
        <f ca="1">MIN(C6,D6)</f>
        <v>269.67340993773422</v>
      </c>
      <c r="F6" s="156">
        <f ca="1">E6*B6</f>
        <v>384.31991543243936</v>
      </c>
      <c r="G6" s="156">
        <f ca="1">F6*(100%-'Données projet'!$C$24)*(100%-'Données projet'!$C$25)*(100%-'Données projet'!$C$26)*(100%-'Données projet'!$C$27)</f>
        <v>328.5935276947356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328.5935276947356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Chêne rouge d'Amérique</v>
      </c>
      <c r="B7" s="163">
        <f>'Données projet'!D10</f>
        <v>0.56991251287</v>
      </c>
      <c r="C7" s="156">
        <f ca="1">IF(OR('Données projet'!B10="",'Données projet'!C10="",'Données projet'!C10=0%),0,Calculateur!AN3)</f>
        <v>354.24684313982857</v>
      </c>
      <c r="D7" s="156">
        <f>IF(OR('Données projet'!B10="",'Données projet'!C10="",'Données projet'!C10=0%),0,Calculateur!AO3)</f>
        <v>322.65043486962185</v>
      </c>
      <c r="E7" s="156">
        <f t="shared" ref="E7:E15" ca="1" si="0">MIN(C7,D7)</f>
        <v>322.65043486962185</v>
      </c>
      <c r="F7" s="156">
        <f t="shared" ref="F7:F15" ca="1" si="1">E7*B7</f>
        <v>183.88252011514444</v>
      </c>
      <c r="G7" s="156">
        <f ca="1">F7*(100%-'Données projet'!$C$24)*(100%-'Données projet'!$C$25)*(100%-'Données projet'!$C$26)*(100%-'Données projet'!$C$27)</f>
        <v>157.21955469844849</v>
      </c>
      <c r="H7" s="164">
        <f>IF(OR('Données projet'!B10="",'Données projet'!C10="",'Données projet'!C10=0%),0,AVERAGE(Calculateur!$AX$3:$AX$33)*B7)</f>
        <v>4.1225739023969872E-2</v>
      </c>
      <c r="I7" s="158">
        <f>H7*(100%-'Données projet'!$C$24)*(100%-'Données projet'!$C$25)*(100%-'Données projet'!$C$26)*(100%-'Données projet'!$C$27)</f>
        <v>3.5248006865494237E-2</v>
      </c>
      <c r="J7" s="159">
        <f>IF(OR('Données projet'!B10="",'Données projet'!C10="",'Données projet'!C10=0%),0,SUM(Calculateur!$AQ$3:$AQ$33)*VLOOKUP('Données projet'!$B$10,Paramètres!$A$1:$I$89,9,0)*B7)</f>
        <v>15.2451597192725</v>
      </c>
      <c r="K7" s="160">
        <f>J7*(100%-'Données projet'!$C$24)*(100%-'Données projet'!$C$25)*(100%-'Données projet'!$C$26)*(100%-'Données projet'!$C$27)</f>
        <v>13.034611559977987</v>
      </c>
      <c r="L7" s="161">
        <f t="shared" ref="L7:L15" ca="1" si="2">G7+I7+K7</f>
        <v>170.28941426529195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Charme</v>
      </c>
      <c r="B8" s="163">
        <f>'Données projet'!D11</f>
        <v>0.85521840946000005</v>
      </c>
      <c r="C8" s="156">
        <f ca="1">IF(OR('Données projet'!B11="",'Données projet'!C11="",'Données projet'!C11=0%),0,Calculateur!BI3)</f>
        <v>460.77543902152325</v>
      </c>
      <c r="D8" s="156">
        <f>IF(OR('Données projet'!B11="",'Données projet'!C11="",'Données projet'!C11=0%),0,Calculateur!BJ3)</f>
        <v>341.4342976721104</v>
      </c>
      <c r="E8" s="156">
        <f t="shared" ca="1" si="0"/>
        <v>341.4342976721104</v>
      </c>
      <c r="F8" s="156">
        <f t="shared" ca="1" si="1"/>
        <v>292.00089699023448</v>
      </c>
      <c r="G8" s="156">
        <f ca="1">F8*(100%-'Données projet'!$C$24)*(100%-'Données projet'!$C$25)*(100%-'Données projet'!$C$26)*(100%-'Données projet'!$C$27)</f>
        <v>249.66076692665044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6.41413807095</v>
      </c>
      <c r="K8" s="160">
        <f>J8*(100%-'Données projet'!$C$24)*(100%-'Données projet'!$C$25)*(100%-'Données projet'!$C$26)*(100%-'Données projet'!$C$27)</f>
        <v>5.4840880506622502</v>
      </c>
      <c r="L8" s="161">
        <f t="shared" ca="1" si="2"/>
        <v>255.14485497731269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>Pin laricio</v>
      </c>
      <c r="B9" s="163">
        <f>'Données projet'!D12</f>
        <v>7.6599038877299988</v>
      </c>
      <c r="C9" s="156">
        <f ca="1">IF(OR('Données projet'!B12="",'Données projet'!C12="",'Données projet'!C12=0%),0,Calculateur!CD3)</f>
        <v>438.68915237247444</v>
      </c>
      <c r="D9" s="156">
        <f>IF(OR('Données projet'!B12="",'Données projet'!C12="",'Données projet'!C12=0%),0,Calculateur!CE3)</f>
        <v>376.94419168335452</v>
      </c>
      <c r="E9" s="156">
        <f t="shared" ca="1" si="0"/>
        <v>376.94419168335452</v>
      </c>
      <c r="F9" s="156">
        <f t="shared" ca="1" si="1"/>
        <v>2887.3562793325691</v>
      </c>
      <c r="G9" s="156">
        <f ca="1">F9*(100%-'Données projet'!$C$24)*(100%-'Données projet'!$C$25)*(100%-'Données projet'!$C$26)*(100%-'Données projet'!$C$27)</f>
        <v>2468.6896188293467</v>
      </c>
      <c r="H9" s="164">
        <f>IF(OR('Données projet'!B12="",'Données projet'!C12="",'Données projet'!C12=0%),0,AVERAGE(Calculateur!$CN$3:$CN$33)*B9)</f>
        <v>69.930487983296047</v>
      </c>
      <c r="I9" s="158">
        <f>H9*(100%-'Données projet'!$C$24)*(100%-'Données projet'!$C$25)*(100%-'Données projet'!$C$26)*(100%-'Données projet'!$C$27)</f>
        <v>59.790567225718121</v>
      </c>
      <c r="J9" s="159">
        <f>IF(OR('Données projet'!B12="",'Données projet'!C12="",'Données projet'!C12=0%),0,SUM(Calculateur!$CG$3:$CG$33)*VLOOKUP('Données projet'!$B$12,Paramètres!$A$1:$I$89,9,0)*B9)</f>
        <v>520.84205875970019</v>
      </c>
      <c r="K9" s="160">
        <f>J9*(100%-'Données projet'!$C$24)*(100%-'Données projet'!$C$25)*(100%-'Données projet'!$C$26)*(100%-'Données projet'!$C$27)</f>
        <v>445.31996023954366</v>
      </c>
      <c r="L9" s="161">
        <f t="shared" ca="1" si="2"/>
        <v>2973.8001462946086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>Cèdre de l'Atlas</v>
      </c>
      <c r="B10" s="163">
        <f>'Données projet'!D13</f>
        <v>0.83983426761000002</v>
      </c>
      <c r="C10" s="156">
        <f ca="1">IF(OR('Données projet'!B13="",'Données projet'!C13="",'Données projet'!C13=0%),0,Calculateur!CY3)</f>
        <v>302.06513069580848</v>
      </c>
      <c r="D10" s="156">
        <f>IF(OR('Données projet'!B13="",'Données projet'!C13="",'Données projet'!C13=0%),0,Calculateur!CZ3)</f>
        <v>164.1450425611464</v>
      </c>
      <c r="E10" s="156">
        <f t="shared" ca="1" si="0"/>
        <v>164.1450425611464</v>
      </c>
      <c r="F10" s="156">
        <f t="shared" ca="1" si="1"/>
        <v>137.85463160115268</v>
      </c>
      <c r="G10" s="156">
        <f ca="1">F10*(100%-'Données projet'!$C$24)*(100%-'Données projet'!$C$25)*(100%-'Données projet'!$C$26)*(100%-'Données projet'!$C$27)</f>
        <v>117.86571001898552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117.86571001898552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3885.41424347154</v>
      </c>
      <c r="G16" s="175">
        <f t="shared" ca="1" si="3"/>
        <v>3322.0291781681672</v>
      </c>
      <c r="H16" s="176">
        <f t="shared" si="3"/>
        <v>69.971713722320018</v>
      </c>
      <c r="I16" s="176">
        <f t="shared" si="3"/>
        <v>59.825815232583615</v>
      </c>
      <c r="J16" s="177">
        <f t="shared" si="3"/>
        <v>542.50135654992266</v>
      </c>
      <c r="K16" s="177">
        <f t="shared" si="3"/>
        <v>463.83865985018389</v>
      </c>
      <c r="L16" s="178">
        <f t="shared" ca="1" si="3"/>
        <v>3845.6936532509344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Charme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>Pin laricio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>Cèdre de l'Atlas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N2" zoomScale="80" zoomScaleNormal="80" workbookViewId="0">
      <selection activeCell="E48" sqref="E48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5" t="s">
        <v>315</v>
      </c>
      <c r="I4" s="325"/>
      <c r="K4" s="322" t="s">
        <v>253</v>
      </c>
      <c r="L4" s="323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3" t="s">
        <v>310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-1511.767609599709</v>
      </c>
      <c r="U10" s="190">
        <f>'Données projet'!D9</f>
        <v>1.4251309223299999</v>
      </c>
      <c r="V10" s="189">
        <f>U10*T10</f>
        <v>-2154.4667678174524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Chêne rouge d'Amérique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764.73606346921667</v>
      </c>
      <c r="U11" s="190">
        <f>'Données projet'!D10</f>
        <v>0.56991251287</v>
      </c>
      <c r="V11" s="189">
        <f t="shared" ref="V11" si="0">U11*T11</f>
        <v>435.83265161405308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Charme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-958.70226318668438</v>
      </c>
      <c r="U12" s="190">
        <f>'Données projet'!D11</f>
        <v>0.85521840946000005</v>
      </c>
      <c r="V12" s="189">
        <f t="shared" ref="V12:V19" si="1">U12*T12</f>
        <v>-819.89982466821857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>Pin laricio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3523.5839951086373</v>
      </c>
      <c r="U13" s="190">
        <f>'Données projet'!D12</f>
        <v>7.6599038877299988</v>
      </c>
      <c r="V13" s="189">
        <f t="shared" si="1"/>
        <v>26990.314742875853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>Cèdre de l'Atlas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-2105.8190827643307</v>
      </c>
      <c r="U14" s="190">
        <f>'Données projet'!D13</f>
        <v>0.83983426761000002</v>
      </c>
      <c r="V14" s="189">
        <f t="shared" si="1"/>
        <v>-1768.5390270925436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26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6"/>
      <c r="H16" s="203"/>
      <c r="I16" s="204"/>
      <c r="J16" s="215"/>
      <c r="K16" s="224"/>
      <c r="L16" s="322" t="s">
        <v>254</v>
      </c>
      <c r="M16" s="323"/>
      <c r="N16" s="2"/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>
        <v>3003</v>
      </c>
      <c r="F17" s="260"/>
      <c r="G17" s="326"/>
      <c r="J17" s="215"/>
      <c r="K17" s="224"/>
      <c r="L17" s="293" t="s">
        <v>289</v>
      </c>
      <c r="M17" s="295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26"/>
      <c r="J18" s="215"/>
      <c r="K18" s="224"/>
      <c r="L18" s="293" t="s">
        <v>255</v>
      </c>
      <c r="M18" s="295"/>
      <c r="N18" s="205"/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26"/>
      <c r="H19" s="231" t="s">
        <v>178</v>
      </c>
      <c r="I19" s="231" t="s">
        <v>287</v>
      </c>
      <c r="J19" s="259"/>
      <c r="K19" s="183"/>
      <c r="L19" s="322" t="s">
        <v>288</v>
      </c>
      <c r="M19" s="323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26"/>
      <c r="H20" s="203">
        <v>0</v>
      </c>
      <c r="I20" s="204">
        <v>2810.22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>
        <v>500</v>
      </c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>
        <v>500</v>
      </c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42</v>
      </c>
      <c r="B23" s="193">
        <f>'Données projet'!D36</f>
        <v>43.21</v>
      </c>
      <c r="C23" s="206">
        <f>225*'Données projet'!E36+13.8*('Données projet'!F36+'Données projet'!G36)+10*'Données projet'!G36</f>
        <v>45</v>
      </c>
      <c r="D23" s="194">
        <f>B23*C23</f>
        <v>1944.45</v>
      </c>
      <c r="E23" s="206"/>
      <c r="F23" s="260"/>
      <c r="H23" s="203">
        <v>3</v>
      </c>
      <c r="I23" s="204"/>
      <c r="K23" s="224"/>
      <c r="L23" s="324" t="s">
        <v>260</v>
      </c>
      <c r="M23" s="324"/>
      <c r="N23" s="324"/>
      <c r="O23" s="25"/>
      <c r="P23" s="25"/>
      <c r="Q23" s="264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-19840.144707929816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50</v>
      </c>
      <c r="B24" s="193">
        <f>'Données projet'!D37</f>
        <v>35.58</v>
      </c>
      <c r="C24" s="206">
        <f>225*'Données projet'!E37+13.8*('Données projet'!F37+'Données projet'!G37)+10*'Données projet'!G37</f>
        <v>45</v>
      </c>
      <c r="D24" s="194">
        <f t="shared" ref="D24:D42" si="2">B24*C24</f>
        <v>1601.1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58</v>
      </c>
      <c r="B25" s="193">
        <f>'Données projet'!D38</f>
        <v>44.93</v>
      </c>
      <c r="C25" s="206">
        <f>225*'Données projet'!E38+13.8*('Données projet'!F38+'Données projet'!G38)+10*'Données projet'!G38</f>
        <v>45</v>
      </c>
      <c r="D25" s="194">
        <f t="shared" si="2"/>
        <v>2021.85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>
        <v>0</v>
      </c>
      <c r="Q25" s="264"/>
      <c r="R25" s="25"/>
      <c r="S25" s="198" t="s">
        <v>266</v>
      </c>
      <c r="T25" s="340">
        <f ca="1">T23-T24</f>
        <v>-19840.144707929816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66</v>
      </c>
      <c r="B26" s="193">
        <f>'Données projet'!D39</f>
        <v>49.91</v>
      </c>
      <c r="C26" s="206">
        <f>225*'Données projet'!E39+13.8*('Données projet'!F39+'Données projet'!G39)+10*'Données projet'!G39</f>
        <v>67.5</v>
      </c>
      <c r="D26" s="194">
        <f t="shared" si="2"/>
        <v>3368.9249999999997</v>
      </c>
      <c r="E26" s="206"/>
      <c r="F26" s="263"/>
      <c r="G26" s="258"/>
      <c r="H26" s="203"/>
      <c r="I26" s="204"/>
      <c r="K26" s="224"/>
      <c r="L26" s="327" t="s">
        <v>258</v>
      </c>
      <c r="M26" s="328"/>
      <c r="N26" s="328"/>
      <c r="O26" s="328"/>
      <c r="P26" s="329"/>
      <c r="Q26" s="264"/>
      <c r="R26" s="25"/>
      <c r="S26" s="198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74</v>
      </c>
      <c r="B27" s="193">
        <f>'Données projet'!D40</f>
        <v>47.4</v>
      </c>
      <c r="C27" s="206">
        <f>225*'Données projet'!E40+13.8*('Données projet'!F40+'Données projet'!G40)+10*'Données projet'!G40</f>
        <v>90</v>
      </c>
      <c r="D27" s="194">
        <f t="shared" si="2"/>
        <v>4266</v>
      </c>
      <c r="E27" s="206"/>
      <c r="F27" s="263"/>
      <c r="G27" s="258"/>
      <c r="H27" s="203"/>
      <c r="I27" s="204"/>
      <c r="K27" s="224"/>
      <c r="L27" s="330"/>
      <c r="M27" s="331"/>
      <c r="N27" s="331"/>
      <c r="O27" s="331"/>
      <c r="P27" s="332"/>
      <c r="Q27" s="264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84</v>
      </c>
      <c r="B28" s="193">
        <f>'Données projet'!D41</f>
        <v>61.47</v>
      </c>
      <c r="C28" s="206">
        <f>225*'Données projet'!E41+13.8*('Données projet'!F41+'Données projet'!G41)+10*'Données projet'!G41</f>
        <v>90</v>
      </c>
      <c r="D28" s="194">
        <f t="shared" si="2"/>
        <v>5532.3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94</v>
      </c>
      <c r="B29" s="193">
        <f>'Données projet'!D42</f>
        <v>61.85</v>
      </c>
      <c r="C29" s="206">
        <f>225*'Données projet'!E42+13.8*('Données projet'!F42+'Données projet'!G42)+10*'Données projet'!G42</f>
        <v>112.5</v>
      </c>
      <c r="D29" s="194">
        <f t="shared" si="2"/>
        <v>6958.125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104</v>
      </c>
      <c r="B30" s="193">
        <f>'Données projet'!D43</f>
        <v>60.19</v>
      </c>
      <c r="C30" s="206">
        <f>225*'Données projet'!E43+13.8*('Données projet'!F43+'Données projet'!G43)+10*'Données projet'!G43</f>
        <v>112.5</v>
      </c>
      <c r="D30" s="194">
        <f t="shared" si="2"/>
        <v>6771.375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114</v>
      </c>
      <c r="B31" s="193">
        <f>'Données projet'!D44</f>
        <v>56.07</v>
      </c>
      <c r="C31" s="206">
        <f>225*'Données projet'!E44+13.8*('Données projet'!F44+'Données projet'!G44)+10*'Données projet'!G44</f>
        <v>135</v>
      </c>
      <c r="D31" s="194">
        <f t="shared" si="2"/>
        <v>7569.45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124</v>
      </c>
      <c r="B32" s="193">
        <f>'Données projet'!D45</f>
        <v>52.53</v>
      </c>
      <c r="C32" s="206">
        <f>225*'Données projet'!E45+13.8*('Données projet'!F45+'Données projet'!G45)+10*'Données projet'!G45</f>
        <v>157.5</v>
      </c>
      <c r="D32" s="194">
        <f t="shared" si="2"/>
        <v>8273.4750000000004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134</v>
      </c>
      <c r="B33" s="193">
        <f>'Données projet'!D46</f>
        <v>54.95</v>
      </c>
      <c r="C33" s="206">
        <f>225*'Données projet'!E46+13.8*('Données projet'!F46+'Données projet'!G46)+10*'Données projet'!G46</f>
        <v>157.5</v>
      </c>
      <c r="D33" s="194">
        <f t="shared" si="2"/>
        <v>8654.625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144</v>
      </c>
      <c r="B34" s="193">
        <f>'Données projet'!D47</f>
        <v>56.01</v>
      </c>
      <c r="C34" s="206">
        <f>225*'Données projet'!E47+13.8*('Données projet'!F47+'Données projet'!G47)+10*'Données projet'!G47</f>
        <v>157.5</v>
      </c>
      <c r="D34" s="194">
        <f t="shared" si="2"/>
        <v>8821.5749999999989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154</v>
      </c>
      <c r="B35" s="193">
        <f>'Données projet'!D48</f>
        <v>55.13</v>
      </c>
      <c r="C35" s="206">
        <f>225*'Données projet'!E48+13.8*('Données projet'!F48+'Données projet'!G48)+10*'Données projet'!G48</f>
        <v>157.5</v>
      </c>
      <c r="D35" s="194">
        <f t="shared" si="2"/>
        <v>8682.9750000000004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164</v>
      </c>
      <c r="B36" s="193">
        <f>'Données projet'!D49</f>
        <v>59.58</v>
      </c>
      <c r="C36" s="206">
        <f>225*'Données projet'!E49+13.8*('Données projet'!F49+'Données projet'!G49)+10*'Données projet'!G49</f>
        <v>180</v>
      </c>
      <c r="D36" s="194">
        <f t="shared" si="2"/>
        <v>10724.4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174</v>
      </c>
      <c r="B37" s="193">
        <f>'Données projet'!D50</f>
        <v>214.77</v>
      </c>
      <c r="C37" s="206">
        <f>225*'Données projet'!E50+13.8*('Données projet'!F50+'Données projet'!G50)+10*'Données projet'!G50</f>
        <v>180</v>
      </c>
      <c r="D37" s="194">
        <f t="shared" si="2"/>
        <v>38658.6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177</v>
      </c>
      <c r="B38" s="193">
        <f>'Données projet'!D51</f>
        <v>115.19</v>
      </c>
      <c r="C38" s="206">
        <f>225*'Données projet'!E51+13.8*('Données projet'!F51+'Données projet'!G51)+10*'Données projet'!G51</f>
        <v>180</v>
      </c>
      <c r="D38" s="194">
        <f t="shared" si="2"/>
        <v>20734.2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180</v>
      </c>
      <c r="B39" s="193">
        <f>'Données projet'!D52</f>
        <v>77.72</v>
      </c>
      <c r="C39" s="206">
        <f>225*'Données projet'!E52+13.8*('Données projet'!F52+'Données projet'!G52)+10*'Données projet'!G52</f>
        <v>180</v>
      </c>
      <c r="D39" s="194">
        <f t="shared" si="2"/>
        <v>13989.6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183</v>
      </c>
      <c r="B40" s="193">
        <f>'Données projet'!D53</f>
        <v>169.76</v>
      </c>
      <c r="C40" s="206">
        <f>225*'Données projet'!E53+13.8*('Données projet'!F53+'Données projet'!G53)+10*'Données projet'!G53</f>
        <v>180</v>
      </c>
      <c r="D40" s="194">
        <f t="shared" si="2"/>
        <v>30556.799999999999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>
        <f>225*'Données projet'!E54+13.8*('Données projet'!F54+'Données projet'!G54)+10*'Données projet'!G54</f>
        <v>0</v>
      </c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>
        <f>225*'Données projet'!E55+13.8*('Données projet'!F55+'Données projet'!G55)+10*'Données projet'!G55</f>
        <v>0</v>
      </c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>
        <v>2574</v>
      </c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10</v>
      </c>
      <c r="B54" s="193">
        <f>'Données projet'!D62</f>
        <v>0</v>
      </c>
      <c r="C54" s="204">
        <f>225*'Données projet'!E62+13.8*('Données projet'!F62+'Données projet'!G62)+10*'Données projet'!H62</f>
        <v>10</v>
      </c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15</v>
      </c>
      <c r="B55" s="193">
        <f>'Données projet'!D63</f>
        <v>0</v>
      </c>
      <c r="C55" s="204">
        <f>225*'Données projet'!E63+13.8*('Données projet'!F63+'Données projet'!G63)+10*'Données projet'!H63</f>
        <v>10</v>
      </c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20</v>
      </c>
      <c r="B56" s="193">
        <f>'Données projet'!D64</f>
        <v>54</v>
      </c>
      <c r="C56" s="204">
        <f>225*'Données projet'!E64+13.8*('Données projet'!F64+'Données projet'!G64)+10*'Données projet'!H64</f>
        <v>10</v>
      </c>
      <c r="D56" s="191">
        <f t="shared" si="4"/>
        <v>540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25</v>
      </c>
      <c r="B57" s="193">
        <f>'Données projet'!D65</f>
        <v>26</v>
      </c>
      <c r="C57" s="204">
        <f>225*'Données projet'!E65+13.8*('Données projet'!F65+'Données projet'!G65)+10*'Données projet'!H65</f>
        <v>10</v>
      </c>
      <c r="D57" s="191">
        <f t="shared" si="4"/>
        <v>260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30</v>
      </c>
      <c r="B58" s="193">
        <f>'Données projet'!D66</f>
        <v>27</v>
      </c>
      <c r="C58" s="204">
        <f>225*'Données projet'!E66+13.8*('Données projet'!F66+'Données projet'!G66)+10*'Données projet'!H66</f>
        <v>53</v>
      </c>
      <c r="D58" s="191">
        <f t="shared" si="4"/>
        <v>1431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35</v>
      </c>
      <c r="B59" s="193">
        <f>'Données projet'!D67</f>
        <v>27</v>
      </c>
      <c r="C59" s="204">
        <f>225*'Données projet'!E67+13.8*('Données projet'!F67+'Données projet'!G67)+10*'Données projet'!H67</f>
        <v>53</v>
      </c>
      <c r="D59" s="191">
        <f t="shared" si="4"/>
        <v>1431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40</v>
      </c>
      <c r="B60" s="193">
        <f>'Données projet'!D68</f>
        <v>27</v>
      </c>
      <c r="C60" s="204">
        <f>225*'Données projet'!E68+13.8*('Données projet'!F68+'Données projet'!G68)+10*'Données projet'!H68</f>
        <v>74.5</v>
      </c>
      <c r="D60" s="191">
        <f t="shared" si="4"/>
        <v>2011.5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45</v>
      </c>
      <c r="B61" s="193">
        <f>'Données projet'!D69</f>
        <v>26</v>
      </c>
      <c r="C61" s="204">
        <f>225*'Données projet'!E69+13.8*('Données projet'!F69+'Données projet'!G69)+10*'Données projet'!H69</f>
        <v>74.5</v>
      </c>
      <c r="D61" s="191">
        <f t="shared" si="4"/>
        <v>1937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50</v>
      </c>
      <c r="B62" s="193">
        <f>'Données projet'!D70</f>
        <v>24</v>
      </c>
      <c r="C62" s="204">
        <f>225*'Données projet'!E70+13.8*('Données projet'!F70+'Données projet'!G70)+10*'Données projet'!H70</f>
        <v>96</v>
      </c>
      <c r="D62" s="191">
        <f t="shared" si="4"/>
        <v>2304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55</v>
      </c>
      <c r="B63" s="193">
        <f>'Données projet'!D71</f>
        <v>23</v>
      </c>
      <c r="C63" s="204">
        <f>225*'Données projet'!E71+13.8*('Données projet'!F71+'Données projet'!G71)+10*'Données projet'!H71</f>
        <v>96</v>
      </c>
      <c r="D63" s="191">
        <f t="shared" si="4"/>
        <v>2208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60</v>
      </c>
      <c r="B64" s="193">
        <f>'Données projet'!D72</f>
        <v>21</v>
      </c>
      <c r="C64" s="204">
        <f>225*'Données projet'!E72+13.8*('Données projet'!F72+'Données projet'!G72)+10*'Données projet'!H72</f>
        <v>117.5</v>
      </c>
      <c r="D64" s="191">
        <f t="shared" si="4"/>
        <v>2467.5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65</v>
      </c>
      <c r="B65" s="193">
        <f>'Données projet'!D73</f>
        <v>20</v>
      </c>
      <c r="C65" s="204">
        <f>225*'Données projet'!E73+13.8*('Données projet'!F73+'Données projet'!G73)+10*'Données projet'!H73</f>
        <v>117.5</v>
      </c>
      <c r="D65" s="191">
        <f t="shared" si="4"/>
        <v>2350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70</v>
      </c>
      <c r="B66" s="193">
        <f>'Données projet'!D74</f>
        <v>18</v>
      </c>
      <c r="C66" s="204">
        <f>225*'Données projet'!E74+13.8*('Données projet'!F74+'Données projet'!G74)+10*'Données projet'!H74</f>
        <v>139</v>
      </c>
      <c r="D66" s="191">
        <f t="shared" si="4"/>
        <v>2502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75</v>
      </c>
      <c r="B67" s="193">
        <f>'Données projet'!D75</f>
        <v>16</v>
      </c>
      <c r="C67" s="204">
        <f>225*'Données projet'!E75+13.8*('Données projet'!F75+'Données projet'!G75)+10*'Données projet'!H75</f>
        <v>139</v>
      </c>
      <c r="D67" s="191">
        <f t="shared" si="4"/>
        <v>2224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80</v>
      </c>
      <c r="B68" s="193">
        <f>'Données projet'!D76</f>
        <v>15</v>
      </c>
      <c r="C68" s="204">
        <f>225*'Données projet'!E76+13.8*('Données projet'!F76+'Données projet'!G76)+10*'Données projet'!H76</f>
        <v>160.5</v>
      </c>
      <c r="D68" s="191">
        <f t="shared" si="4"/>
        <v>2407.5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85</v>
      </c>
      <c r="B69" s="193">
        <f>'Données projet'!D77</f>
        <v>14</v>
      </c>
      <c r="C69" s="204">
        <f>225*'Données projet'!E77+13.8*('Données projet'!F77+'Données projet'!G77)+10*'Données projet'!H77</f>
        <v>160.5</v>
      </c>
      <c r="D69" s="191">
        <f t="shared" si="4"/>
        <v>2247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90</v>
      </c>
      <c r="B70" s="193">
        <f>'Données projet'!D78</f>
        <v>12</v>
      </c>
      <c r="C70" s="204">
        <f>225*'Données projet'!E78+13.8*('Données projet'!F78+'Données projet'!G78)+10*'Données projet'!H78</f>
        <v>182</v>
      </c>
      <c r="D70" s="191">
        <f t="shared" si="4"/>
        <v>2184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95</v>
      </c>
      <c r="B71" s="193">
        <f>'Données projet'!D79</f>
        <v>12</v>
      </c>
      <c r="C71" s="204">
        <f>225*'Données projet'!E79+13.8*('Données projet'!F79+'Données projet'!G79)+10*'Données projet'!H79</f>
        <v>182</v>
      </c>
      <c r="D71" s="191">
        <f t="shared" si="4"/>
        <v>2184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100</v>
      </c>
      <c r="B72" s="193">
        <f>'Données projet'!D80</f>
        <v>255</v>
      </c>
      <c r="C72" s="204">
        <f>225*'Données projet'!E80+13.8*('Données projet'!F80+'Données projet'!G80)+10*'Données projet'!H80</f>
        <v>182</v>
      </c>
      <c r="D72" s="191">
        <f t="shared" si="4"/>
        <v>46410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>
        <f>225*'Données projet'!E81+13.8*('Données projet'!F81+'Données projet'!G81)+10*'Données projet'!H81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Charme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>
        <v>1859</v>
      </c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25</v>
      </c>
      <c r="B85" s="193">
        <f>'Données projet'!D88</f>
        <v>11</v>
      </c>
      <c r="C85" s="204">
        <f>50*'Données projet'!E88+13.8*('Données projet'!F88+'Données projet'!G88)+10*'Données projet'!H88</f>
        <v>10</v>
      </c>
      <c r="D85" s="191">
        <f>B85*C85</f>
        <v>110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30</v>
      </c>
      <c r="B86" s="193">
        <f>'Données projet'!D89</f>
        <v>19</v>
      </c>
      <c r="C86" s="204">
        <f>50*'Données projet'!E89+13.8*('Données projet'!F89+'Données projet'!G89)+10*'Données projet'!H89</f>
        <v>10</v>
      </c>
      <c r="D86" s="191">
        <f t="shared" ref="D86:D104" si="6">B86*C86</f>
        <v>190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35</v>
      </c>
      <c r="B87" s="193">
        <f>'Données projet'!D90</f>
        <v>24</v>
      </c>
      <c r="C87" s="204">
        <f>50*'Données projet'!E90+13.8*('Données projet'!F90+'Données projet'!G90)+10*'Données projet'!H90</f>
        <v>18</v>
      </c>
      <c r="D87" s="191">
        <f t="shared" si="6"/>
        <v>432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40</v>
      </c>
      <c r="B88" s="193">
        <f>'Données projet'!D91</f>
        <v>27</v>
      </c>
      <c r="C88" s="204">
        <f>50*'Données projet'!E91+13.8*('Données projet'!F91+'Données projet'!G91)+10*'Données projet'!H91</f>
        <v>18</v>
      </c>
      <c r="D88" s="191">
        <f t="shared" si="6"/>
        <v>486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45</v>
      </c>
      <c r="B89" s="193">
        <f>'Données projet'!D92</f>
        <v>30</v>
      </c>
      <c r="C89" s="204">
        <f>50*'Données projet'!E92+13.8*('Données projet'!F92+'Données projet'!G92)+10*'Données projet'!H92</f>
        <v>18</v>
      </c>
      <c r="D89" s="191">
        <f t="shared" si="6"/>
        <v>540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50</v>
      </c>
      <c r="B90" s="193">
        <f>'Données projet'!D93</f>
        <v>31</v>
      </c>
      <c r="C90" s="204">
        <f>50*'Données projet'!E93+13.8*('Données projet'!F93+'Données projet'!G93)+10*'Données projet'!H93</f>
        <v>22</v>
      </c>
      <c r="D90" s="191">
        <f t="shared" si="6"/>
        <v>682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55</v>
      </c>
      <c r="B91" s="193">
        <f>'Données projet'!D94</f>
        <v>32</v>
      </c>
      <c r="C91" s="204">
        <f>50*'Données projet'!E94+13.8*('Données projet'!F94+'Données projet'!G94)+10*'Données projet'!H94</f>
        <v>26</v>
      </c>
      <c r="D91" s="191">
        <f t="shared" si="6"/>
        <v>832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60</v>
      </c>
      <c r="B92" s="193">
        <f>'Données projet'!D95</f>
        <v>32</v>
      </c>
      <c r="C92" s="204">
        <f>50*'Données projet'!E95+13.8*('Données projet'!F95+'Données projet'!G95)+10*'Données projet'!H95</f>
        <v>26</v>
      </c>
      <c r="D92" s="191">
        <f t="shared" si="6"/>
        <v>832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65</v>
      </c>
      <c r="B93" s="193">
        <f>'Données projet'!D96</f>
        <v>32</v>
      </c>
      <c r="C93" s="204">
        <f>50*'Données projet'!E96+13.8*('Données projet'!F96+'Données projet'!G96)+10*'Données projet'!H96</f>
        <v>30</v>
      </c>
      <c r="D93" s="191">
        <f t="shared" si="6"/>
        <v>960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70</v>
      </c>
      <c r="B94" s="193">
        <f>'Données projet'!D97</f>
        <v>32</v>
      </c>
      <c r="C94" s="204">
        <f>50*'Données projet'!E97+13.8*('Données projet'!F97+'Données projet'!G97)+10*'Données projet'!H97</f>
        <v>30</v>
      </c>
      <c r="D94" s="191">
        <f t="shared" si="6"/>
        <v>960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75</v>
      </c>
      <c r="B95" s="193">
        <f>'Données projet'!D98</f>
        <v>32</v>
      </c>
      <c r="C95" s="204">
        <f>50*'Données projet'!E98+13.8*('Données projet'!F98+'Données projet'!G98)+10*'Données projet'!H98</f>
        <v>34</v>
      </c>
      <c r="D95" s="191">
        <f t="shared" si="6"/>
        <v>1088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80</v>
      </c>
      <c r="B96" s="193">
        <f>'Données projet'!D99</f>
        <v>32</v>
      </c>
      <c r="C96" s="204">
        <f>50*'Données projet'!E99+13.8*('Données projet'!F99+'Données projet'!G99)+10*'Données projet'!H99</f>
        <v>38</v>
      </c>
      <c r="D96" s="191">
        <f t="shared" si="6"/>
        <v>1216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85</v>
      </c>
      <c r="B97" s="193">
        <f>'Données projet'!D100</f>
        <v>31</v>
      </c>
      <c r="C97" s="204">
        <f>50*'Données projet'!E100+13.8*('Données projet'!F100+'Données projet'!G100)+10*'Données projet'!H100</f>
        <v>38</v>
      </c>
      <c r="D97" s="191">
        <f t="shared" si="6"/>
        <v>1178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90</v>
      </c>
      <c r="B98" s="193">
        <f>'Données projet'!D101</f>
        <v>31</v>
      </c>
      <c r="C98" s="204">
        <f>50*'Données projet'!E101+13.8*('Données projet'!F101+'Données projet'!G101)+10*'Données projet'!H101</f>
        <v>38</v>
      </c>
      <c r="D98" s="191">
        <f t="shared" si="6"/>
        <v>1178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95</v>
      </c>
      <c r="B99" s="193">
        <f>'Données projet'!D102</f>
        <v>30</v>
      </c>
      <c r="C99" s="204">
        <f>50*'Données projet'!E102+13.8*('Données projet'!F102+'Données projet'!G102)+10*'Données projet'!H102</f>
        <v>38</v>
      </c>
      <c r="D99" s="191">
        <f t="shared" si="6"/>
        <v>1140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100</v>
      </c>
      <c r="B100" s="193">
        <f>'Données projet'!D103</f>
        <v>29</v>
      </c>
      <c r="C100" s="204">
        <f>50*'Données projet'!E103+13.8*('Données projet'!F103+'Données projet'!G103)+10*'Données projet'!H103</f>
        <v>42</v>
      </c>
      <c r="D100" s="191">
        <f t="shared" si="6"/>
        <v>1218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105</v>
      </c>
      <c r="B101" s="193">
        <f>'Données projet'!D104</f>
        <v>28</v>
      </c>
      <c r="C101" s="204">
        <f>50*'Données projet'!E104+13.8*('Données projet'!F104+'Données projet'!G104)+10*'Données projet'!H104</f>
        <v>42</v>
      </c>
      <c r="D101" s="191">
        <f t="shared" si="6"/>
        <v>1176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110</v>
      </c>
      <c r="B102" s="193">
        <f>'Données projet'!D105</f>
        <v>28</v>
      </c>
      <c r="C102" s="204">
        <f>50*'Données projet'!E105+13.8*('Données projet'!F105+'Données projet'!G105)+10*'Données projet'!H105</f>
        <v>42</v>
      </c>
      <c r="D102" s="191">
        <f t="shared" si="6"/>
        <v>1176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115</v>
      </c>
      <c r="B103" s="193">
        <f>'Données projet'!D106</f>
        <v>27</v>
      </c>
      <c r="C103" s="204">
        <f>50*'Données projet'!E106+13.8*('Données projet'!F106+'Données projet'!G106)+10*'Données projet'!H106</f>
        <v>42</v>
      </c>
      <c r="D103" s="191">
        <f t="shared" si="6"/>
        <v>1134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120</v>
      </c>
      <c r="B104" s="193">
        <f>'Données projet'!D107</f>
        <v>318</v>
      </c>
      <c r="C104" s="204">
        <f>50*'Données projet'!E107+13.8*('Données projet'!F107+'Données projet'!G107)+10*'Données projet'!H107</f>
        <v>42</v>
      </c>
      <c r="D104" s="191">
        <f t="shared" si="6"/>
        <v>13356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>Pin laricio</v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>
        <v>1573</v>
      </c>
      <c r="F110" s="261"/>
      <c r="G110" s="222"/>
      <c r="H110" s="203"/>
      <c r="I110" s="204"/>
      <c r="J110" s="5"/>
      <c r="K110" s="183"/>
      <c r="L110" s="5"/>
      <c r="M110" s="5"/>
      <c r="N110" s="5"/>
      <c r="O110" s="207" t="str">
        <f>IF(O109+1&lt;=MIN('Données projet'!$E$9:$E$18),O109+1,"STOP")</f>
        <v>STOP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15</v>
      </c>
      <c r="B116" s="193">
        <f>'Données projet'!D114</f>
        <v>0</v>
      </c>
      <c r="C116" s="204">
        <f>65*'Données projet'!E114+19.4*('Données projet'!F114+'Données projet'!G114)+10*'Données projet'!H114</f>
        <v>33.08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19</v>
      </c>
      <c r="B117" s="193">
        <f>'Données projet'!D115</f>
        <v>46.3</v>
      </c>
      <c r="C117" s="204">
        <f>65*'Données projet'!E115+19.4*('Données projet'!F115+'Données projet'!G115)+10*'Données projet'!H115</f>
        <v>33.08</v>
      </c>
      <c r="D117" s="191">
        <f t="shared" ref="D117:D135" si="8">B117*C117</f>
        <v>1531.6039999999998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24</v>
      </c>
      <c r="B118" s="193">
        <f>'Données projet'!D116</f>
        <v>44.84</v>
      </c>
      <c r="C118" s="204">
        <f>65*'Données projet'!E116+19.4*('Données projet'!F116+'Données projet'!G116)+10*'Données projet'!H116</f>
        <v>37.64</v>
      </c>
      <c r="D118" s="191">
        <f t="shared" si="8"/>
        <v>1687.7776000000001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30</v>
      </c>
      <c r="B119" s="193">
        <f>'Données projet'!D117</f>
        <v>66.989999999999995</v>
      </c>
      <c r="C119" s="204">
        <f>65*'Données projet'!E117+19.4*('Données projet'!F117+'Données projet'!G117)+10*'Données projet'!H117</f>
        <v>42.2</v>
      </c>
      <c r="D119" s="191">
        <f t="shared" si="8"/>
        <v>2826.9780000000001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32</v>
      </c>
      <c r="B120" s="193">
        <f>'Données projet'!D118</f>
        <v>0</v>
      </c>
      <c r="C120" s="204">
        <f>65*'Données projet'!E118+19.4*('Données projet'!F118+'Données projet'!G118)+10*'Données projet'!H118</f>
        <v>46.76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37</v>
      </c>
      <c r="B121" s="193">
        <f>'Données projet'!D119</f>
        <v>54.63</v>
      </c>
      <c r="C121" s="204">
        <f>65*'Données projet'!E119+19.4*('Données projet'!F119+'Données projet'!G119)+10*'Données projet'!H119</f>
        <v>46.76</v>
      </c>
      <c r="D121" s="191">
        <f t="shared" si="8"/>
        <v>2554.4987999999998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41</v>
      </c>
      <c r="B122" s="193">
        <f>'Données projet'!D120</f>
        <v>0</v>
      </c>
      <c r="C122" s="204">
        <f>65*'Données projet'!E120+19.4*('Données projet'!F120+'Données projet'!G120)+10*'Données projet'!H120</f>
        <v>51.32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46</v>
      </c>
      <c r="B123" s="193">
        <f>'Données projet'!D121</f>
        <v>93.13</v>
      </c>
      <c r="C123" s="204">
        <f>65*'Données projet'!E121+19.4*('Données projet'!F121+'Données projet'!G121)+10*'Données projet'!H121</f>
        <v>51.32</v>
      </c>
      <c r="D123" s="191">
        <f t="shared" si="8"/>
        <v>4779.4315999999999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50</v>
      </c>
      <c r="B124" s="193">
        <f>'Données projet'!D122</f>
        <v>0</v>
      </c>
      <c r="C124" s="204">
        <f>65*'Données projet'!E122+19.4*('Données projet'!F122+'Données projet'!G122)+10*'Données projet'!H122</f>
        <v>55.88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56</v>
      </c>
      <c r="B125" s="193">
        <f>'Données projet'!D123</f>
        <v>77.37</v>
      </c>
      <c r="C125" s="204">
        <f>65*'Données projet'!E123+19.4*('Données projet'!F123+'Données projet'!G123)+10*'Données projet'!H123</f>
        <v>55.88</v>
      </c>
      <c r="D125" s="191">
        <f t="shared" si="8"/>
        <v>4323.4356000000007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59</v>
      </c>
      <c r="B126" s="193">
        <f>'Données projet'!D124</f>
        <v>0</v>
      </c>
      <c r="C126" s="204">
        <f>65*'Données projet'!E124+19.4*('Données projet'!F124+'Données projet'!G124)+10*'Données projet'!H124</f>
        <v>55.88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66</v>
      </c>
      <c r="B127" s="193">
        <f>'Données projet'!D125</f>
        <v>87.84</v>
      </c>
      <c r="C127" s="204">
        <f>65*'Données projet'!E125+19.4*('Données projet'!F125+'Données projet'!G125)+10*'Données projet'!H125</f>
        <v>55.88</v>
      </c>
      <c r="D127" s="191">
        <f t="shared" si="8"/>
        <v>4908.4992000000002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68</v>
      </c>
      <c r="B128" s="193">
        <f>'Données projet'!D126</f>
        <v>0</v>
      </c>
      <c r="C128" s="204">
        <f>65*'Données projet'!E126+19.4*('Données projet'!F126+'Données projet'!G126)+10*'Données projet'!H126</f>
        <v>55.88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76</v>
      </c>
      <c r="B129" s="193">
        <f>'Données projet'!D127</f>
        <v>671.57</v>
      </c>
      <c r="C129" s="204">
        <f>65*'Données projet'!E127+19.4*('Données projet'!F127+'Données projet'!G127)+10*'Données projet'!H127</f>
        <v>55.88</v>
      </c>
      <c r="D129" s="191">
        <f t="shared" si="8"/>
        <v>37527.331600000005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f>65*'Données projet'!E128+19.4*('Données projet'!F128+'Données projet'!G128)+10*'Données projet'!H128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65*'Données projet'!E129+19.4*('Données projet'!F129+'Données projet'!G129)+10*'Données projet'!H129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65*'Données projet'!E130+19.4*('Données projet'!F130+'Données projet'!G130)+10*'Données projet'!H130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65*'Données projet'!E131+19.4*('Données projet'!F131+'Données projet'!G131)+10*'Données projet'!H131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65*'Données projet'!E132+19.4*('Données projet'!F132+'Données projet'!G132)+10*'Données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65*'Données projet'!E133+19.4*('Données projet'!F133+'Données projet'!G133)+10*'Données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>Cèdre de l'Atlas</v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>
        <v>3432</v>
      </c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30</v>
      </c>
      <c r="B147" s="187">
        <f>'Données projet'!D140</f>
        <v>0</v>
      </c>
      <c r="C147" s="204">
        <f>55*'Données projet'!E140+19.4*('Données projet'!F140+'Données projet'!G140)+10*'Données projet'!H140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35</v>
      </c>
      <c r="B148" s="187">
        <f>'Données projet'!D141</f>
        <v>0</v>
      </c>
      <c r="C148" s="204">
        <f>55*'Données projet'!E141+19.4*('Données projet'!F141+'Données projet'!G141)+10*'Données projet'!H141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40</v>
      </c>
      <c r="B149" s="187">
        <f>'Données projet'!D142</f>
        <v>0</v>
      </c>
      <c r="C149" s="204">
        <f>55*'Données projet'!E142+19.4*('Données projet'!F142+'Données projet'!G142)+10*'Données projet'!H142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45</v>
      </c>
      <c r="B150" s="187">
        <f>'Données projet'!D143</f>
        <v>0</v>
      </c>
      <c r="C150" s="204">
        <f>55*'Données projet'!E143+19.4*('Données projet'!F143+'Données projet'!G143)+10*'Données projet'!H143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51</v>
      </c>
      <c r="B151" s="187">
        <f>'Données projet'!D144</f>
        <v>171.3</v>
      </c>
      <c r="C151" s="204">
        <f>55*'Données projet'!E144+19.4*('Données projet'!F144+'Données projet'!G144)+10*'Données projet'!H144</f>
        <v>33.64</v>
      </c>
      <c r="D151" s="194">
        <f t="shared" si="10"/>
        <v>5762.5320000000002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55</v>
      </c>
      <c r="B152" s="187">
        <f>'Données projet'!D145</f>
        <v>0</v>
      </c>
      <c r="C152" s="204">
        <f>55*'Données projet'!E145+19.4*('Données projet'!F145+'Données projet'!G145)+10*'Données projet'!H145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61</v>
      </c>
      <c r="B153" s="187">
        <f>'Données projet'!D146</f>
        <v>100.2</v>
      </c>
      <c r="C153" s="204">
        <f>55*'Données projet'!E146+19.4*('Données projet'!F146+'Données projet'!G146)+10*'Données projet'!H146</f>
        <v>37.200000000000003</v>
      </c>
      <c r="D153" s="194">
        <f t="shared" si="10"/>
        <v>3727.4400000000005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65</v>
      </c>
      <c r="B154" s="187">
        <f>'Données projet'!D147</f>
        <v>0</v>
      </c>
      <c r="C154" s="204">
        <f>55*'Données projet'!E147+19.4*('Données projet'!F147+'Données projet'!G147)+10*'Données projet'!H147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73</v>
      </c>
      <c r="B155" s="187">
        <f>'Données projet'!D148</f>
        <v>102.1</v>
      </c>
      <c r="C155" s="204">
        <f>55*'Données projet'!E148+19.4*('Données projet'!F148+'Données projet'!G148)+10*'Données projet'!H148</f>
        <v>40.76</v>
      </c>
      <c r="D155" s="194">
        <f t="shared" si="10"/>
        <v>4161.5959999999995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80</v>
      </c>
      <c r="B156" s="187">
        <f>'Données projet'!D149</f>
        <v>0</v>
      </c>
      <c r="C156" s="204">
        <f>55*'Données projet'!E149+19.4*('Données projet'!F149+'Données projet'!G149)+10*'Données projet'!H149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85</v>
      </c>
      <c r="B157" s="187">
        <f>'Données projet'!D150</f>
        <v>94.69</v>
      </c>
      <c r="C157" s="204">
        <f>55*'Données projet'!E150+19.4*('Données projet'!F150+'Données projet'!G150)+10*'Données projet'!H150</f>
        <v>44.32</v>
      </c>
      <c r="D157" s="194">
        <f t="shared" si="10"/>
        <v>4196.6607999999997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90</v>
      </c>
      <c r="B158" s="187">
        <f>'Données projet'!D151</f>
        <v>0</v>
      </c>
      <c r="C158" s="204">
        <f>55*'Données projet'!E151+19.4*('Données projet'!F151+'Données projet'!G151)+10*'Données projet'!H151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97</v>
      </c>
      <c r="B159" s="187">
        <f>'Données projet'!D152</f>
        <v>89.6</v>
      </c>
      <c r="C159" s="204">
        <f>55*'Données projet'!E152+19.4*('Données projet'!F152+'Données projet'!G152)+10*'Données projet'!H152</f>
        <v>47.88</v>
      </c>
      <c r="D159" s="194">
        <f t="shared" si="10"/>
        <v>4290.0479999999998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100</v>
      </c>
      <c r="B160" s="187">
        <f>'Données projet'!D153</f>
        <v>0</v>
      </c>
      <c r="C160" s="204">
        <f>55*'Données projet'!E153+19.4*('Données projet'!F153+'Données projet'!G153)+10*'Données projet'!H153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105</v>
      </c>
      <c r="B161" s="187">
        <f>'Données projet'!D154</f>
        <v>0</v>
      </c>
      <c r="C161" s="204">
        <f>55*'Données projet'!E154+19.4*('Données projet'!F154+'Données projet'!G154)+10*'Données projet'!H154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109</v>
      </c>
      <c r="B162" s="187">
        <f>'Données projet'!D155</f>
        <v>91.09</v>
      </c>
      <c r="C162" s="204">
        <f>55*'Données projet'!E155+19.4*('Données projet'!F155+'Données projet'!G155)+10*'Données projet'!H155</f>
        <v>47.88</v>
      </c>
      <c r="D162" s="194">
        <f t="shared" si="10"/>
        <v>4361.3892000000005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115</v>
      </c>
      <c r="B163" s="187">
        <f>'Données projet'!D156</f>
        <v>0</v>
      </c>
      <c r="C163" s="204">
        <f>55*'Données projet'!E156+19.4*('Données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121</v>
      </c>
      <c r="B164" s="187">
        <f>'Données projet'!D157</f>
        <v>233.54</v>
      </c>
      <c r="C164" s="204">
        <f>55*'Données projet'!E157+19.4*('Données projet'!F157+'Données projet'!G157)+10*'Données projet'!H157</f>
        <v>47.88</v>
      </c>
      <c r="D164" s="194">
        <f t="shared" si="10"/>
        <v>11181.895200000001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125</v>
      </c>
      <c r="B165" s="187">
        <f>'Données projet'!D158</f>
        <v>0</v>
      </c>
      <c r="C165" s="204">
        <f>55*'Données projet'!E158+19.4*('Données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131</v>
      </c>
      <c r="B166" s="187">
        <f>'Données projet'!D159</f>
        <v>294.08999999999997</v>
      </c>
      <c r="C166" s="204">
        <f>55*'Données projet'!E159+19.4*('Données projet'!F159+'Données projet'!G159)+10*'Données projet'!H159</f>
        <v>47.88</v>
      </c>
      <c r="D166" s="194">
        <f t="shared" si="10"/>
        <v>14081.029199999999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225*'Données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225*'Données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225*'Données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225*'Données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225*'Données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225*'Données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225*'Données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225*'Données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225*'Données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225*'Données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225*'Données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225*'Données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225*'Données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225*'Données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225*'Données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225*'Données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225*'Données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225*'Données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225*'Données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225*'Données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225*'Données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225*'Données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225*'Données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225*'Données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225*'Données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225*'Données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225*'Données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225*'Données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225*'Données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225*'Données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225*'Données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225*'Données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225*'Données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225*'Données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225*'Données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225*'Données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225*'Données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225*'Données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225*'Données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225*'Données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225*'Données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225*'Données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225*'Données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225*'Données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225*'Données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225*'Données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225*'Données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225*'Données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225*'Données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225*'Données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225*'Données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225*'Données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225*'Données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225*'Données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225*'Données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225*'Données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225*'Données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225*'Données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225*'Données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225*'Données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225*'Données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225*'Données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225*'Données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225*'Données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225*'Données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225*'Données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225*'Données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225*'Données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225*'Données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225*'Données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225*'Données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225*'Données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225*'Données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225*'Données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225*'Données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225*'Données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225*'Données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225*'Données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225*'Données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225*'Données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225*'Données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225*'Données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225*'Données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225*'Données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225*'Données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225*'Données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225*'Données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225*'Données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225*'Données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225*'Données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225*'Données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225*'Données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225*'Données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225*'Données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225*'Données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225*'Données projet'!E285+13.8*('Données projet'!F285+'Données projet'!G285)+10*'Données projet'!H285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225*'Données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225*'Données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225*'Données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225*'Données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2025-08-25T07:55:36Z</dcterms:modified>
</cp:coreProperties>
</file>