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\\geddta1.cfbl.fr\ZenSolutions$\doc\25\148\Z00GISU2\"/>
    </mc:Choice>
  </mc:AlternateContent>
  <xr:revisionPtr revIDLastSave="0" documentId="13_ncr:1_{27B1188F-73C8-4F79-BF55-EEFD46A58066}" xr6:coauthVersionLast="47" xr6:coauthVersionMax="47" xr10:uidLastSave="{00000000-0000-0000-0000-000000000000}"/>
  <bookViews>
    <workbookView xWindow="-28920" yWindow="-120" windowWidth="29040" windowHeight="1572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3" i="6" l="1"/>
  <c r="E172" i="6"/>
  <c r="E141" i="6"/>
  <c r="E110" i="6"/>
  <c r="E79" i="6"/>
  <c r="E48" i="6"/>
  <c r="E17" i="6"/>
  <c r="I20" i="6"/>
  <c r="E234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Q4" i="2" l="1"/>
  <c r="GL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EA7" i="2"/>
  <c r="EW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EB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EX14" i="2"/>
  <c r="HH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X18" i="2"/>
  <c r="EV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FS20" i="2" l="1"/>
  <c r="EC20" i="2"/>
  <c r="EW20" i="2"/>
  <c r="HH20" i="2"/>
  <c r="HG20" i="2"/>
  <c r="EV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HH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C22" i="2"/>
  <c r="EA22" i="2"/>
  <c r="HH22" i="2"/>
  <c r="HG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B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CM35" i="2"/>
  <c r="FQ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X38" i="2"/>
  <c r="HH38" i="2"/>
  <c r="HG38" i="2"/>
  <c r="EW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HG43" i="2"/>
  <c r="DG43" i="2"/>
  <c r="EX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W44" i="2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C50" i="2" l="1"/>
  <c r="FS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A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H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V61" i="2"/>
  <c r="EW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FS75" i="2"/>
  <c r="HG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EV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W85" i="2" l="1"/>
  <c r="EC85" i="2"/>
  <c r="HH85" i="2"/>
  <c r="HG85" i="2"/>
  <c r="EV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EB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B105" i="2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B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C112" i="2"/>
  <c r="EB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HI113" i="2"/>
  <c r="EX113" i="2"/>
  <c r="FS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S118" i="2"/>
  <c r="FQ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HH120" i="2"/>
  <c r="FR120" i="2"/>
  <c r="FQ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FS127" i="2"/>
  <c r="HI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EW130" i="2"/>
  <c r="EX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V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EW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C140" i="2"/>
  <c r="EB140" i="2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B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EX144" i="2"/>
  <c r="EB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R146" i="2"/>
  <c r="FS146" i="2"/>
  <c r="HH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X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AB154" i="2"/>
  <c r="EX154" i="2"/>
  <c r="AA154" i="2"/>
  <c r="EV154" i="2"/>
  <c r="EC154" i="2"/>
  <c r="EA154" i="2"/>
  <c r="FS154" i="2"/>
  <c r="HI154" i="2"/>
  <c r="GN154" i="2"/>
  <c r="DF154" i="2"/>
  <c r="DG154" i="2"/>
  <c r="DH154" i="2"/>
  <c r="DI154" i="2" s="1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EY154" i="2"/>
  <c r="AC154" i="2"/>
  <c r="EA155" i="2"/>
  <c r="EW155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Y155" i="2" l="1"/>
  <c r="EB156" i="2"/>
  <c r="ED155" i="2"/>
  <c r="EX156" i="2"/>
  <c r="FS156" i="2"/>
  <c r="DH156" i="2"/>
  <c r="A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EB157" i="2"/>
  <c r="CN156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EC158" i="2"/>
  <c r="EW158" i="2"/>
  <c r="EV158" i="2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ED158" i="2"/>
  <c r="HH159" i="2"/>
  <c r="EC159" i="2"/>
  <c r="HI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FS160" i="2"/>
  <c r="EY159" i="2"/>
  <c r="ED159" i="2"/>
  <c r="EC160" i="2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A161" i="2" l="1"/>
  <c r="EX161" i="2"/>
  <c r="EB161" i="2"/>
  <c r="ED160" i="2"/>
  <c r="AB161" i="2"/>
  <c r="AW161" i="2"/>
  <c r="EC161" i="2"/>
  <c r="ED161" i="2" s="1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C162" i="2" l="1"/>
  <c r="EY161" i="2"/>
  <c r="EW162" i="2"/>
  <c r="DI161" i="2"/>
  <c r="EB162" i="2"/>
  <c r="HH162" i="2"/>
  <c r="HG162" i="2"/>
  <c r="FS162" i="2"/>
  <c r="AU162" i="2"/>
  <c r="EX162" i="2"/>
  <c r="EA162" i="2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B163" i="2"/>
  <c r="EA163" i="2"/>
  <c r="EV163" i="2"/>
  <c r="HI163" i="2"/>
  <c r="FS163" i="2"/>
  <c r="EC163" i="2"/>
  <c r="ED163" i="2" s="1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 l="1"/>
  <c r="FR164" i="2"/>
  <c r="EV164" i="2"/>
  <c r="DI163" i="2"/>
  <c r="EA164" i="2"/>
  <c r="EX164" i="2"/>
  <c r="DH164" i="2"/>
  <c r="FS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X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FR167" i="2"/>
  <c r="EA167" i="2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EC168" i="2"/>
  <c r="EV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B169" i="2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B172" i="2"/>
  <c r="EA172" i="2"/>
  <c r="ED171" i="2"/>
  <c r="EV172" i="2"/>
  <c r="EW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X173" i="2"/>
  <c r="EB173" i="2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EC174" i="2"/>
  <c r="HH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D174" i="2" l="1"/>
  <c r="EB175" i="2"/>
  <c r="EA175" i="2"/>
  <c r="EW175" i="2"/>
  <c r="FS175" i="2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EC177" i="2"/>
  <c r="FQ177" i="2"/>
  <c r="FS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FQ178" i="2"/>
  <c r="EW178" i="2"/>
  <c r="ED177" i="2"/>
  <c r="EA178" i="2"/>
  <c r="HG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 l="1"/>
  <c r="EB179" i="2"/>
  <c r="EV179" i="2"/>
  <c r="DF179" i="2"/>
  <c r="EA179" i="2"/>
  <c r="HG179" i="2"/>
  <c r="HI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D179" i="2"/>
  <c r="EX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EW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FS183" i="2"/>
  <c r="EY182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Y184" i="2" l="1"/>
  <c r="EB185" i="2"/>
  <c r="EA185" i="2"/>
  <c r="EW185" i="2"/>
  <c r="EV185" i="2"/>
  <c r="HI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FS186" i="2"/>
  <c r="EA186" i="2"/>
  <c r="HH186" i="2"/>
  <c r="FR186" i="2"/>
  <c r="HG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C187" i="2"/>
  <c r="EB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I188" i="2"/>
  <c r="HH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V190" i="2" l="1"/>
  <c r="EY189" i="2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C192" i="2"/>
  <c r="EB192" i="2"/>
  <c r="EV192" i="2"/>
  <c r="HH192" i="2"/>
  <c r="EW192" i="2"/>
  <c r="HG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B193" i="2"/>
  <c r="DI192" i="2"/>
  <c r="EY192" i="2"/>
  <c r="FQ193" i="2"/>
  <c r="EX193" i="2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 l="1"/>
  <c r="FQ194" i="2"/>
  <c r="EB194" i="2"/>
  <c r="EA194" i="2"/>
  <c r="HG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EA195" i="2" l="1"/>
  <c r="ED194" i="2"/>
  <c r="EB195" i="2"/>
  <c r="DH195" i="2"/>
  <c r="EY194" i="2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H196" i="2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FS197" i="2"/>
  <c r="EY196" i="2"/>
  <c r="EA197" i="2"/>
  <c r="EW197" i="2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B199" i="2" l="1"/>
  <c r="FS199" i="2"/>
  <c r="EY198" i="2"/>
  <c r="EA199" i="2"/>
  <c r="EV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 l="1"/>
  <c r="DI200" i="2"/>
  <c r="ED200" i="2"/>
  <c r="EA201" i="2"/>
  <c r="EB201" i="2"/>
  <c r="FS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X202" i="2" l="1"/>
  <c r="EY201" i="2"/>
  <c r="ED201" i="2"/>
  <c r="EW202" i="2"/>
  <c r="FZ6" i="2"/>
  <c r="FR202" i="2"/>
  <c r="HH202" i="2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66" i="2" a="1"/>
  <c r="EI166" i="2" s="1"/>
  <c r="EI153" i="2" a="1"/>
  <c r="EI153" i="2" s="1"/>
  <c r="EI142" i="2" a="1"/>
  <c r="EI142" i="2" s="1"/>
  <c r="CS66" i="2" a="1"/>
  <c r="CS66" i="2" s="1"/>
  <c r="CS116" i="2" a="1"/>
  <c r="CS116" i="2" s="1"/>
  <c r="AH151" i="2" a="1"/>
  <c r="AH151" i="2" s="1"/>
  <c r="AH62" i="2" a="1"/>
  <c r="AH62" i="2" s="1"/>
  <c r="AH163" i="2" a="1"/>
  <c r="AH163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87" i="2" a="1"/>
  <c r="EI87" i="2" s="1"/>
  <c r="EI36" i="2" a="1"/>
  <c r="EI36" i="2" s="1"/>
  <c r="EI113" i="2" a="1"/>
  <c r="EI113" i="2" s="1"/>
  <c r="EI16" i="2" a="1"/>
  <c r="EI16" i="2" s="1"/>
  <c r="CS185" i="2" a="1"/>
  <c r="CS185" i="2" s="1"/>
  <c r="CS56" i="2" a="1"/>
  <c r="CS56" i="2" s="1"/>
  <c r="DN49" i="2" a="1"/>
  <c r="DN49" i="2" s="1"/>
  <c r="DN6" i="2" a="1"/>
  <c r="DN6" i="2" s="1"/>
  <c r="DO6" i="2" s="1"/>
  <c r="CS24" i="2" a="1"/>
  <c r="CS24" i="2" s="1"/>
  <c r="CS134" i="2" a="1"/>
  <c r="CS134" i="2" s="1"/>
  <c r="BX107" i="2" a="1"/>
  <c r="BX107" i="2" s="1"/>
  <c r="FD82" i="2" a="1"/>
  <c r="FD82" i="2" s="1"/>
  <c r="HJ202" i="2"/>
  <c r="AX200" i="2"/>
  <c r="DN65" i="2" l="1" a="1"/>
  <c r="DN65" i="2" s="1"/>
  <c r="DN132" i="2" a="1"/>
  <c r="DN132" i="2" s="1"/>
  <c r="DN70" i="2" a="1"/>
  <c r="DN70" i="2" s="1"/>
  <c r="DN164" i="2" a="1"/>
  <c r="DN164" i="2" s="1"/>
  <c r="DN30" i="2" a="1"/>
  <c r="DN30" i="2" s="1"/>
  <c r="DN55" i="2" a="1"/>
  <c r="DN55" i="2" s="1"/>
  <c r="DN135" i="2" a="1"/>
  <c r="DN135" i="2" s="1"/>
  <c r="DN63" i="2" a="1"/>
  <c r="DN63" i="2" s="1"/>
  <c r="DN46" i="2" a="1"/>
  <c r="DN46" i="2" s="1"/>
  <c r="DN110" i="2" a="1"/>
  <c r="DN110" i="2" s="1"/>
  <c r="DN38" i="2" a="1"/>
  <c r="DN38" i="2" s="1"/>
  <c r="DN31" i="2" a="1"/>
  <c r="DN31" i="2" s="1"/>
  <c r="DN150" i="2" a="1"/>
  <c r="DN150" i="2" s="1"/>
  <c r="DN187" i="2" a="1"/>
  <c r="DN187" i="2" s="1"/>
  <c r="DN176" i="2" a="1"/>
  <c r="DN176" i="2" s="1"/>
  <c r="DN167" i="2" a="1"/>
  <c r="DN167" i="2" s="1"/>
  <c r="DN170" i="2" a="1"/>
  <c r="DN170" i="2" s="1"/>
  <c r="DN45" i="2" a="1"/>
  <c r="DN45" i="2" s="1"/>
  <c r="DN16" i="2" a="1"/>
  <c r="DN16" i="2" s="1"/>
  <c r="DN168" i="2" a="1"/>
  <c r="DN168" i="2" s="1"/>
  <c r="DN41" i="2" a="1"/>
  <c r="DN41" i="2" s="1"/>
  <c r="DN190" i="2" a="1"/>
  <c r="DN190" i="2" s="1"/>
  <c r="DN133" i="2" a="1"/>
  <c r="DN133" i="2" s="1"/>
  <c r="DN162" i="2" a="1"/>
  <c r="DN162" i="2" s="1"/>
  <c r="DN192" i="2" a="1"/>
  <c r="DN192" i="2" s="1"/>
  <c r="DN129" i="2" a="1"/>
  <c r="DN129" i="2" s="1"/>
  <c r="DN43" i="2" a="1"/>
  <c r="DN43" i="2" s="1"/>
  <c r="DN66" i="2" a="1"/>
  <c r="DN66" i="2" s="1"/>
  <c r="DN50" i="2" a="1"/>
  <c r="DN50" i="2" s="1"/>
  <c r="DN186" i="2" a="1"/>
  <c r="DN186" i="2" s="1"/>
  <c r="DN114" i="2" a="1"/>
  <c r="DN114" i="2" s="1"/>
  <c r="DN188" i="2" a="1"/>
  <c r="DN188" i="2" s="1"/>
  <c r="DN113" i="2" a="1"/>
  <c r="DN113" i="2" s="1"/>
  <c r="DN137" i="2" a="1"/>
  <c r="DN137" i="2" s="1"/>
  <c r="DN103" i="2" a="1"/>
  <c r="DN103" i="2" s="1"/>
  <c r="DN86" i="2" a="1"/>
  <c r="DN86" i="2" s="1"/>
  <c r="DN25" i="2" a="1"/>
  <c r="DN25" i="2" s="1"/>
  <c r="DN124" i="2" a="1"/>
  <c r="DN124" i="2" s="1"/>
  <c r="DN80" i="2" a="1"/>
  <c r="DN80" i="2" s="1"/>
  <c r="DN177" i="2" a="1"/>
  <c r="DN177" i="2" s="1"/>
  <c r="DN184" i="2" a="1"/>
  <c r="DN184" i="2" s="1"/>
  <c r="DN123" i="2" a="1"/>
  <c r="DN123" i="2" s="1"/>
  <c r="DN115" i="2" a="1"/>
  <c r="DN115" i="2" s="1"/>
  <c r="DN152" i="2" a="1"/>
  <c r="DN152" i="2" s="1"/>
  <c r="DN155" i="2" a="1"/>
  <c r="DN155" i="2" s="1"/>
  <c r="DN153" i="2" a="1"/>
  <c r="DN153" i="2" s="1"/>
  <c r="DN29" i="2" a="1"/>
  <c r="DN29" i="2" s="1"/>
  <c r="DN56" i="2" a="1"/>
  <c r="DN56" i="2" s="1"/>
  <c r="CS129" i="2" a="1"/>
  <c r="CS129" i="2" s="1"/>
  <c r="CS137" i="2" a="1"/>
  <c r="CS137" i="2" s="1"/>
  <c r="CS52" i="2" a="1"/>
  <c r="CS52" i="2" s="1"/>
  <c r="CS161" i="2" a="1"/>
  <c r="CS161" i="2" s="1"/>
  <c r="CS114" i="2" a="1"/>
  <c r="CS114" i="2" s="1"/>
  <c r="CS72" i="2" a="1"/>
  <c r="CS72" i="2" s="1"/>
  <c r="CS77" i="2" a="1"/>
  <c r="CS77" i="2" s="1"/>
  <c r="AH199" i="2" a="1"/>
  <c r="AH199" i="2" s="1"/>
  <c r="AH166" i="2" a="1"/>
  <c r="AH166" i="2" s="1"/>
  <c r="AH19" i="2" a="1"/>
  <c r="AH19" i="2" s="1"/>
  <c r="AH90" i="2" a="1"/>
  <c r="AH90" i="2" s="1"/>
  <c r="AH92" i="2" a="1"/>
  <c r="AH92" i="2" s="1"/>
  <c r="EI128" i="2" a="1"/>
  <c r="EI128" i="2" s="1"/>
  <c r="EI109" i="2" a="1"/>
  <c r="EI109" i="2" s="1"/>
  <c r="EI178" i="2" a="1"/>
  <c r="EI178" i="2" s="1"/>
  <c r="EI198" i="2" a="1"/>
  <c r="EI198" i="2" s="1"/>
  <c r="EI20" i="2" a="1"/>
  <c r="EI20" i="2" s="1"/>
  <c r="EI38" i="2" a="1"/>
  <c r="EI38" i="2" s="1"/>
  <c r="EI145" i="2" a="1"/>
  <c r="EI145" i="2" s="1"/>
  <c r="EI35" i="2" a="1"/>
  <c r="EI35" i="2" s="1"/>
  <c r="EI34" i="2" a="1"/>
  <c r="EI34" i="2" s="1"/>
  <c r="EI162" i="2" a="1"/>
  <c r="EI162" i="2" s="1"/>
  <c r="EI37" i="2" a="1"/>
  <c r="EI37" i="2" s="1"/>
  <c r="EI139" i="2" a="1"/>
  <c r="EI139" i="2" s="1"/>
  <c r="EI165" i="2" a="1"/>
  <c r="EI165" i="2" s="1"/>
  <c r="EI150" i="2" a="1"/>
  <c r="EI150" i="2" s="1"/>
  <c r="EI67" i="2" a="1"/>
  <c r="EI67" i="2" s="1"/>
  <c r="EI71" i="2" a="1"/>
  <c r="EI71" i="2" s="1"/>
  <c r="EI195" i="2" a="1"/>
  <c r="EI195" i="2" s="1"/>
  <c r="EI29" i="2" a="1"/>
  <c r="EI29" i="2" s="1"/>
  <c r="EI170" i="2" a="1"/>
  <c r="EI170" i="2" s="1"/>
  <c r="EI57" i="2" a="1"/>
  <c r="EI57" i="2" s="1"/>
  <c r="EI106" i="2" a="1"/>
  <c r="EI106" i="2" s="1"/>
  <c r="BP203" i="2"/>
  <c r="HG203" i="2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ED203" i="2"/>
  <c r="FT203" i="2"/>
  <c r="DI203" i="2"/>
  <c r="EY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J52" i="2" l="1"/>
  <c r="FJ180" i="2"/>
  <c r="FJ103" i="2"/>
  <c r="FJ125" i="2"/>
  <c r="FJ169" i="2"/>
  <c r="FJ51" i="2"/>
  <c r="FJ45" i="2"/>
  <c r="FJ165" i="2"/>
  <c r="FJ107" i="2"/>
  <c r="FJ33" i="2"/>
  <c r="FJ131" i="2"/>
  <c r="FJ174" i="2"/>
  <c r="FJ27" i="2"/>
  <c r="FJ161" i="2"/>
  <c r="FJ98" i="2"/>
  <c r="FJ68" i="2"/>
  <c r="FJ124" i="2"/>
  <c r="FJ118" i="2"/>
  <c r="FJ105" i="2"/>
  <c r="FJ30" i="2"/>
  <c r="FJ54" i="2"/>
  <c r="FJ40" i="2"/>
  <c r="FJ56" i="2"/>
  <c r="FJ65" i="2"/>
  <c r="FJ58" i="2"/>
  <c r="FJ72" i="2"/>
  <c r="FJ111" i="2"/>
  <c r="FJ121" i="2"/>
  <c r="FJ120" i="2"/>
  <c r="FJ6" i="2"/>
  <c r="FJ141" i="2"/>
  <c r="FJ90" i="2"/>
  <c r="FJ59" i="2"/>
  <c r="FJ183" i="2"/>
  <c r="FJ203" i="2"/>
  <c r="FJ11" i="2"/>
  <c r="FJ157" i="2"/>
  <c r="FJ41" i="2"/>
  <c r="FJ134" i="2"/>
  <c r="FJ86" i="2"/>
  <c r="FJ31" i="2"/>
  <c r="FJ166" i="2"/>
  <c r="FJ170" i="2"/>
  <c r="FJ155" i="2"/>
  <c r="FJ136" i="2"/>
  <c r="FJ194" i="2"/>
  <c r="FJ116" i="2"/>
  <c r="FJ95" i="2"/>
  <c r="FJ163" i="2"/>
  <c r="FJ73" i="2"/>
  <c r="FJ35" i="2"/>
  <c r="FJ126" i="2"/>
  <c r="FJ80" i="2"/>
  <c r="FJ122" i="2"/>
  <c r="FJ145" i="2"/>
  <c r="FJ18" i="2"/>
  <c r="FJ187" i="2"/>
  <c r="FJ55" i="2"/>
  <c r="FJ99" i="2"/>
  <c r="FJ181" i="2"/>
  <c r="FJ113" i="2"/>
  <c r="FJ37" i="2"/>
  <c r="FJ89" i="2"/>
  <c r="FJ10" i="2"/>
  <c r="FJ84" i="2"/>
  <c r="FJ61" i="2"/>
  <c r="FJ192" i="2"/>
  <c r="FJ193" i="2"/>
  <c r="FJ57" i="2"/>
  <c r="FJ143" i="2"/>
  <c r="FJ19" i="2"/>
  <c r="FJ17" i="2"/>
  <c r="FJ106" i="2"/>
  <c r="FJ182" i="2"/>
  <c r="FJ50" i="2"/>
  <c r="FJ190" i="2"/>
  <c r="FJ156" i="2"/>
  <c r="FE84" i="2"/>
  <c r="FF83" i="2"/>
  <c r="FG83" i="2" s="1"/>
  <c r="FH83" i="2" s="1"/>
  <c r="FI83" i="2" s="1"/>
  <c r="FJ148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J36" i="2" l="1"/>
  <c r="FJ60" i="2"/>
  <c r="FJ96" i="2"/>
  <c r="FJ158" i="2"/>
  <c r="FJ77" i="2"/>
  <c r="FJ66" i="2"/>
  <c r="FJ202" i="2"/>
  <c r="FJ21" i="2"/>
  <c r="FJ14" i="2"/>
  <c r="FJ138" i="2"/>
  <c r="FJ168" i="2"/>
  <c r="FJ78" i="2"/>
  <c r="FJ195" i="2"/>
  <c r="FJ135" i="2"/>
  <c r="FJ24" i="2"/>
  <c r="FJ151" i="2"/>
  <c r="FJ152" i="2"/>
  <c r="FJ83" i="2"/>
  <c r="FJ62" i="2"/>
  <c r="FJ100" i="2"/>
  <c r="FJ178" i="2"/>
  <c r="FJ142" i="2"/>
  <c r="FJ4" i="2"/>
  <c r="FJ48" i="2"/>
  <c r="FJ153" i="2"/>
  <c r="FJ16" i="2"/>
  <c r="FJ64" i="2"/>
  <c r="FJ139" i="2"/>
  <c r="FJ74" i="2"/>
  <c r="FJ53" i="2"/>
  <c r="FJ3" i="2"/>
  <c r="C13" i="4" s="1"/>
  <c r="E13" i="4" s="1"/>
  <c r="F13" i="4" s="1"/>
  <c r="G13" i="4" s="1"/>
  <c r="L13" i="4" s="1"/>
  <c r="FJ176" i="2"/>
  <c r="FJ63" i="2"/>
  <c r="FJ34" i="2"/>
  <c r="FJ175" i="2"/>
  <c r="FJ164" i="2"/>
  <c r="FJ201" i="2"/>
  <c r="FJ91" i="2"/>
  <c r="FJ88" i="2"/>
  <c r="FJ144" i="2"/>
  <c r="FJ69" i="2"/>
  <c r="FJ82" i="2"/>
  <c r="FJ128" i="2"/>
  <c r="FJ189" i="2"/>
  <c r="FJ154" i="2"/>
  <c r="FJ67" i="2"/>
  <c r="FJ179" i="2"/>
  <c r="FJ7" i="2"/>
  <c r="FJ115" i="2"/>
  <c r="FJ101" i="2"/>
  <c r="FJ140" i="2"/>
  <c r="FJ146" i="2"/>
  <c r="FJ5" i="2"/>
  <c r="FJ47" i="2"/>
  <c r="FJ147" i="2"/>
  <c r="FJ185" i="2"/>
  <c r="FJ43" i="2"/>
  <c r="FJ172" i="2"/>
  <c r="FJ167" i="2"/>
  <c r="FJ150" i="2"/>
  <c r="FJ38" i="2"/>
  <c r="FJ133" i="2"/>
  <c r="FJ9" i="2"/>
  <c r="FJ12" i="2"/>
  <c r="FJ29" i="2"/>
  <c r="FJ197" i="2"/>
  <c r="FJ87" i="2"/>
  <c r="FJ130" i="2"/>
  <c r="FJ42" i="2"/>
  <c r="FJ13" i="2"/>
  <c r="FJ200" i="2"/>
  <c r="FJ137" i="2"/>
  <c r="FJ184" i="2"/>
  <c r="FJ110" i="2"/>
  <c r="FJ20" i="2"/>
  <c r="FJ114" i="2"/>
  <c r="FJ23" i="2"/>
  <c r="FJ173" i="2"/>
  <c r="FJ102" i="2"/>
  <c r="FJ199" i="2"/>
  <c r="FJ127" i="2"/>
  <c r="FJ188" i="2"/>
  <c r="FJ109" i="2"/>
  <c r="FJ162" i="2"/>
  <c r="FJ93" i="2"/>
  <c r="FJ85" i="2"/>
  <c r="FJ159" i="2"/>
  <c r="FJ8" i="2"/>
  <c r="FJ44" i="2"/>
  <c r="FJ22" i="2"/>
  <c r="FJ39" i="2"/>
  <c r="FJ177" i="2"/>
  <c r="FJ79" i="2"/>
  <c r="FJ25" i="2"/>
  <c r="FJ94" i="2"/>
  <c r="FJ49" i="2"/>
  <c r="FJ26" i="2"/>
  <c r="FJ70" i="2"/>
  <c r="FJ76" i="2"/>
  <c r="FJ191" i="2"/>
  <c r="FJ46" i="2"/>
  <c r="FJ119" i="2"/>
  <c r="FJ81" i="2"/>
  <c r="FJ196" i="2"/>
  <c r="FJ15" i="2"/>
  <c r="FJ28" i="2"/>
  <c r="FJ117" i="2"/>
  <c r="FJ92" i="2"/>
  <c r="FJ97" i="2"/>
  <c r="FJ104" i="2"/>
  <c r="FJ132" i="2"/>
  <c r="FJ112" i="2"/>
  <c r="FJ129" i="2"/>
  <c r="FJ186" i="2"/>
  <c r="FJ160" i="2"/>
  <c r="FJ75" i="2"/>
  <c r="FJ198" i="2"/>
  <c r="FJ171" i="2"/>
  <c r="FJ123" i="2"/>
  <c r="FJ32" i="2"/>
  <c r="FJ108" i="2"/>
  <c r="FJ71" i="2"/>
  <c r="FJ149" i="2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<sst xmlns="http://schemas.openxmlformats.org/spreadsheetml/2006/main" count="1176" uniqueCount="325">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</sst>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133.88554969577129</c:v>
                </c:pt>
                <c:pt idx="22">
                  <c:v>143.27355550168537</c:v>
                </c:pt>
                <c:pt idx="23">
                  <c:v>152.64683015838821</c:v>
                </c:pt>
                <c:pt idx="24">
                  <c:v>162.00640689272805</c:v>
                </c:pt>
                <c:pt idx="25">
                  <c:v>171.35318959873041</c:v>
                </c:pt>
                <c:pt idx="26">
                  <c:v>180.68797535583599</c:v>
                </c:pt>
                <c:pt idx="27">
                  <c:v>190.01147204026685</c:v>
                </c:pt>
                <c:pt idx="28">
                  <c:v>199.32431229219435</c:v>
                </c:pt>
                <c:pt idx="29">
                  <c:v>208.62706473142643</c:v>
                </c:pt>
                <c:pt idx="30">
                  <c:v>217.92024306476185</c:v>
                </c:pt>
                <c:pt idx="31">
                  <c:v>160.17621878306821</c:v>
                </c:pt>
                <c:pt idx="32">
                  <c:v>170.33782955280489</c:v>
                </c:pt>
                <c:pt idx="33">
                  <c:v>180.48516769023772</c:v>
                </c:pt>
                <c:pt idx="34">
                  <c:v>190.61914954910142</c:v>
                </c:pt>
                <c:pt idx="35">
                  <c:v>200.74058596732002</c:v>
                </c:pt>
                <c:pt idx="36">
                  <c:v>210.85019924163896</c:v>
                </c:pt>
                <c:pt idx="37">
                  <c:v>220.94863667100961</c:v>
                </c:pt>
                <c:pt idx="38">
                  <c:v>231.03648149074067</c:v>
                </c:pt>
                <c:pt idx="39">
                  <c:v>241.11426179447608</c:v>
                </c:pt>
                <c:pt idx="40">
                  <c:v>251.1824578846782</c:v>
                </c:pt>
                <c:pt idx="41">
                  <c:v>192.13814620457819</c:v>
                </c:pt>
                <c:pt idx="42">
                  <c:v>203.77468058377053</c:v>
                </c:pt>
                <c:pt idx="43">
                  <c:v>215.39584283593396</c:v>
                </c:pt>
                <c:pt idx="44">
                  <c:v>227.0025797348942</c:v>
                </c:pt>
                <c:pt idx="45">
                  <c:v>238.59573324490518</c:v>
                </c:pt>
                <c:pt idx="46">
                  <c:v>250.17605676255928</c:v>
                </c:pt>
                <c:pt idx="47">
                  <c:v>261.74422819048414</c:v>
                </c:pt>
                <c:pt idx="48">
                  <c:v>273.30086057644468</c:v>
                </c:pt>
                <c:pt idx="49">
                  <c:v>284.84651085713051</c:v>
                </c:pt>
                <c:pt idx="50">
                  <c:v>296.38168710899464</c:v>
                </c:pt>
                <c:pt idx="51">
                  <c:v>234.56482390663419</c:v>
                </c:pt>
                <c:pt idx="52">
                  <c:v>248.16297855306274</c:v>
                </c:pt>
                <c:pt idx="53">
                  <c:v>261.74422819048414</c:v>
                </c:pt>
                <c:pt idx="54">
                  <c:v>275.30957376859936</c:v>
                </c:pt>
                <c:pt idx="55">
                  <c:v>288.85990949975189</c:v>
                </c:pt>
                <c:pt idx="56">
                  <c:v>302.39603882080934</c:v>
                </c:pt>
                <c:pt idx="57">
                  <c:v>315.91868734548348</c:v>
                </c:pt>
                <c:pt idx="58">
                  <c:v>329.42851348169211</c:v>
                </c:pt>
                <c:pt idx="59">
                  <c:v>342.92611721533916</c:v>
                </c:pt>
                <c:pt idx="60">
                  <c:v>356.4120474383385</c:v>
                </c:pt>
                <c:pt idx="61">
                  <c:v>291.86913926751021</c:v>
                </c:pt>
                <c:pt idx="62">
                  <c:v>307.40596257029637</c:v>
                </c:pt>
                <c:pt idx="63">
                  <c:v>322.92534379451814</c:v>
                </c:pt>
                <c:pt idx="64">
                  <c:v>338.42823915402437</c:v>
                </c:pt>
                <c:pt idx="65">
                  <c:v>353.91551010384433</c:v>
                </c:pt>
                <c:pt idx="66">
                  <c:v>369.38793655321842</c:v>
                </c:pt>
                <c:pt idx="67">
                  <c:v>384.84622774857962</c:v>
                </c:pt>
                <c:pt idx="68">
                  <c:v>400.29103131634878</c:v>
                </c:pt>
                <c:pt idx="69">
                  <c:v>415.72294083711449</c:v>
                </c:pt>
                <c:pt idx="70">
                  <c:v>431.14250223646945</c:v>
                </c:pt>
                <c:pt idx="71">
                  <c:v>361.40397634816736</c:v>
                </c:pt>
                <c:pt idx="72">
                  <c:v>378.36539662842574</c:v>
                </c:pt>
                <c:pt idx="73">
                  <c:v>395.310273009897</c:v>
                </c:pt>
                <c:pt idx="74">
                  <c:v>412.23941423652178</c:v>
                </c:pt>
                <c:pt idx="75">
                  <c:v>429.15355722818907</c:v>
                </c:pt>
                <c:pt idx="76">
                  <c:v>446.05337609733306</c:v>
                </c:pt>
                <c:pt idx="77">
                  <c:v>462.93948972795494</c:v>
                </c:pt>
                <c:pt idx="78">
                  <c:v>479.81246819138977</c:v>
                </c:pt>
                <c:pt idx="79">
                  <c:v>496.6728382127958</c:v>
                </c:pt>
                <c:pt idx="80">
                  <c:v>513.52108785692201</c:v>
                </c:pt>
                <c:pt idx="81">
                  <c:v>438.59929855364607</c:v>
                </c:pt>
                <c:pt idx="82">
                  <c:v>455.98800633231934</c:v>
                </c:pt>
                <c:pt idx="83">
                  <c:v>473.36255181121783</c:v>
                </c:pt>
                <c:pt idx="84">
                  <c:v>490.72352773098049</c:v>
                </c:pt>
                <c:pt idx="85">
                  <c:v>508.0714814925293</c:v>
                </c:pt>
                <c:pt idx="86">
                  <c:v>525.40692008667054</c:v>
                </c:pt>
                <c:pt idx="87">
                  <c:v>542.7303143394812</c:v>
                </c:pt>
                <c:pt idx="88">
                  <c:v>560.04210258768592</c:v>
                </c:pt>
                <c:pt idx="89">
                  <c:v>577.34269387615848</c:v>
                </c:pt>
                <c:pt idx="90">
                  <c:v>594.63247075242327</c:v>
                </c:pt>
                <c:pt idx="91">
                  <c:v>515.99777715164339</c:v>
                </c:pt>
                <c:pt idx="92">
                  <c:v>534.31757023210309</c:v>
                </c:pt>
                <c:pt idx="93">
                  <c:v>552.62415903802309</c:v>
                </c:pt>
                <c:pt idx="94">
                  <c:v>570.91804225426574</c:v>
                </c:pt>
                <c:pt idx="95">
                  <c:v>589.19968402429186</c:v>
                </c:pt>
                <c:pt idx="96">
                  <c:v>607.46951736202516</c:v>
                </c:pt>
                <c:pt idx="97">
                  <c:v>625.72794713217797</c:v>
                </c:pt>
                <c:pt idx="98">
                  <c:v>643.97535266486341</c:v>
                </c:pt>
                <c:pt idx="99">
                  <c:v>662.21209005867013</c:v>
                </c:pt>
                <c:pt idx="100">
                  <c:v>680.43849421703806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1.9134944177750821</c:v>
                </c:pt>
                <c:pt idx="2">
                  <c:v>2.5193447938967153</c:v>
                </c:pt>
                <c:pt idx="3">
                  <c:v>3.3178119643651525</c:v>
                </c:pt>
                <c:pt idx="4">
                  <c:v>4.3703718770661864</c:v>
                </c:pt>
                <c:pt idx="5">
                  <c:v>5.7581922481965391</c:v>
                </c:pt>
                <c:pt idx="6">
                  <c:v>7.5884612822811972</c:v>
                </c:pt>
                <c:pt idx="7">
                  <c:v>10.002756634482845</c:v>
                </c:pt>
                <c:pt idx="8">
                  <c:v>13.188114194820793</c:v>
                </c:pt>
                <c:pt idx="9">
                  <c:v>17.391670050888376</c:v>
                </c:pt>
                <c:pt idx="10">
                  <c:v>22.940032210106224</c:v>
                </c:pt>
                <c:pt idx="11">
                  <c:v>30.264913942025682</c:v>
                </c:pt>
                <c:pt idx="12">
                  <c:v>39.937057916497047</c:v>
                </c:pt>
                <c:pt idx="13">
                  <c:v>52.711139427388581</c:v>
                </c:pt>
                <c:pt idx="14">
                  <c:v>69.585210645445571</c:v>
                </c:pt>
                <c:pt idx="15">
                  <c:v>91.879406000953239</c:v>
                </c:pt>
                <c:pt idx="16">
                  <c:v>121.34016427394583</c:v>
                </c:pt>
                <c:pt idx="17">
                  <c:v>160.27825891364779</c:v>
                </c:pt>
                <c:pt idx="18">
                  <c:v>211.75162792193737</c:v>
                </c:pt>
                <c:pt idx="19">
                  <c:v>279.80757515319931</c:v>
                </c:pt>
                <c:pt idx="20">
                  <c:v>369.80366387000657</c:v>
                </c:pt>
                <c:pt idx="21">
                  <c:v>356.45087943088532</c:v>
                </c:pt>
                <c:pt idx="22">
                  <c:v>394.33609960316602</c:v>
                </c:pt>
                <c:pt idx="23">
                  <c:v>432.14242504303394</c:v>
                </c:pt>
                <c:pt idx="24">
                  <c:v>469.87771773906974</c:v>
                </c:pt>
                <c:pt idx="25">
                  <c:v>507.5484747180808</c:v>
                </c:pt>
                <c:pt idx="26">
                  <c:v>475.56786051841215</c:v>
                </c:pt>
                <c:pt idx="27">
                  <c:v>514.64938862406336</c:v>
                </c:pt>
                <c:pt idx="28">
                  <c:v>553.66829141515609</c:v>
                </c:pt>
                <c:pt idx="29">
                  <c:v>592.62959437384325</c:v>
                </c:pt>
                <c:pt idx="30">
                  <c:v>631.53760923584082</c:v>
                </c:pt>
                <c:pt idx="31">
                  <c:v>558.86635911008875</c:v>
                </c:pt>
                <c:pt idx="32">
                  <c:v>592.39362980732722</c:v>
                </c:pt>
                <c:pt idx="33">
                  <c:v>625.88142421411692</c:v>
                </c:pt>
                <c:pt idx="34">
                  <c:v>659.33214781659433</c:v>
                </c:pt>
                <c:pt idx="35">
                  <c:v>692.74794249826891</c:v>
                </c:pt>
                <c:pt idx="36">
                  <c:v>639.78433756926631</c:v>
                </c:pt>
                <c:pt idx="37">
                  <c:v>671.57286529064845</c:v>
                </c:pt>
                <c:pt idx="38">
                  <c:v>703.33048120908506</c:v>
                </c:pt>
                <c:pt idx="39">
                  <c:v>735.0587749737989</c:v>
                </c:pt>
                <c:pt idx="40">
                  <c:v>766.75918804010871</c:v>
                </c:pt>
                <c:pt idx="41">
                  <c:v>705.44659634791776</c:v>
                </c:pt>
                <c:pt idx="42">
                  <c:v>734.58893303330581</c:v>
                </c:pt>
                <c:pt idx="43">
                  <c:v>763.70773166149456</c:v>
                </c:pt>
                <c:pt idx="44">
                  <c:v>792.80401446874805</c:v>
                </c:pt>
                <c:pt idx="45">
                  <c:v>821.87872266404372</c:v>
                </c:pt>
                <c:pt idx="46">
                  <c:v>770.74918264325152</c:v>
                </c:pt>
                <c:pt idx="47">
                  <c:v>794.6804434861192</c:v>
                </c:pt>
                <c:pt idx="48">
                  <c:v>818.59714676160195</c:v>
                </c:pt>
                <c:pt idx="49">
                  <c:v>842.49977705174535</c:v>
                </c:pt>
                <c:pt idx="50">
                  <c:v>866.38878924101971</c:v>
                </c:pt>
                <c:pt idx="51">
                  <c:v>811.79875206098052</c:v>
                </c:pt>
                <c:pt idx="52">
                  <c:v>829.84716796681175</c:v>
                </c:pt>
                <c:pt idx="53">
                  <c:v>847.8876885854861</c:v>
                </c:pt>
                <c:pt idx="54">
                  <c:v>865.92050537441344</c:v>
                </c:pt>
                <c:pt idx="55">
                  <c:v>883.94580117605472</c:v>
                </c:pt>
                <c:pt idx="56">
                  <c:v>844.37391150362998</c:v>
                </c:pt>
                <c:pt idx="57">
                  <c:v>858.66145471369293</c:v>
                </c:pt>
                <c:pt idx="58">
                  <c:v>872.94423239314926</c:v>
                </c:pt>
                <c:pt idx="59">
                  <c:v>887.22233342614447</c:v>
                </c:pt>
                <c:pt idx="60">
                  <c:v>901.49584360554616</c:v>
                </c:pt>
                <c:pt idx="61">
                  <c:v>872.24191076199133</c:v>
                </c:pt>
                <c:pt idx="62">
                  <c:v>883.94580117605494</c:v>
                </c:pt>
                <c:pt idx="63">
                  <c:v>895.64659417172061</c:v>
                </c:pt>
                <c:pt idx="64">
                  <c:v>907.34433588355262</c:v>
                </c:pt>
                <c:pt idx="65">
                  <c:v>919.03907116057201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149.95176191502506</c:v>
                </c:pt>
                <c:pt idx="22">
                  <c:v>164.11390630042692</c:v>
                </c:pt>
                <c:pt idx="23">
                  <c:v>178.24716715271646</c:v>
                </c:pt>
                <c:pt idx="24">
                  <c:v>192.35415851868379</c:v>
                </c:pt>
                <c:pt idx="25">
                  <c:v>206.43707921846078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208.00044644770739</c:v>
                </c:pt>
                <c:pt idx="32">
                  <c:v>229.08024217931529</c:v>
                </c:pt>
                <c:pt idx="33">
                  <c:v>250.11566977871598</c:v>
                </c:pt>
                <c:pt idx="34">
                  <c:v>271.11098488765998</c:v>
                </c:pt>
                <c:pt idx="35">
                  <c:v>292.06972985560316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</c:v>
                </c:pt>
                <c:pt idx="39">
                  <c:v>324.60643807826506</c:v>
                </c:pt>
                <c:pt idx="40">
                  <c:v>346.25704166537031</c:v>
                </c:pt>
                <c:pt idx="41">
                  <c:v>314.15647495690467</c:v>
                </c:pt>
                <c:pt idx="42">
                  <c:v>336.20880231759617</c:v>
                </c:pt>
                <c:pt idx="43">
                  <c:v>358.22928558083089</c:v>
                </c:pt>
                <c:pt idx="44">
                  <c:v>380.22015624917964</c:v>
                </c:pt>
                <c:pt idx="45">
                  <c:v>402.18336673633218</c:v>
                </c:pt>
                <c:pt idx="46">
                  <c:v>369.42119511414558</c:v>
                </c:pt>
                <c:pt idx="47">
                  <c:v>390.62711987431999</c:v>
                </c:pt>
                <c:pt idx="48">
                  <c:v>411.80807637868764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419.88907590240791</c:v>
                </c:pt>
                <c:pt idx="52">
                  <c:v>439.50055712660469</c:v>
                </c:pt>
                <c:pt idx="53">
                  <c:v>459.09327985807062</c:v>
                </c:pt>
                <c:pt idx="54">
                  <c:v>478.66815678776129</c:v>
                </c:pt>
                <c:pt idx="55">
                  <c:v>498.22601991660639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497.84269099902531</c:v>
                </c:pt>
                <c:pt idx="62">
                  <c:v>514.70332559574479</c:v>
                </c:pt>
                <c:pt idx="63">
                  <c:v>531.55230561741564</c:v>
                </c:pt>
                <c:pt idx="64">
                  <c:v>548.39005229891859</c:v>
                </c:pt>
                <c:pt idx="65">
                  <c:v>565.21695891368086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551.067775468881</c:v>
                </c:pt>
                <c:pt idx="72">
                  <c:v>565.5992655562859</c:v>
                </c:pt>
                <c:pt idx="73">
                  <c:v>580.12295123245474</c:v>
                </c:pt>
                <c:pt idx="74">
                  <c:v>594.63905531968851</c:v>
                </c:pt>
                <c:pt idx="75">
                  <c:v>609.14778887966054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583.94370486394735</c:v>
                </c:pt>
                <c:pt idx="82">
                  <c:v>596.93039273337797</c:v>
                </c:pt>
                <c:pt idx="83">
                  <c:v>609.91120610652649</c:v>
                </c:pt>
                <c:pt idx="84">
                  <c:v>622.88628757946492</c:v>
                </c:pt>
                <c:pt idx="85">
                  <c:v>635.85577332565333</c:v>
                </c:pt>
                <c:pt idx="86">
                  <c:v>594.63905531968851</c:v>
                </c:pt>
                <c:pt idx="87">
                  <c:v>606.85741792448357</c:v>
                </c:pt>
                <c:pt idx="88">
                  <c:v>619.07067399707296</c:v>
                </c:pt>
                <c:pt idx="89">
                  <c:v>631.27893844334869</c:v>
                </c:pt>
                <c:pt idx="90">
                  <c:v>643.48232136416652</c:v>
                </c:pt>
                <c:pt idx="91">
                  <c:v>601.8943306586167</c:v>
                </c:pt>
                <c:pt idx="92">
                  <c:v>613.72799533010163</c:v>
                </c:pt>
                <c:pt idx="93">
                  <c:v>625.55692889431919</c:v>
                </c:pt>
                <c:pt idx="94">
                  <c:v>637.3812333927383</c:v>
                </c:pt>
                <c:pt idx="95">
                  <c:v>649.20100677344158</c:v>
                </c:pt>
                <c:pt idx="96">
                  <c:v>606.4756720002963</c:v>
                </c:pt>
                <c:pt idx="97">
                  <c:v>617.16268463508527</c:v>
                </c:pt>
                <c:pt idx="98">
                  <c:v>627.84586213083401</c:v>
                </c:pt>
                <c:pt idx="99">
                  <c:v>638.52527892770956</c:v>
                </c:pt>
                <c:pt idx="100">
                  <c:v>649.2010067734418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3.1463256798428652</c:v>
                </c:pt>
                <c:pt idx="2">
                  <c:v>4.4332159935494238</c:v>
                </c:pt>
                <c:pt idx="3">
                  <c:v>6.2487139749565381</c:v>
                </c:pt>
                <c:pt idx="4">
                  <c:v>8.8108200015367082</c:v>
                </c:pt>
                <c:pt idx="5">
                  <c:v>12.427771710375517</c:v>
                </c:pt>
                <c:pt idx="6">
                  <c:v>17.535523238916209</c:v>
                </c:pt>
                <c:pt idx="7">
                  <c:v>24.750839551757284</c:v>
                </c:pt>
                <c:pt idx="8">
                  <c:v>34.946529982645565</c:v>
                </c:pt>
                <c:pt idx="9">
                  <c:v>49.358077911135503</c:v>
                </c:pt>
                <c:pt idx="10">
                  <c:v>69.734803600053766</c:v>
                </c:pt>
                <c:pt idx="11">
                  <c:v>90.203304019109893</c:v>
                </c:pt>
                <c:pt idx="12">
                  <c:v>110.55482267025504</c:v>
                </c:pt>
                <c:pt idx="13">
                  <c:v>130.81405145417179</c:v>
                </c:pt>
                <c:pt idx="14">
                  <c:v>150.99733996220459</c:v>
                </c:pt>
                <c:pt idx="15">
                  <c:v>171.1162849602724</c:v>
                </c:pt>
                <c:pt idx="16">
                  <c:v>136.5334356381903</c:v>
                </c:pt>
                <c:pt idx="17">
                  <c:v>158.97616013715958</c:v>
                </c:pt>
                <c:pt idx="18">
                  <c:v>181.34368368345903</c:v>
                </c:pt>
                <c:pt idx="19">
                  <c:v>203.64659563079599</c:v>
                </c:pt>
                <c:pt idx="20">
                  <c:v>225.89297020726829</c:v>
                </c:pt>
                <c:pt idx="21">
                  <c:v>192.69166645650375</c:v>
                </c:pt>
                <c:pt idx="22">
                  <c:v>214.21082329400193</c:v>
                </c:pt>
                <c:pt idx="23">
                  <c:v>235.68019914177421</c:v>
                </c:pt>
                <c:pt idx="24">
                  <c:v>257.10496630927094</c:v>
                </c:pt>
                <c:pt idx="25">
                  <c:v>278.48936400091276</c:v>
                </c:pt>
                <c:pt idx="26">
                  <c:v>240.94637860003544</c:v>
                </c:pt>
                <c:pt idx="27">
                  <c:v>261.61017170872901</c:v>
                </c:pt>
                <c:pt idx="28">
                  <c:v>282.23712370144091</c:v>
                </c:pt>
                <c:pt idx="29">
                  <c:v>302.8303048722828</c:v>
                </c:pt>
                <c:pt idx="30">
                  <c:v>323.39233379750692</c:v>
                </c:pt>
                <c:pt idx="31">
                  <c:v>282.98654127638628</c:v>
                </c:pt>
                <c:pt idx="32">
                  <c:v>302.45616879398887</c:v>
                </c:pt>
                <c:pt idx="33">
                  <c:v>321.89791317588953</c:v>
                </c:pt>
                <c:pt idx="34">
                  <c:v>341.31369475960304</c:v>
                </c:pt>
                <c:pt idx="35">
                  <c:v>360.70519760433922</c:v>
                </c:pt>
                <c:pt idx="36">
                  <c:v>319.28230720978155</c:v>
                </c:pt>
                <c:pt idx="37">
                  <c:v>337.58182519139058</c:v>
                </c:pt>
                <c:pt idx="38">
                  <c:v>355.85951361436696</c:v>
                </c:pt>
                <c:pt idx="39">
                  <c:v>374.11665105684864</c:v>
                </c:pt>
                <c:pt idx="40">
                  <c:v>392.35438115419737</c:v>
                </c:pt>
                <c:pt idx="41">
                  <c:v>351.01238382795663</c:v>
                </c:pt>
                <c:pt idx="42">
                  <c:v>367.41226056988836</c:v>
                </c:pt>
                <c:pt idx="43">
                  <c:v>383.79616295666938</c:v>
                </c:pt>
                <c:pt idx="44">
                  <c:v>400.16486874659699</c:v>
                </c:pt>
                <c:pt idx="45">
                  <c:v>416.51908689232158</c:v>
                </c:pt>
                <c:pt idx="46">
                  <c:v>375.97851488636047</c:v>
                </c:pt>
                <c:pt idx="47">
                  <c:v>391.23832354179859</c:v>
                </c:pt>
                <c:pt idx="48">
                  <c:v>406.48522456571527</c:v>
                </c:pt>
                <c:pt idx="49">
                  <c:v>421.71977019610949</c:v>
                </c:pt>
                <c:pt idx="50">
                  <c:v>436.94246952460452</c:v>
                </c:pt>
                <c:pt idx="51">
                  <c:v>398.67741344442743</c:v>
                </c:pt>
                <c:pt idx="52">
                  <c:v>412.43185413738075</c:v>
                </c:pt>
                <c:pt idx="53">
                  <c:v>426.17639891086469</c:v>
                </c:pt>
                <c:pt idx="54">
                  <c:v>439.91141184608824</c:v>
                </c:pt>
                <c:pt idx="55">
                  <c:v>453.63723243721955</c:v>
                </c:pt>
                <c:pt idx="56">
                  <c:v>417.6336362599788</c:v>
                </c:pt>
                <c:pt idx="57">
                  <c:v>429.88948992506448</c:v>
                </c:pt>
                <c:pt idx="58">
                  <c:v>442.1378364455868</c:v>
                </c:pt>
                <c:pt idx="59">
                  <c:v>454.37891309932888</c:v>
                </c:pt>
                <c:pt idx="60">
                  <c:v>466.61294333655428</c:v>
                </c:pt>
                <c:pt idx="61">
                  <c:v>433.2306823305874</c:v>
                </c:pt>
                <c:pt idx="62">
                  <c:v>444.3640207556935</c:v>
                </c:pt>
                <c:pt idx="63">
                  <c:v>455.49138558575561</c:v>
                </c:pt>
                <c:pt idx="64">
                  <c:v>466.61294333655428</c:v>
                </c:pt>
                <c:pt idx="65">
                  <c:v>477.72885193803239</c:v>
                </c:pt>
                <c:pt idx="66">
                  <c:v>446.96093391901189</c:v>
                </c:pt>
                <c:pt idx="67">
                  <c:v>456.97459194094745</c:v>
                </c:pt>
                <c:pt idx="68">
                  <c:v>466.983563784024</c:v>
                </c:pt>
                <c:pt idx="69">
                  <c:v>476.98796406826068</c:v>
                </c:pt>
                <c:pt idx="70">
                  <c:v>486.98790221252966</c:v>
                </c:pt>
                <c:pt idx="71">
                  <c:v>457.34537744583645</c:v>
                </c:pt>
                <c:pt idx="72">
                  <c:v>466.61294333655451</c:v>
                </c:pt>
                <c:pt idx="73">
                  <c:v>475.87658634735868</c:v>
                </c:pt>
                <c:pt idx="74">
                  <c:v>485.13639362991444</c:v>
                </c:pt>
                <c:pt idx="75">
                  <c:v>494.39244873679655</c:v>
                </c:pt>
                <c:pt idx="76">
                  <c:v>467.35417796108709</c:v>
                </c:pt>
                <c:pt idx="77">
                  <c:v>475.50611484095458</c:v>
                </c:pt>
                <c:pt idx="78">
                  <c:v>483.65507874042197</c:v>
                </c:pt>
                <c:pt idx="79">
                  <c:v>491.8011268325622</c:v>
                </c:pt>
                <c:pt idx="80">
                  <c:v>499.94431424130994</c:v>
                </c:pt>
                <c:pt idx="81">
                  <c:v>475.87658634735857</c:v>
                </c:pt>
                <c:pt idx="82">
                  <c:v>483.28473497109502</c:v>
                </c:pt>
                <c:pt idx="83">
                  <c:v>490.69047175093164</c:v>
                </c:pt>
                <c:pt idx="84">
                  <c:v>498.09383823712568</c:v>
                </c:pt>
                <c:pt idx="85">
                  <c:v>505.49487464351961</c:v>
                </c:pt>
                <c:pt idx="86">
                  <c:v>482.17366746606058</c:v>
                </c:pt>
                <c:pt idx="87">
                  <c:v>488.46900146193275</c:v>
                </c:pt>
                <c:pt idx="88">
                  <c:v>494.76261404078542</c:v>
                </c:pt>
                <c:pt idx="89">
                  <c:v>501.05453020073901</c:v>
                </c:pt>
                <c:pt idx="90">
                  <c:v>507.34477426054747</c:v>
                </c:pt>
                <c:pt idx="91">
                  <c:v>487.35818597735943</c:v>
                </c:pt>
                <c:pt idx="92">
                  <c:v>493.28191755597277</c:v>
                </c:pt>
                <c:pt idx="93">
                  <c:v>499.20414127497389</c:v>
                </c:pt>
                <c:pt idx="94">
                  <c:v>505.12487755644207</c:v>
                </c:pt>
                <c:pt idx="95">
                  <c:v>511.04414630438487</c:v>
                </c:pt>
                <c:pt idx="96">
                  <c:v>492.91172872261944</c:v>
                </c:pt>
                <c:pt idx="97">
                  <c:v>498.83404607906238</c:v>
                </c:pt>
                <c:pt idx="98">
                  <c:v>504.7548747369737</c:v>
                </c:pt>
                <c:pt idx="99">
                  <c:v>510.67423463217045</c:v>
                </c:pt>
                <c:pt idx="100">
                  <c:v>516.59214520035391</c:v>
                </c:pt>
                <c:pt idx="101">
                  <c:v>492.5415339943097</c:v>
                </c:pt>
                <c:pt idx="102">
                  <c:v>492.5415339943097</c:v>
                </c:pt>
                <c:pt idx="103">
                  <c:v>492.5415339943097</c:v>
                </c:pt>
                <c:pt idx="104">
                  <c:v>492.5415339943097</c:v>
                </c:pt>
                <c:pt idx="105">
                  <c:v>492.5415339943097</c:v>
                </c:pt>
                <c:pt idx="106">
                  <c:v>492.5415339943097</c:v>
                </c:pt>
                <c:pt idx="107">
                  <c:v>492.5415339943097</c:v>
                </c:pt>
                <c:pt idx="108">
                  <c:v>492.5415339943097</c:v>
                </c:pt>
                <c:pt idx="109">
                  <c:v>492.5415339943097</c:v>
                </c:pt>
                <c:pt idx="110">
                  <c:v>492.5415339943097</c:v>
                </c:pt>
                <c:pt idx="111">
                  <c:v>492.5415339943097</c:v>
                </c:pt>
                <c:pt idx="112">
                  <c:v>492.5415339943097</c:v>
                </c:pt>
                <c:pt idx="113">
                  <c:v>492.5415339943097</c:v>
                </c:pt>
                <c:pt idx="114">
                  <c:v>492.5415339943097</c:v>
                </c:pt>
                <c:pt idx="115">
                  <c:v>492.5415339943097</c:v>
                </c:pt>
                <c:pt idx="116">
                  <c:v>492.5415339943097</c:v>
                </c:pt>
                <c:pt idx="117">
                  <c:v>492.5415339943097</c:v>
                </c:pt>
                <c:pt idx="118">
                  <c:v>492.5415339943097</c:v>
                </c:pt>
                <c:pt idx="119">
                  <c:v>492.5415339943097</c:v>
                </c:pt>
                <c:pt idx="120">
                  <c:v>492.5415339943097</c:v>
                </c:pt>
                <c:pt idx="121">
                  <c:v>492.5415339943097</c:v>
                </c:pt>
                <c:pt idx="122">
                  <c:v>492.5415339943097</c:v>
                </c:pt>
                <c:pt idx="123">
                  <c:v>492.5415339943097</c:v>
                </c:pt>
                <c:pt idx="124">
                  <c:v>492.5415339943097</c:v>
                </c:pt>
                <c:pt idx="125">
                  <c:v>492.5415339943097</c:v>
                </c:pt>
                <c:pt idx="126">
                  <c:v>492.5415339943097</c:v>
                </c:pt>
                <c:pt idx="127">
                  <c:v>492.5415339943097</c:v>
                </c:pt>
                <c:pt idx="128">
                  <c:v>492.5415339943097</c:v>
                </c:pt>
                <c:pt idx="129">
                  <c:v>492.5415339943097</c:v>
                </c:pt>
                <c:pt idx="130">
                  <c:v>492.5415339943097</c:v>
                </c:pt>
                <c:pt idx="131">
                  <c:v>492.5415339943097</c:v>
                </c:pt>
                <c:pt idx="132">
                  <c:v>492.5415339943097</c:v>
                </c:pt>
                <c:pt idx="133">
                  <c:v>492.5415339943097</c:v>
                </c:pt>
                <c:pt idx="134">
                  <c:v>492.5415339943097</c:v>
                </c:pt>
                <c:pt idx="135">
                  <c:v>492.5415339943097</c:v>
                </c:pt>
                <c:pt idx="136">
                  <c:v>492.5415339943097</c:v>
                </c:pt>
                <c:pt idx="137">
                  <c:v>492.5415339943097</c:v>
                </c:pt>
                <c:pt idx="138">
                  <c:v>492.5415339943097</c:v>
                </c:pt>
                <c:pt idx="139">
                  <c:v>492.5415339943097</c:v>
                </c:pt>
                <c:pt idx="140">
                  <c:v>492.5415339943097</c:v>
                </c:pt>
                <c:pt idx="141">
                  <c:v>492.5415339943097</c:v>
                </c:pt>
                <c:pt idx="142">
                  <c:v>492.5415339943097</c:v>
                </c:pt>
                <c:pt idx="143">
                  <c:v>492.5415339943097</c:v>
                </c:pt>
                <c:pt idx="144">
                  <c:v>492.5415339943097</c:v>
                </c:pt>
                <c:pt idx="145">
                  <c:v>492.5415339943097</c:v>
                </c:pt>
                <c:pt idx="146">
                  <c:v>492.5415339943097</c:v>
                </c:pt>
                <c:pt idx="147">
                  <c:v>492.5415339943097</c:v>
                </c:pt>
                <c:pt idx="148">
                  <c:v>492.5415339943097</c:v>
                </c:pt>
                <c:pt idx="149">
                  <c:v>492.5415339943097</c:v>
                </c:pt>
                <c:pt idx="150">
                  <c:v>492.5415339943097</c:v>
                </c:pt>
                <c:pt idx="151">
                  <c:v>492.5415339943097</c:v>
                </c:pt>
                <c:pt idx="152">
                  <c:v>492.5415339943097</c:v>
                </c:pt>
                <c:pt idx="153">
                  <c:v>492.5415339943097</c:v>
                </c:pt>
                <c:pt idx="154">
                  <c:v>492.5415339943097</c:v>
                </c:pt>
                <c:pt idx="155">
                  <c:v>492.5415339943097</c:v>
                </c:pt>
                <c:pt idx="156">
                  <c:v>492.5415339943097</c:v>
                </c:pt>
                <c:pt idx="157">
                  <c:v>492.5415339943097</c:v>
                </c:pt>
                <c:pt idx="158">
                  <c:v>492.5415339943097</c:v>
                </c:pt>
                <c:pt idx="159">
                  <c:v>492.5415339943097</c:v>
                </c:pt>
                <c:pt idx="160">
                  <c:v>492.5415339943097</c:v>
                </c:pt>
                <c:pt idx="161">
                  <c:v>492.5415339943097</c:v>
                </c:pt>
                <c:pt idx="162">
                  <c:v>492.5415339943097</c:v>
                </c:pt>
                <c:pt idx="163">
                  <c:v>492.5415339943097</c:v>
                </c:pt>
                <c:pt idx="164">
                  <c:v>492.5415339943097</c:v>
                </c:pt>
                <c:pt idx="165">
                  <c:v>492.5415339943097</c:v>
                </c:pt>
                <c:pt idx="166">
                  <c:v>492.5415339943097</c:v>
                </c:pt>
                <c:pt idx="167">
                  <c:v>492.5415339943097</c:v>
                </c:pt>
                <c:pt idx="168">
                  <c:v>492.5415339943097</c:v>
                </c:pt>
                <c:pt idx="169">
                  <c:v>492.5415339943097</c:v>
                </c:pt>
                <c:pt idx="170">
                  <c:v>492.5415339943097</c:v>
                </c:pt>
                <c:pt idx="171">
                  <c:v>492.5415339943097</c:v>
                </c:pt>
                <c:pt idx="172">
                  <c:v>492.5415339943097</c:v>
                </c:pt>
                <c:pt idx="173">
                  <c:v>492.5415339943097</c:v>
                </c:pt>
                <c:pt idx="174">
                  <c:v>492.5415339943097</c:v>
                </c:pt>
                <c:pt idx="175">
                  <c:v>492.5415339943097</c:v>
                </c:pt>
                <c:pt idx="176">
                  <c:v>492.5415339943097</c:v>
                </c:pt>
                <c:pt idx="177">
                  <c:v>492.5415339943097</c:v>
                </c:pt>
                <c:pt idx="178">
                  <c:v>492.5415339943097</c:v>
                </c:pt>
                <c:pt idx="179">
                  <c:v>492.5415339943097</c:v>
                </c:pt>
                <c:pt idx="180">
                  <c:v>492.5415339943097</c:v>
                </c:pt>
                <c:pt idx="181">
                  <c:v>492.5415339943097</c:v>
                </c:pt>
                <c:pt idx="182">
                  <c:v>492.5415339943097</c:v>
                </c:pt>
                <c:pt idx="183">
                  <c:v>492.5415339943097</c:v>
                </c:pt>
                <c:pt idx="184">
                  <c:v>492.5415339943097</c:v>
                </c:pt>
                <c:pt idx="185">
                  <c:v>492.5415339943097</c:v>
                </c:pt>
                <c:pt idx="186">
                  <c:v>492.5415339943097</c:v>
                </c:pt>
                <c:pt idx="187">
                  <c:v>492.5415339943097</c:v>
                </c:pt>
                <c:pt idx="188">
                  <c:v>492.5415339943097</c:v>
                </c:pt>
                <c:pt idx="189">
                  <c:v>492.5415339943097</c:v>
                </c:pt>
                <c:pt idx="190">
                  <c:v>492.5415339943097</c:v>
                </c:pt>
                <c:pt idx="191">
                  <c:v>492.5415339943097</c:v>
                </c:pt>
                <c:pt idx="192">
                  <c:v>492.5415339943097</c:v>
                </c:pt>
                <c:pt idx="193">
                  <c:v>492.5415339943097</c:v>
                </c:pt>
                <c:pt idx="194">
                  <c:v>492.5415339943097</c:v>
                </c:pt>
                <c:pt idx="195">
                  <c:v>492.5415339943097</c:v>
                </c:pt>
                <c:pt idx="196">
                  <c:v>492.5415339943097</c:v>
                </c:pt>
                <c:pt idx="197">
                  <c:v>492.5415339943097</c:v>
                </c:pt>
                <c:pt idx="198">
                  <c:v>492.5415339943097</c:v>
                </c:pt>
                <c:pt idx="199">
                  <c:v>492.5415339943097</c:v>
                </c:pt>
                <c:pt idx="200">
                  <c:v>492.5415339943097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2.574052909151487</c:v>
                </c:pt>
                <c:pt idx="2">
                  <c:v>3.2461281653882743</c:v>
                </c:pt>
                <c:pt idx="3">
                  <c:v>4.0943661844375043</c:v>
                </c:pt>
                <c:pt idx="4">
                  <c:v>5.1651119528221656</c:v>
                </c:pt>
                <c:pt idx="5">
                  <c:v>6.5169446661128978</c:v>
                </c:pt>
                <c:pt idx="6">
                  <c:v>8.2239175681987557</c:v>
                </c:pt>
                <c:pt idx="7">
                  <c:v>10.379658260168837</c:v>
                </c:pt>
                <c:pt idx="8">
                  <c:v>13.102558620551131</c:v>
                </c:pt>
                <c:pt idx="9">
                  <c:v>16.542344646784436</c:v>
                </c:pt>
                <c:pt idx="10">
                  <c:v>20.888394060285197</c:v>
                </c:pt>
                <c:pt idx="11">
                  <c:v>26.380267800949554</c:v>
                </c:pt>
                <c:pt idx="12">
                  <c:v>33.321046136009507</c:v>
                </c:pt>
                <c:pt idx="13">
                  <c:v>42.094218082254564</c:v>
                </c:pt>
                <c:pt idx="14">
                  <c:v>53.185073146122171</c:v>
                </c:pt>
                <c:pt idx="15">
                  <c:v>67.207798386934755</c:v>
                </c:pt>
                <c:pt idx="16">
                  <c:v>61.195253174133917</c:v>
                </c:pt>
                <c:pt idx="17">
                  <c:v>81.654071629220851</c:v>
                </c:pt>
                <c:pt idx="18">
                  <c:v>101.98231585945268</c:v>
                </c:pt>
                <c:pt idx="19">
                  <c:v>122.20987672882796</c:v>
                </c:pt>
                <c:pt idx="20">
                  <c:v>142.35583160682572</c:v>
                </c:pt>
                <c:pt idx="21">
                  <c:v>115.59337364680668</c:v>
                </c:pt>
                <c:pt idx="22">
                  <c:v>137.4997067322079</c:v>
                </c:pt>
                <c:pt idx="23">
                  <c:v>159.32196170762117</c:v>
                </c:pt>
                <c:pt idx="24">
                  <c:v>181.07329523604912</c:v>
                </c:pt>
                <c:pt idx="25">
                  <c:v>202.76343275622807</c:v>
                </c:pt>
                <c:pt idx="26">
                  <c:v>174.86524839501377</c:v>
                </c:pt>
                <c:pt idx="27">
                  <c:v>195.19554735609913</c:v>
                </c:pt>
                <c:pt idx="28">
                  <c:v>215.47663414709197</c:v>
                </c:pt>
                <c:pt idx="29">
                  <c:v>235.71379290964839</c:v>
                </c:pt>
                <c:pt idx="30">
                  <c:v>255.91132536435109</c:v>
                </c:pt>
                <c:pt idx="31">
                  <c:v>226.45787789505599</c:v>
                </c:pt>
                <c:pt idx="32">
                  <c:v>244.96141929271744</c:v>
                </c:pt>
                <c:pt idx="33">
                  <c:v>263.43320731240294</c:v>
                </c:pt>
                <c:pt idx="34">
                  <c:v>281.875781441058</c:v>
                </c:pt>
                <c:pt idx="35">
                  <c:v>300.2913216340458</c:v>
                </c:pt>
                <c:pt idx="36">
                  <c:v>268.90061493982017</c:v>
                </c:pt>
                <c:pt idx="37">
                  <c:v>285.288046348151</c:v>
                </c:pt>
                <c:pt idx="38">
                  <c:v>301.65441391376049</c:v>
                </c:pt>
                <c:pt idx="39">
                  <c:v>318.00102122537902</c:v>
                </c:pt>
                <c:pt idx="40">
                  <c:v>334.32902690172892</c:v>
                </c:pt>
                <c:pt idx="41">
                  <c:v>300.63210759978875</c:v>
                </c:pt>
                <c:pt idx="42">
                  <c:v>314.59704855401981</c:v>
                </c:pt>
                <c:pt idx="43">
                  <c:v>328.54825156463437</c:v>
                </c:pt>
                <c:pt idx="44">
                  <c:v>342.48638220302013</c:v>
                </c:pt>
                <c:pt idx="45">
                  <c:v>356.4120474383385</c:v>
                </c:pt>
                <c:pt idx="46">
                  <c:v>331.26889354954557</c:v>
                </c:pt>
                <c:pt idx="47">
                  <c:v>343.50574897575689</c:v>
                </c:pt>
                <c:pt idx="48">
                  <c:v>355.73302732578964</c:v>
                </c:pt>
                <c:pt idx="49">
                  <c:v>367.95110424042508</c:v>
                </c:pt>
                <c:pt idx="50">
                  <c:v>380.160328372322</c:v>
                </c:pt>
                <c:pt idx="51">
                  <c:v>361.5037994693871</c:v>
                </c:pt>
                <c:pt idx="52">
                  <c:v>371.68262431492622</c:v>
                </c:pt>
                <c:pt idx="53">
                  <c:v>381.85537235272426</c:v>
                </c:pt>
                <c:pt idx="54">
                  <c:v>392.02222835802286</c:v>
                </c:pt>
                <c:pt idx="55">
                  <c:v>402.18336673633195</c:v>
                </c:pt>
                <c:pt idx="56">
                  <c:v>388.97277965128006</c:v>
                </c:pt>
                <c:pt idx="57">
                  <c:v>397.78089798901971</c:v>
                </c:pt>
                <c:pt idx="58">
                  <c:v>406.58479291095313</c:v>
                </c:pt>
                <c:pt idx="59">
                  <c:v>415.384568809923</c:v>
                </c:pt>
                <c:pt idx="60">
                  <c:v>424.18032529272591</c:v>
                </c:pt>
                <c:pt idx="61">
                  <c:v>411.32363915605634</c:v>
                </c:pt>
                <c:pt idx="62">
                  <c:v>418.76802245127936</c:v>
                </c:pt>
                <c:pt idx="63">
                  <c:v>426.20955457884071</c:v>
                </c:pt>
                <c:pt idx="64">
                  <c:v>433.64829237194994</c:v>
                </c:pt>
                <c:pt idx="65">
                  <c:v>441.08429055375751</c:v>
                </c:pt>
                <c:pt idx="66">
                  <c:v>428.91487052918592</c:v>
                </c:pt>
                <c:pt idx="67">
                  <c:v>435.33853059869892</c:v>
                </c:pt>
                <c:pt idx="68">
                  <c:v>441.76015637738465</c:v>
                </c:pt>
                <c:pt idx="69">
                  <c:v>448.17978162908167</c:v>
                </c:pt>
                <c:pt idx="70">
                  <c:v>454.59743907080406</c:v>
                </c:pt>
                <c:pt idx="71">
                  <c:v>443.44972404678083</c:v>
                </c:pt>
                <c:pt idx="72">
                  <c:v>449.1932259604792</c:v>
                </c:pt>
                <c:pt idx="73">
                  <c:v>454.93515661064157</c:v>
                </c:pt>
                <c:pt idx="74">
                  <c:v>460.67553864161067</c:v>
                </c:pt>
                <c:pt idx="75">
                  <c:v>466.41439408694333</c:v>
                </c:pt>
                <c:pt idx="76">
                  <c:v>455.94827709810414</c:v>
                </c:pt>
                <c:pt idx="77">
                  <c:v>460.67553864161067</c:v>
                </c:pt>
                <c:pt idx="78">
                  <c:v>465.40176486435234</c:v>
                </c:pt>
                <c:pt idx="79">
                  <c:v>470.12696777260271</c:v>
                </c:pt>
                <c:pt idx="80">
                  <c:v>474.85115911139536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2.1832588351718871</c:v>
                </c:pt>
                <c:pt idx="2">
                  <c:v>2.8151424126467504</c:v>
                </c:pt>
                <c:pt idx="3">
                  <c:v>3.6306435125259271</c:v>
                </c:pt>
                <c:pt idx="4">
                  <c:v>4.6833209032273171</c:v>
                </c:pt>
                <c:pt idx="5">
                  <c:v>6.0424108050733842</c:v>
                </c:pt>
                <c:pt idx="6">
                  <c:v>7.7974308907853205</c:v>
                </c:pt>
                <c:pt idx="7">
                  <c:v>10.064140401541296</c:v>
                </c:pt>
                <c:pt idx="8">
                  <c:v>12.992256920461166</c:v>
                </c:pt>
                <c:pt idx="9">
                  <c:v>16.775448944382362</c:v>
                </c:pt>
                <c:pt idx="10">
                  <c:v>21.664277189769351</c:v>
                </c:pt>
                <c:pt idx="11">
                  <c:v>31.806312236626585</c:v>
                </c:pt>
                <c:pt idx="12">
                  <c:v>43.329863343915491</c:v>
                </c:pt>
                <c:pt idx="13">
                  <c:v>54.770372387271664</c:v>
                </c:pt>
                <c:pt idx="14">
                  <c:v>66.147809420658987</c:v>
                </c:pt>
                <c:pt idx="15">
                  <c:v>77.474616883044959</c:v>
                </c:pt>
                <c:pt idx="16">
                  <c:v>90.492041210372676</c:v>
                </c:pt>
                <c:pt idx="17">
                  <c:v>110.65058636488233</c:v>
                </c:pt>
                <c:pt idx="18">
                  <c:v>130.71867792989391</c:v>
                </c:pt>
                <c:pt idx="19">
                  <c:v>150.71219948673746</c:v>
                </c:pt>
                <c:pt idx="20">
                  <c:v>170.6424524976421</c:v>
                </c:pt>
                <c:pt idx="21">
                  <c:v>169.22076873606747</c:v>
                </c:pt>
                <c:pt idx="22">
                  <c:v>184.84436712462625</c:v>
                </c:pt>
                <c:pt idx="23">
                  <c:v>200.43711831314488</c:v>
                </c:pt>
                <c:pt idx="24">
                  <c:v>216.00176068460652</c:v>
                </c:pt>
                <c:pt idx="25">
                  <c:v>231.54060536306486</c:v>
                </c:pt>
                <c:pt idx="26">
                  <c:v>211.75950715739978</c:v>
                </c:pt>
                <c:pt idx="27">
                  <c:v>225.89297020726829</c:v>
                </c:pt>
                <c:pt idx="28">
                  <c:v>240.00618343044377</c:v>
                </c:pt>
                <c:pt idx="29">
                  <c:v>254.10050561748861</c:v>
                </c:pt>
                <c:pt idx="30">
                  <c:v>268.17713242968813</c:v>
                </c:pt>
                <c:pt idx="31">
                  <c:v>245.08225003541099</c:v>
                </c:pt>
                <c:pt idx="32">
                  <c:v>258.60689820869146</c:v>
                </c:pt>
                <c:pt idx="33">
                  <c:v>272.11556422776465</c:v>
                </c:pt>
                <c:pt idx="34">
                  <c:v>285.60915345709321</c:v>
                </c:pt>
                <c:pt idx="35">
                  <c:v>299.08847869495401</c:v>
                </c:pt>
                <c:pt idx="36">
                  <c:v>272.11556422776465</c:v>
                </c:pt>
                <c:pt idx="37">
                  <c:v>284.48524314677445</c:v>
                </c:pt>
                <c:pt idx="38">
                  <c:v>296.842883014341</c:v>
                </c:pt>
                <c:pt idx="39">
                  <c:v>309.18905580466088</c:v>
                </c:pt>
                <c:pt idx="40">
                  <c:v>321.52428406625791</c:v>
                </c:pt>
                <c:pt idx="41">
                  <c:v>293.75456953309532</c:v>
                </c:pt>
                <c:pt idx="42">
                  <c:v>305.26193924769092</c:v>
                </c:pt>
                <c:pt idx="43">
                  <c:v>316.75966637275303</c:v>
                </c:pt>
                <c:pt idx="44">
                  <c:v>328.24815038016737</c:v>
                </c:pt>
                <c:pt idx="45">
                  <c:v>339.72776048524321</c:v>
                </c:pt>
                <c:pt idx="46">
                  <c:v>310.87176573267203</c:v>
                </c:pt>
                <c:pt idx="47">
                  <c:v>321.24405593004218</c:v>
                </c:pt>
                <c:pt idx="48">
                  <c:v>331.60893904924779</c:v>
                </c:pt>
                <c:pt idx="49">
                  <c:v>341.96667936306943</c:v>
                </c:pt>
                <c:pt idx="50">
                  <c:v>352.31752382065224</c:v>
                </c:pt>
                <c:pt idx="51">
                  <c:v>324.0460947549708</c:v>
                </c:pt>
                <c:pt idx="52">
                  <c:v>333.56905164618536</c:v>
                </c:pt>
                <c:pt idx="53">
                  <c:v>343.08601778170441</c:v>
                </c:pt>
                <c:pt idx="54">
                  <c:v>352.59718287003483</c:v>
                </c:pt>
                <c:pt idx="55">
                  <c:v>362.10272554390014</c:v>
                </c:pt>
                <c:pt idx="56">
                  <c:v>336.08882358493906</c:v>
                </c:pt>
                <c:pt idx="57">
                  <c:v>345.04466702323003</c:v>
                </c:pt>
                <c:pt idx="58">
                  <c:v>353.99540526070876</c:v>
                </c:pt>
                <c:pt idx="59">
                  <c:v>362.9411856670547</c:v>
                </c:pt>
                <c:pt idx="60">
                  <c:v>371.88214774985954</c:v>
                </c:pt>
                <c:pt idx="61">
                  <c:v>346.44355255688725</c:v>
                </c:pt>
                <c:pt idx="62">
                  <c:v>354.554660299337</c:v>
                </c:pt>
                <c:pt idx="63">
                  <c:v>362.66170366967111</c:v>
                </c:pt>
                <c:pt idx="64">
                  <c:v>370.76478640470532</c:v>
                </c:pt>
                <c:pt idx="65">
                  <c:v>378.86400733367782</c:v>
                </c:pt>
                <c:pt idx="66">
                  <c:v>355.67311242421277</c:v>
                </c:pt>
                <c:pt idx="67">
                  <c:v>363.2206629596339</c:v>
                </c:pt>
                <c:pt idx="68">
                  <c:v>370.76478640470532</c:v>
                </c:pt>
                <c:pt idx="69">
                  <c:v>378.30556238289756</c:v>
                </c:pt>
                <c:pt idx="70">
                  <c:v>385.8430670819634</c:v>
                </c:pt>
                <c:pt idx="71">
                  <c:v>363.2206629596339</c:v>
                </c:pt>
                <c:pt idx="72">
                  <c:v>369.9267171991865</c:v>
                </c:pt>
                <c:pt idx="73">
                  <c:v>376.63011972145614</c:v>
                </c:pt>
                <c:pt idx="74">
                  <c:v>383.3309244229302</c:v>
                </c:pt>
                <c:pt idx="75">
                  <c:v>390.02918316043593</c:v>
                </c:pt>
                <c:pt idx="76">
                  <c:v>369.92671719918661</c:v>
                </c:pt>
                <c:pt idx="77">
                  <c:v>376.35086351579042</c:v>
                </c:pt>
                <c:pt idx="78">
                  <c:v>382.77262197501403</c:v>
                </c:pt>
                <c:pt idx="79">
                  <c:v>389.19203832615466</c:v>
                </c:pt>
                <c:pt idx="80">
                  <c:v>395.60915668482608</c:v>
                </c:pt>
                <c:pt idx="81">
                  <c:v>376.35086351579042</c:v>
                </c:pt>
                <c:pt idx="82">
                  <c:v>382.2143018184168</c:v>
                </c:pt>
                <c:pt idx="83">
                  <c:v>388.07578438405881</c:v>
                </c:pt>
                <c:pt idx="84">
                  <c:v>393.93534494873728</c:v>
                </c:pt>
                <c:pt idx="85">
                  <c:v>399.79301616201786</c:v>
                </c:pt>
                <c:pt idx="86">
                  <c:v>382.77262197501403</c:v>
                </c:pt>
                <c:pt idx="87">
                  <c:v>388.07578438405881</c:v>
                </c:pt>
                <c:pt idx="88">
                  <c:v>393.3773734678868</c:v>
                </c:pt>
                <c:pt idx="89">
                  <c:v>398.67741344442743</c:v>
                </c:pt>
                <c:pt idx="90">
                  <c:v>403.97592783450415</c:v>
                </c:pt>
                <c:pt idx="91">
                  <c:v>3.9806453659427267E-12</c:v>
                </c:pt>
                <c:pt idx="92">
                  <c:v>3.9806453659427267E-12</c:v>
                </c:pt>
                <c:pt idx="93">
                  <c:v>3.9806453659427267E-12</c:v>
                </c:pt>
                <c:pt idx="94">
                  <c:v>3.9806453659427267E-12</c:v>
                </c:pt>
                <c:pt idx="95">
                  <c:v>3.9806453659427267E-12</c:v>
                </c:pt>
                <c:pt idx="96">
                  <c:v>3.9806453659427267E-12</c:v>
                </c:pt>
                <c:pt idx="97">
                  <c:v>3.9806453659427267E-12</c:v>
                </c:pt>
                <c:pt idx="98">
                  <c:v>3.9806453659427267E-12</c:v>
                </c:pt>
                <c:pt idx="99">
                  <c:v>3.9806453659427267E-12</c:v>
                </c:pt>
                <c:pt idx="100">
                  <c:v>3.9806453659427267E-12</c:v>
                </c:pt>
                <c:pt idx="101">
                  <c:v>3.9806453659427267E-12</c:v>
                </c:pt>
                <c:pt idx="102">
                  <c:v>3.9806453659427267E-12</c:v>
                </c:pt>
                <c:pt idx="103">
                  <c:v>3.9806453659427267E-12</c:v>
                </c:pt>
                <c:pt idx="104">
                  <c:v>3.9806453659427267E-12</c:v>
                </c:pt>
                <c:pt idx="105">
                  <c:v>3.9806453659427267E-12</c:v>
                </c:pt>
                <c:pt idx="106">
                  <c:v>3.9806453659427267E-12</c:v>
                </c:pt>
                <c:pt idx="107">
                  <c:v>3.9806453659427267E-12</c:v>
                </c:pt>
                <c:pt idx="108">
                  <c:v>3.9806453659427267E-12</c:v>
                </c:pt>
                <c:pt idx="109">
                  <c:v>3.9806453659427267E-12</c:v>
                </c:pt>
                <c:pt idx="110">
                  <c:v>3.9806453659427267E-12</c:v>
                </c:pt>
                <c:pt idx="111">
                  <c:v>3.9806453659427267E-12</c:v>
                </c:pt>
                <c:pt idx="112">
                  <c:v>3.9806453659427267E-12</c:v>
                </c:pt>
                <c:pt idx="113">
                  <c:v>3.9806453659427267E-12</c:v>
                </c:pt>
                <c:pt idx="114">
                  <c:v>3.9806453659427267E-12</c:v>
                </c:pt>
                <c:pt idx="115">
                  <c:v>3.9806453659427267E-12</c:v>
                </c:pt>
                <c:pt idx="116">
                  <c:v>3.9806453659427267E-12</c:v>
                </c:pt>
                <c:pt idx="117">
                  <c:v>3.9806453659427267E-12</c:v>
                </c:pt>
                <c:pt idx="118">
                  <c:v>3.9806453659427267E-12</c:v>
                </c:pt>
                <c:pt idx="119">
                  <c:v>3.9806453659427267E-12</c:v>
                </c:pt>
                <c:pt idx="120">
                  <c:v>3.9806453659427267E-12</c:v>
                </c:pt>
                <c:pt idx="121">
                  <c:v>3.9806453659427267E-12</c:v>
                </c:pt>
                <c:pt idx="122">
                  <c:v>3.9806453659427267E-12</c:v>
                </c:pt>
                <c:pt idx="123">
                  <c:v>3.9806453659427267E-12</c:v>
                </c:pt>
                <c:pt idx="124">
                  <c:v>3.9806453659427267E-12</c:v>
                </c:pt>
                <c:pt idx="125">
                  <c:v>3.9806453659427267E-12</c:v>
                </c:pt>
                <c:pt idx="126">
                  <c:v>3.9806453659427267E-12</c:v>
                </c:pt>
                <c:pt idx="127">
                  <c:v>3.9806453659427267E-12</c:v>
                </c:pt>
                <c:pt idx="128">
                  <c:v>3.9806453659427267E-12</c:v>
                </c:pt>
                <c:pt idx="129">
                  <c:v>3.9806453659427267E-12</c:v>
                </c:pt>
                <c:pt idx="130">
                  <c:v>3.9806453659427267E-12</c:v>
                </c:pt>
                <c:pt idx="131">
                  <c:v>3.9806453659427267E-12</c:v>
                </c:pt>
                <c:pt idx="132">
                  <c:v>3.9806453659427267E-12</c:v>
                </c:pt>
                <c:pt idx="133">
                  <c:v>3.9806453659427267E-12</c:v>
                </c:pt>
                <c:pt idx="134">
                  <c:v>3.9806453659427267E-12</c:v>
                </c:pt>
                <c:pt idx="135">
                  <c:v>3.9806453659427267E-12</c:v>
                </c:pt>
                <c:pt idx="136">
                  <c:v>3.9806453659427267E-12</c:v>
                </c:pt>
                <c:pt idx="137">
                  <c:v>3.9806453659427267E-12</c:v>
                </c:pt>
                <c:pt idx="138">
                  <c:v>3.9806453659427267E-12</c:v>
                </c:pt>
                <c:pt idx="139">
                  <c:v>3.9806453659427267E-12</c:v>
                </c:pt>
                <c:pt idx="140">
                  <c:v>3.9806453659427267E-12</c:v>
                </c:pt>
                <c:pt idx="141">
                  <c:v>3.9806453659427267E-12</c:v>
                </c:pt>
                <c:pt idx="142">
                  <c:v>3.9806453659427267E-12</c:v>
                </c:pt>
                <c:pt idx="143">
                  <c:v>3.9806453659427267E-12</c:v>
                </c:pt>
                <c:pt idx="144">
                  <c:v>3.9806453659427267E-12</c:v>
                </c:pt>
                <c:pt idx="145">
                  <c:v>3.9806453659427267E-12</c:v>
                </c:pt>
                <c:pt idx="146">
                  <c:v>3.9806453659427267E-12</c:v>
                </c:pt>
                <c:pt idx="147">
                  <c:v>3.9806453659427267E-12</c:v>
                </c:pt>
                <c:pt idx="148">
                  <c:v>3.9806453659427267E-12</c:v>
                </c:pt>
                <c:pt idx="149">
                  <c:v>3.9806453659427267E-12</c:v>
                </c:pt>
                <c:pt idx="150">
                  <c:v>3.9806453659427267E-12</c:v>
                </c:pt>
                <c:pt idx="151">
                  <c:v>3.9806453659427267E-12</c:v>
                </c:pt>
                <c:pt idx="152">
                  <c:v>3.9806453659427267E-12</c:v>
                </c:pt>
                <c:pt idx="153">
                  <c:v>3.9806453659427267E-12</c:v>
                </c:pt>
                <c:pt idx="154">
                  <c:v>3.9806453659427267E-12</c:v>
                </c:pt>
                <c:pt idx="155">
                  <c:v>3.9806453659427267E-12</c:v>
                </c:pt>
                <c:pt idx="156">
                  <c:v>3.9806453659427267E-12</c:v>
                </c:pt>
                <c:pt idx="157">
                  <c:v>3.9806453659427267E-12</c:v>
                </c:pt>
                <c:pt idx="158">
                  <c:v>3.9806453659427267E-12</c:v>
                </c:pt>
                <c:pt idx="159">
                  <c:v>3.9806453659427267E-12</c:v>
                </c:pt>
                <c:pt idx="160">
                  <c:v>3.9806453659427267E-12</c:v>
                </c:pt>
                <c:pt idx="161">
                  <c:v>3.9806453659427267E-12</c:v>
                </c:pt>
                <c:pt idx="162">
                  <c:v>3.9806453659427267E-12</c:v>
                </c:pt>
                <c:pt idx="163">
                  <c:v>3.9806453659427267E-12</c:v>
                </c:pt>
                <c:pt idx="164">
                  <c:v>3.9806453659427267E-12</c:v>
                </c:pt>
                <c:pt idx="165">
                  <c:v>3.9806453659427267E-12</c:v>
                </c:pt>
                <c:pt idx="166">
                  <c:v>3.9806453659427267E-12</c:v>
                </c:pt>
                <c:pt idx="167">
                  <c:v>3.9806453659427267E-12</c:v>
                </c:pt>
                <c:pt idx="168">
                  <c:v>3.9806453659427267E-12</c:v>
                </c:pt>
                <c:pt idx="169">
                  <c:v>3.9806453659427267E-12</c:v>
                </c:pt>
                <c:pt idx="170">
                  <c:v>3.9806453659427267E-12</c:v>
                </c:pt>
                <c:pt idx="171">
                  <c:v>3.9806453659427267E-12</c:v>
                </c:pt>
                <c:pt idx="172">
                  <c:v>3.9806453659427267E-12</c:v>
                </c:pt>
                <c:pt idx="173">
                  <c:v>3.9806453659427267E-12</c:v>
                </c:pt>
                <c:pt idx="174">
                  <c:v>3.9806453659427267E-12</c:v>
                </c:pt>
                <c:pt idx="175">
                  <c:v>3.9806453659427267E-12</c:v>
                </c:pt>
                <c:pt idx="176">
                  <c:v>3.9806453659427267E-12</c:v>
                </c:pt>
                <c:pt idx="177">
                  <c:v>3.9806453659427267E-12</c:v>
                </c:pt>
                <c:pt idx="178">
                  <c:v>3.9806453659427267E-12</c:v>
                </c:pt>
                <c:pt idx="179">
                  <c:v>3.9806453659427267E-12</c:v>
                </c:pt>
                <c:pt idx="180">
                  <c:v>3.9806453659427267E-12</c:v>
                </c:pt>
                <c:pt idx="181">
                  <c:v>3.9806453659427267E-12</c:v>
                </c:pt>
                <c:pt idx="182">
                  <c:v>3.9806453659427267E-12</c:v>
                </c:pt>
                <c:pt idx="183">
                  <c:v>3.9806453659427267E-12</c:v>
                </c:pt>
                <c:pt idx="184">
                  <c:v>3.9806453659427267E-12</c:v>
                </c:pt>
                <c:pt idx="185">
                  <c:v>3.9806453659427267E-12</c:v>
                </c:pt>
                <c:pt idx="186">
                  <c:v>3.9806453659427267E-12</c:v>
                </c:pt>
                <c:pt idx="187">
                  <c:v>3.9806453659427267E-12</c:v>
                </c:pt>
                <c:pt idx="188">
                  <c:v>3.9806453659427267E-12</c:v>
                </c:pt>
                <c:pt idx="189">
                  <c:v>3.9806453659427267E-12</c:v>
                </c:pt>
                <c:pt idx="190">
                  <c:v>3.9806453659427267E-12</c:v>
                </c:pt>
                <c:pt idx="191">
                  <c:v>3.9806453659427267E-12</c:v>
                </c:pt>
                <c:pt idx="192">
                  <c:v>3.9806453659427267E-12</c:v>
                </c:pt>
                <c:pt idx="193">
                  <c:v>3.9806453659427267E-12</c:v>
                </c:pt>
                <c:pt idx="194">
                  <c:v>3.9806453659427267E-12</c:v>
                </c:pt>
                <c:pt idx="195">
                  <c:v>3.9806453659427267E-12</c:v>
                </c:pt>
                <c:pt idx="196">
                  <c:v>3.9806453659427267E-12</c:v>
                </c:pt>
                <c:pt idx="197">
                  <c:v>3.9806453659427267E-12</c:v>
                </c:pt>
                <c:pt idx="198">
                  <c:v>3.9806453659427267E-12</c:v>
                </c:pt>
                <c:pt idx="199">
                  <c:v>3.9806453659427267E-12</c:v>
                </c:pt>
                <c:pt idx="200">
                  <c:v>3.9806453659427267E-12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C6" sqref="C6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8" t="s">
        <v>231</v>
      </c>
      <c r="B5" s="268"/>
      <c r="C5" s="24">
        <v>1.5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164</v>
      </c>
      <c r="C9" s="32">
        <v>0.27</v>
      </c>
      <c r="D9" s="33">
        <f t="shared" ref="D9:D18" si="0">C9*$C$5</f>
        <v>0.40500000000000003</v>
      </c>
      <c r="E9" s="34">
        <v>100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18</v>
      </c>
      <c r="C10" s="32">
        <v>0.28000000000000003</v>
      </c>
      <c r="D10" s="33">
        <f t="shared" si="0"/>
        <v>0.42000000000000004</v>
      </c>
      <c r="E10" s="34">
        <v>65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14</v>
      </c>
      <c r="C11" s="32">
        <v>0.25</v>
      </c>
      <c r="D11" s="33">
        <f t="shared" si="0"/>
        <v>0.375</v>
      </c>
      <c r="E11" s="34">
        <v>100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 t="s">
        <v>13</v>
      </c>
      <c r="C12" s="32">
        <v>0.06</v>
      </c>
      <c r="D12" s="33">
        <f t="shared" si="0"/>
        <v>0.09</v>
      </c>
      <c r="E12" s="34">
        <v>100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 t="s">
        <v>23</v>
      </c>
      <c r="C13" s="32">
        <v>0.12</v>
      </c>
      <c r="D13" s="33">
        <f t="shared" si="0"/>
        <v>0.18</v>
      </c>
      <c r="E13" s="34">
        <v>80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 t="s">
        <v>4</v>
      </c>
      <c r="C14" s="32">
        <v>0.02</v>
      </c>
      <c r="D14" s="33">
        <f t="shared" si="0"/>
        <v>0.03</v>
      </c>
      <c r="E14" s="34">
        <v>90</v>
      </c>
      <c r="F14" s="35" t="str">
        <f t="array" ref="F14">IF(E14="","",IF(INDEX(A:A,MAX(IF(ISNUMBER($A$166:$A$185),ROW($A$166:$A$185),"")))&lt;&gt;E14,"Corrigez : révolution incorrecte","OK"))</f>
        <v>OK</v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1.5000000000000002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Cèdre de l'Atlas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20</v>
      </c>
      <c r="B36" s="60">
        <v>158</v>
      </c>
      <c r="C36" s="60">
        <v>1</v>
      </c>
      <c r="D36" s="60">
        <v>39.5</v>
      </c>
      <c r="E36" s="51">
        <v>0.2</v>
      </c>
      <c r="F36" s="51">
        <v>0.2</v>
      </c>
      <c r="G36" s="51">
        <v>0.6</v>
      </c>
      <c r="H36" s="51"/>
      <c r="I36" s="49">
        <f>IFERROR(B36/A36,"")</f>
        <v>7.9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30</v>
      </c>
      <c r="B37" s="60">
        <v>210.5</v>
      </c>
      <c r="C37" s="60">
        <v>2</v>
      </c>
      <c r="D37" s="60">
        <v>67</v>
      </c>
      <c r="E37" s="51">
        <v>0.3</v>
      </c>
      <c r="F37" s="51">
        <v>0.4</v>
      </c>
      <c r="G37" s="51">
        <v>0.3</v>
      </c>
      <c r="H37" s="51"/>
      <c r="I37" s="53">
        <f t="shared" ref="I37:I55" si="1">IF(A37&lt;&gt;0,(B37-(B36-D36))/(A37-A36),"")</f>
        <v>9.1999999999999993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40</v>
      </c>
      <c r="B38" s="60">
        <v>243.5</v>
      </c>
      <c r="C38" s="60">
        <v>3</v>
      </c>
      <c r="D38" s="60">
        <v>70</v>
      </c>
      <c r="E38" s="51"/>
      <c r="F38" s="51"/>
      <c r="G38" s="51"/>
      <c r="H38" s="51"/>
      <c r="I38" s="53">
        <f t="shared" si="1"/>
        <v>10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50</v>
      </c>
      <c r="B39" s="60">
        <v>288.5</v>
      </c>
      <c r="C39" s="60">
        <v>4</v>
      </c>
      <c r="D39" s="60">
        <v>75</v>
      </c>
      <c r="E39" s="51"/>
      <c r="F39" s="51"/>
      <c r="G39" s="51"/>
      <c r="H39" s="51"/>
      <c r="I39" s="49">
        <f t="shared" si="1"/>
        <v>11.5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60</v>
      </c>
      <c r="B40" s="60">
        <v>348.5</v>
      </c>
      <c r="C40" s="60">
        <v>5</v>
      </c>
      <c r="D40" s="60">
        <v>80</v>
      </c>
      <c r="E40" s="51"/>
      <c r="F40" s="51"/>
      <c r="G40" s="51"/>
      <c r="H40" s="51"/>
      <c r="I40" s="49">
        <f t="shared" si="1"/>
        <v>13.5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70</v>
      </c>
      <c r="B41" s="60">
        <v>423.5</v>
      </c>
      <c r="C41" s="60">
        <v>6</v>
      </c>
      <c r="D41" s="60">
        <v>87</v>
      </c>
      <c r="E41" s="51"/>
      <c r="F41" s="51"/>
      <c r="G41" s="51"/>
      <c r="H41" s="51"/>
      <c r="I41" s="53">
        <f t="shared" si="1"/>
        <v>15.5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80</v>
      </c>
      <c r="B42" s="60">
        <v>506.5</v>
      </c>
      <c r="C42" s="60">
        <v>7</v>
      </c>
      <c r="D42" s="60">
        <v>93</v>
      </c>
      <c r="E42" s="51"/>
      <c r="F42" s="51"/>
      <c r="G42" s="51"/>
      <c r="H42" s="51"/>
      <c r="I42" s="53">
        <f t="shared" si="1"/>
        <v>17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90</v>
      </c>
      <c r="B43" s="60">
        <v>588.5</v>
      </c>
      <c r="C43" s="60">
        <v>8</v>
      </c>
      <c r="D43" s="60">
        <v>98</v>
      </c>
      <c r="E43" s="51"/>
      <c r="F43" s="51"/>
      <c r="G43" s="51"/>
      <c r="H43" s="51"/>
      <c r="I43" s="49">
        <f t="shared" si="1"/>
        <v>17.5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100</v>
      </c>
      <c r="B44" s="60">
        <v>675.5</v>
      </c>
      <c r="C44" s="60">
        <v>9</v>
      </c>
      <c r="D44" s="60">
        <v>675.5</v>
      </c>
      <c r="E44" s="51"/>
      <c r="F44" s="51"/>
      <c r="G44" s="51"/>
      <c r="H44" s="51"/>
      <c r="I44" s="49">
        <f t="shared" si="1"/>
        <v>18.5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Douglas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20</v>
      </c>
      <c r="B62" s="60">
        <v>303</v>
      </c>
      <c r="C62" s="60">
        <v>1</v>
      </c>
      <c r="D62" s="60">
        <v>43</v>
      </c>
      <c r="E62" s="51"/>
      <c r="F62" s="51">
        <v>0.6</v>
      </c>
      <c r="G62" s="51">
        <v>0.4</v>
      </c>
      <c r="H62" s="51"/>
      <c r="I62" s="53">
        <f>IFERROR(B62/A62,"")</f>
        <v>15.15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25</v>
      </c>
      <c r="B63" s="60">
        <v>419</v>
      </c>
      <c r="C63" s="60">
        <v>2</v>
      </c>
      <c r="D63" s="60">
        <v>60</v>
      </c>
      <c r="E63" s="51"/>
      <c r="F63" s="51">
        <v>0.6</v>
      </c>
      <c r="G63" s="51">
        <v>0.4</v>
      </c>
      <c r="H63" s="51"/>
      <c r="I63" s="49">
        <f>IF(A63&lt;&gt;0,(B63-(B62-D62))/(A63-A62),"")</f>
        <v>31.8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30</v>
      </c>
      <c r="B64" s="60">
        <v>524</v>
      </c>
      <c r="C64" s="60">
        <v>3</v>
      </c>
      <c r="D64" s="60">
        <v>90</v>
      </c>
      <c r="E64" s="51">
        <v>0.2</v>
      </c>
      <c r="F64" s="51">
        <v>0.6</v>
      </c>
      <c r="G64" s="51">
        <v>0.2</v>
      </c>
      <c r="H64" s="51"/>
      <c r="I64" s="49">
        <f>IF(A64&lt;&gt;0,(B64-(B63-D63))/(A64-A63),"")</f>
        <v>33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35</v>
      </c>
      <c r="B65" s="60">
        <v>576</v>
      </c>
      <c r="C65" s="60">
        <v>4</v>
      </c>
      <c r="D65" s="60">
        <v>72</v>
      </c>
      <c r="E65" s="51"/>
      <c r="F65" s="51"/>
      <c r="G65" s="51"/>
      <c r="H65" s="51"/>
      <c r="I65" s="49">
        <f>IF(A65&lt;&gt;0,(B65-(B64-D64))/(A65-A64),"")</f>
        <v>28.4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40</v>
      </c>
      <c r="B66" s="60">
        <v>639</v>
      </c>
      <c r="C66" s="60">
        <v>5</v>
      </c>
      <c r="D66" s="60">
        <v>77</v>
      </c>
      <c r="E66" s="51"/>
      <c r="F66" s="51"/>
      <c r="G66" s="51"/>
      <c r="H66" s="51"/>
      <c r="I66" s="49">
        <f t="shared" ref="I66:I81" si="2">IF(A66&lt;&gt;0,(B66-(B65-D65))/(A66-A65),"")</f>
        <v>27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45</v>
      </c>
      <c r="B67" s="60">
        <v>686</v>
      </c>
      <c r="C67" s="60">
        <v>6</v>
      </c>
      <c r="D67" s="60">
        <v>64</v>
      </c>
      <c r="E67" s="51"/>
      <c r="F67" s="51"/>
      <c r="G67" s="51"/>
      <c r="H67" s="51"/>
      <c r="I67" s="49">
        <f t="shared" si="2"/>
        <v>24.8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50</v>
      </c>
      <c r="B68" s="60">
        <v>724</v>
      </c>
      <c r="C68" s="60">
        <v>7</v>
      </c>
      <c r="D68" s="60">
        <v>62</v>
      </c>
      <c r="E68" s="51"/>
      <c r="F68" s="51"/>
      <c r="G68" s="51"/>
      <c r="H68" s="51"/>
      <c r="I68" s="49">
        <f t="shared" si="2"/>
        <v>20.399999999999999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55</v>
      </c>
      <c r="B69" s="50">
        <v>739</v>
      </c>
      <c r="C69" s="50">
        <v>8</v>
      </c>
      <c r="D69" s="50">
        <v>46</v>
      </c>
      <c r="E69" s="51"/>
      <c r="F69" s="51"/>
      <c r="G69" s="51"/>
      <c r="H69" s="51"/>
      <c r="I69" s="49">
        <f t="shared" si="2"/>
        <v>15.4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60</v>
      </c>
      <c r="B70" s="50">
        <v>754</v>
      </c>
      <c r="C70" s="50">
        <v>9</v>
      </c>
      <c r="D70" s="50">
        <v>35</v>
      </c>
      <c r="E70" s="51"/>
      <c r="F70" s="51"/>
      <c r="G70" s="51"/>
      <c r="H70" s="51"/>
      <c r="I70" s="49">
        <f t="shared" si="2"/>
        <v>12.2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65</v>
      </c>
      <c r="B71" s="50">
        <v>769</v>
      </c>
      <c r="C71" s="50">
        <v>10</v>
      </c>
      <c r="D71" s="50">
        <v>769</v>
      </c>
      <c r="E71" s="51"/>
      <c r="F71" s="51"/>
      <c r="G71" s="51"/>
      <c r="H71" s="51"/>
      <c r="I71" s="49">
        <f t="shared" si="2"/>
        <v>10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Chêne sessile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20</v>
      </c>
      <c r="B88" s="60">
        <v>73</v>
      </c>
      <c r="C88" s="60">
        <v>1</v>
      </c>
      <c r="D88" s="60">
        <v>6</v>
      </c>
      <c r="E88" s="51">
        <v>0.2</v>
      </c>
      <c r="F88" s="51">
        <v>0.2</v>
      </c>
      <c r="G88" s="51">
        <v>0.6</v>
      </c>
      <c r="H88" s="87"/>
      <c r="I88" s="53">
        <f>IFERROR(B88/A88,"")</f>
        <v>3.65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25</v>
      </c>
      <c r="B89" s="60">
        <v>103</v>
      </c>
      <c r="C89" s="60">
        <v>2</v>
      </c>
      <c r="D89" s="60">
        <v>28</v>
      </c>
      <c r="E89" s="51">
        <v>0.3</v>
      </c>
      <c r="F89" s="51">
        <v>0.4</v>
      </c>
      <c r="G89" s="51">
        <v>0.3</v>
      </c>
      <c r="H89" s="87"/>
      <c r="I89" s="53">
        <f t="shared" ref="I89:I107" si="3">IF(A89&lt;&gt;0,(B89-(B88-D88))/(A89-A88),"")</f>
        <v>7.2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30</v>
      </c>
      <c r="B90" s="60">
        <v>121</v>
      </c>
      <c r="C90" s="60">
        <v>3</v>
      </c>
      <c r="D90" s="60">
        <v>28</v>
      </c>
      <c r="E90" s="87">
        <v>0.3</v>
      </c>
      <c r="F90" s="87">
        <v>0.4</v>
      </c>
      <c r="G90" s="87">
        <v>0.3</v>
      </c>
      <c r="H90" s="87"/>
      <c r="I90" s="53">
        <f t="shared" si="3"/>
        <v>9.1999999999999993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35</v>
      </c>
      <c r="B91" s="60">
        <v>147</v>
      </c>
      <c r="C91" s="60">
        <v>4</v>
      </c>
      <c r="D91" s="60">
        <v>28</v>
      </c>
      <c r="E91" s="87"/>
      <c r="F91" s="87"/>
      <c r="G91" s="87"/>
      <c r="H91" s="87"/>
      <c r="I91" s="53">
        <f t="shared" si="3"/>
        <v>10.8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40</v>
      </c>
      <c r="B92" s="60">
        <v>175</v>
      </c>
      <c r="C92" s="60">
        <v>5</v>
      </c>
      <c r="D92" s="60">
        <v>28</v>
      </c>
      <c r="E92" s="87"/>
      <c r="F92" s="87"/>
      <c r="G92" s="87"/>
      <c r="H92" s="87"/>
      <c r="I92" s="53">
        <f t="shared" si="3"/>
        <v>11.2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45</v>
      </c>
      <c r="B93" s="60">
        <v>204</v>
      </c>
      <c r="C93" s="60">
        <v>6</v>
      </c>
      <c r="D93" s="60">
        <v>28</v>
      </c>
      <c r="E93" s="87"/>
      <c r="F93" s="87"/>
      <c r="G93" s="87"/>
      <c r="H93" s="87"/>
      <c r="I93" s="53">
        <f t="shared" si="3"/>
        <v>11.4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50</v>
      </c>
      <c r="B94" s="60">
        <v>231</v>
      </c>
      <c r="C94" s="60">
        <v>7</v>
      </c>
      <c r="D94" s="60">
        <v>28</v>
      </c>
      <c r="E94" s="87"/>
      <c r="F94" s="87"/>
      <c r="G94" s="87"/>
      <c r="H94" s="87"/>
      <c r="I94" s="53">
        <f t="shared" si="3"/>
        <v>11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>
        <v>55</v>
      </c>
      <c r="B95" s="60">
        <v>254</v>
      </c>
      <c r="C95" s="60">
        <v>8</v>
      </c>
      <c r="D95" s="60">
        <v>28</v>
      </c>
      <c r="E95" s="87"/>
      <c r="F95" s="87"/>
      <c r="G95" s="87"/>
      <c r="H95" s="87"/>
      <c r="I95" s="53">
        <f t="shared" si="3"/>
        <v>10.199999999999999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>
        <v>60</v>
      </c>
      <c r="B96" s="60">
        <v>273</v>
      </c>
      <c r="C96" s="60">
        <v>9</v>
      </c>
      <c r="D96" s="60">
        <v>28</v>
      </c>
      <c r="E96" s="87"/>
      <c r="F96" s="87"/>
      <c r="G96" s="87"/>
      <c r="H96" s="87"/>
      <c r="I96" s="53">
        <f t="shared" si="3"/>
        <v>9.4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>
        <v>65</v>
      </c>
      <c r="B97" s="60">
        <v>289</v>
      </c>
      <c r="C97" s="60">
        <v>10</v>
      </c>
      <c r="D97" s="60">
        <v>28</v>
      </c>
      <c r="E97" s="87"/>
      <c r="F97" s="87"/>
      <c r="G97" s="87"/>
      <c r="H97" s="87"/>
      <c r="I97" s="53">
        <f t="shared" si="3"/>
        <v>8.8000000000000007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>
        <v>70</v>
      </c>
      <c r="B98" s="60">
        <v>302</v>
      </c>
      <c r="C98" s="60">
        <v>11</v>
      </c>
      <c r="D98" s="60">
        <v>28</v>
      </c>
      <c r="E98" s="87"/>
      <c r="F98" s="87"/>
      <c r="G98" s="87"/>
      <c r="H98" s="87"/>
      <c r="I98" s="53">
        <f t="shared" si="3"/>
        <v>8.1999999999999993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>
        <v>75</v>
      </c>
      <c r="B99" s="60">
        <v>312</v>
      </c>
      <c r="C99" s="60">
        <v>12</v>
      </c>
      <c r="D99" s="60">
        <v>28</v>
      </c>
      <c r="E99" s="87"/>
      <c r="F99" s="87"/>
      <c r="G99" s="87"/>
      <c r="H99" s="87"/>
      <c r="I99" s="53">
        <f t="shared" si="3"/>
        <v>7.6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>
        <v>80</v>
      </c>
      <c r="B100" s="60">
        <v>320</v>
      </c>
      <c r="C100" s="60">
        <v>13</v>
      </c>
      <c r="D100" s="60">
        <v>28</v>
      </c>
      <c r="E100" s="65"/>
      <c r="F100" s="65"/>
      <c r="G100" s="65"/>
      <c r="H100" s="65"/>
      <c r="I100" s="53">
        <f t="shared" si="3"/>
        <v>7.2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>
        <v>85</v>
      </c>
      <c r="B101" s="60">
        <v>326</v>
      </c>
      <c r="C101" s="60">
        <v>14</v>
      </c>
      <c r="D101" s="60">
        <v>28</v>
      </c>
      <c r="E101" s="65"/>
      <c r="F101" s="65"/>
      <c r="G101" s="65"/>
      <c r="H101" s="65"/>
      <c r="I101" s="53">
        <f t="shared" si="3"/>
        <v>6.8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>
        <v>90</v>
      </c>
      <c r="B102" s="50">
        <v>330</v>
      </c>
      <c r="C102" s="60">
        <v>15</v>
      </c>
      <c r="D102" s="50">
        <v>28</v>
      </c>
      <c r="E102" s="54"/>
      <c r="F102" s="54"/>
      <c r="G102" s="54"/>
      <c r="H102" s="54"/>
      <c r="I102" s="53">
        <f t="shared" si="3"/>
        <v>6.4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>
        <v>95</v>
      </c>
      <c r="B103" s="50">
        <v>333</v>
      </c>
      <c r="C103" s="60">
        <v>16</v>
      </c>
      <c r="D103" s="50">
        <v>28</v>
      </c>
      <c r="E103" s="54"/>
      <c r="F103" s="54"/>
      <c r="G103" s="54"/>
      <c r="H103" s="54"/>
      <c r="I103" s="53">
        <f t="shared" si="3"/>
        <v>6.2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>
        <v>100</v>
      </c>
      <c r="B104" s="50">
        <v>333</v>
      </c>
      <c r="C104" s="60">
        <v>17</v>
      </c>
      <c r="D104" s="50">
        <v>333</v>
      </c>
      <c r="E104" s="54"/>
      <c r="F104" s="54"/>
      <c r="G104" s="54"/>
      <c r="H104" s="54"/>
      <c r="I104" s="53">
        <f t="shared" si="3"/>
        <v>5.6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Chêne rouge d'Amérique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>
        <v>10</v>
      </c>
      <c r="B114" s="60">
        <v>35</v>
      </c>
      <c r="C114" s="50"/>
      <c r="D114" s="60">
        <v>0</v>
      </c>
      <c r="E114" s="51"/>
      <c r="F114" s="51"/>
      <c r="G114" s="51"/>
      <c r="H114" s="51"/>
      <c r="I114" s="53">
        <f>IFERROR(B114/A114,"")</f>
        <v>3.5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>
        <v>15</v>
      </c>
      <c r="B115" s="60">
        <v>88</v>
      </c>
      <c r="C115" s="50">
        <v>1</v>
      </c>
      <c r="D115" s="60">
        <v>30</v>
      </c>
      <c r="E115" s="51"/>
      <c r="F115" s="51">
        <v>0.1</v>
      </c>
      <c r="G115" s="51">
        <v>0.5</v>
      </c>
      <c r="H115" s="51">
        <v>0.4</v>
      </c>
      <c r="I115" s="53">
        <f t="shared" ref="I115:I133" si="4">IF(A115&lt;&gt;0,(B115-(B114-D114))/(A115-A114),"")</f>
        <v>10.6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>
        <v>20</v>
      </c>
      <c r="B116" s="60">
        <v>117</v>
      </c>
      <c r="C116" s="50">
        <v>2</v>
      </c>
      <c r="D116" s="60">
        <v>29</v>
      </c>
      <c r="E116" s="51">
        <v>0.1</v>
      </c>
      <c r="F116" s="51">
        <v>0.2</v>
      </c>
      <c r="G116" s="51">
        <v>0.4</v>
      </c>
      <c r="H116" s="51">
        <v>0.3</v>
      </c>
      <c r="I116" s="53">
        <f t="shared" si="4"/>
        <v>11.8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>
        <v>25</v>
      </c>
      <c r="B117" s="60">
        <v>145</v>
      </c>
      <c r="C117" s="50">
        <v>3</v>
      </c>
      <c r="D117" s="60">
        <v>31</v>
      </c>
      <c r="E117" s="51">
        <v>0.1</v>
      </c>
      <c r="F117" s="51">
        <v>0.3</v>
      </c>
      <c r="G117" s="51">
        <v>0.3</v>
      </c>
      <c r="H117" s="51">
        <v>0.3</v>
      </c>
      <c r="I117" s="53">
        <f t="shared" si="4"/>
        <v>11.4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>
        <v>30</v>
      </c>
      <c r="B118" s="60">
        <v>169</v>
      </c>
      <c r="C118" s="50">
        <v>4</v>
      </c>
      <c r="D118" s="60">
        <v>32</v>
      </c>
      <c r="E118" s="51">
        <v>0.2</v>
      </c>
      <c r="F118" s="51">
        <v>0.4</v>
      </c>
      <c r="G118" s="51">
        <v>0.2</v>
      </c>
      <c r="H118" s="51"/>
      <c r="I118" s="53">
        <f t="shared" si="4"/>
        <v>11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>
        <v>35</v>
      </c>
      <c r="B119" s="60">
        <v>189</v>
      </c>
      <c r="C119" s="50">
        <v>5</v>
      </c>
      <c r="D119" s="60">
        <v>32</v>
      </c>
      <c r="E119" s="51"/>
      <c r="F119" s="51"/>
      <c r="G119" s="51"/>
      <c r="H119" s="51"/>
      <c r="I119" s="53">
        <f t="shared" si="4"/>
        <v>10.4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>
        <v>40</v>
      </c>
      <c r="B120" s="60">
        <v>206</v>
      </c>
      <c r="C120" s="60">
        <v>6</v>
      </c>
      <c r="D120" s="60">
        <v>31</v>
      </c>
      <c r="E120" s="87"/>
      <c r="F120" s="87"/>
      <c r="G120" s="87"/>
      <c r="H120" s="87"/>
      <c r="I120" s="53">
        <f t="shared" si="4"/>
        <v>9.8000000000000007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>
        <v>45</v>
      </c>
      <c r="B121" s="60">
        <v>219</v>
      </c>
      <c r="C121" s="60">
        <v>7</v>
      </c>
      <c r="D121" s="60">
        <v>30</v>
      </c>
      <c r="E121" s="87"/>
      <c r="F121" s="87"/>
      <c r="G121" s="87"/>
      <c r="H121" s="87"/>
      <c r="I121" s="53">
        <f t="shared" si="4"/>
        <v>8.8000000000000007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>
        <v>50</v>
      </c>
      <c r="B122" s="60">
        <v>230</v>
      </c>
      <c r="C122" s="60">
        <v>8</v>
      </c>
      <c r="D122" s="60">
        <v>28</v>
      </c>
      <c r="E122" s="87"/>
      <c r="F122" s="87"/>
      <c r="G122" s="87"/>
      <c r="H122" s="87"/>
      <c r="I122" s="53">
        <f t="shared" si="4"/>
        <v>8.1999999999999993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>
        <v>55</v>
      </c>
      <c r="B123" s="60">
        <v>239</v>
      </c>
      <c r="C123" s="60">
        <v>9</v>
      </c>
      <c r="D123" s="60">
        <v>26</v>
      </c>
      <c r="E123" s="87"/>
      <c r="F123" s="87"/>
      <c r="G123" s="87"/>
      <c r="H123" s="87"/>
      <c r="I123" s="53">
        <f t="shared" si="4"/>
        <v>7.4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>
        <v>60</v>
      </c>
      <c r="B124" s="60">
        <v>246</v>
      </c>
      <c r="C124" s="60">
        <v>10</v>
      </c>
      <c r="D124" s="60">
        <v>24</v>
      </c>
      <c r="E124" s="87"/>
      <c r="F124" s="87"/>
      <c r="G124" s="87"/>
      <c r="H124" s="87"/>
      <c r="I124" s="53">
        <f t="shared" si="4"/>
        <v>6.6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>
        <v>65</v>
      </c>
      <c r="B125" s="60">
        <v>252</v>
      </c>
      <c r="C125" s="60">
        <v>11</v>
      </c>
      <c r="D125" s="60">
        <v>22</v>
      </c>
      <c r="E125" s="87"/>
      <c r="F125" s="87"/>
      <c r="G125" s="87"/>
      <c r="H125" s="87"/>
      <c r="I125" s="53">
        <f t="shared" si="4"/>
        <v>6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>
        <v>70</v>
      </c>
      <c r="B126" s="60">
        <v>257</v>
      </c>
      <c r="C126" s="60">
        <v>12</v>
      </c>
      <c r="D126" s="60">
        <v>21</v>
      </c>
      <c r="E126" s="65"/>
      <c r="F126" s="65"/>
      <c r="G126" s="65"/>
      <c r="H126" s="65"/>
      <c r="I126" s="53">
        <f t="shared" si="4"/>
        <v>5.4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>
        <v>75</v>
      </c>
      <c r="B127" s="60">
        <v>261</v>
      </c>
      <c r="C127" s="60">
        <v>13</v>
      </c>
      <c r="D127" s="60">
        <v>19</v>
      </c>
      <c r="E127" s="65"/>
      <c r="F127" s="65"/>
      <c r="G127" s="65"/>
      <c r="H127" s="65"/>
      <c r="I127" s="53">
        <f t="shared" si="4"/>
        <v>5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>
        <v>80</v>
      </c>
      <c r="B128" s="50">
        <v>264</v>
      </c>
      <c r="C128" s="50">
        <v>14</v>
      </c>
      <c r="D128" s="50">
        <v>17</v>
      </c>
      <c r="E128" s="54"/>
      <c r="F128" s="54"/>
      <c r="G128" s="54"/>
      <c r="H128" s="54"/>
      <c r="I128" s="53">
        <f t="shared" si="4"/>
        <v>4.4000000000000004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>
        <v>85</v>
      </c>
      <c r="B129" s="50">
        <v>267</v>
      </c>
      <c r="C129" s="50">
        <v>15</v>
      </c>
      <c r="D129" s="50">
        <v>16</v>
      </c>
      <c r="E129" s="54"/>
      <c r="F129" s="54"/>
      <c r="G129" s="54"/>
      <c r="H129" s="54"/>
      <c r="I129" s="53">
        <f t="shared" si="4"/>
        <v>4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>
        <v>90</v>
      </c>
      <c r="B130" s="50">
        <v>268</v>
      </c>
      <c r="C130" s="50">
        <v>16</v>
      </c>
      <c r="D130" s="50">
        <v>14</v>
      </c>
      <c r="E130" s="54"/>
      <c r="F130" s="54"/>
      <c r="G130" s="54"/>
      <c r="H130" s="54"/>
      <c r="I130" s="53">
        <f t="shared" si="4"/>
        <v>3.4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>
        <v>95</v>
      </c>
      <c r="B131" s="50">
        <v>270</v>
      </c>
      <c r="C131" s="50">
        <v>17</v>
      </c>
      <c r="D131" s="50">
        <v>13</v>
      </c>
      <c r="E131" s="54"/>
      <c r="F131" s="54"/>
      <c r="G131" s="54"/>
      <c r="H131" s="54"/>
      <c r="I131" s="53">
        <f t="shared" si="4"/>
        <v>3.2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>
        <v>100</v>
      </c>
      <c r="B132" s="50">
        <v>273</v>
      </c>
      <c r="C132" s="50">
        <v>18</v>
      </c>
      <c r="D132" s="50">
        <v>13</v>
      </c>
      <c r="E132" s="54"/>
      <c r="F132" s="54"/>
      <c r="G132" s="54"/>
      <c r="H132" s="54"/>
      <c r="I132" s="53">
        <f t="shared" si="4"/>
        <v>3.2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>Erable sycomore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>
        <v>15</v>
      </c>
      <c r="B140" s="60">
        <v>37</v>
      </c>
      <c r="C140" s="50">
        <v>1</v>
      </c>
      <c r="D140" s="60">
        <v>15</v>
      </c>
      <c r="E140" s="51"/>
      <c r="F140" s="51">
        <v>0.3</v>
      </c>
      <c r="G140" s="51">
        <v>0.7</v>
      </c>
      <c r="H140" s="51"/>
      <c r="I140" s="57">
        <f>IFERROR(B140/A140,"")</f>
        <v>2.4666666666666668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>
        <v>20</v>
      </c>
      <c r="B141" s="60">
        <v>80</v>
      </c>
      <c r="C141" s="50">
        <v>2</v>
      </c>
      <c r="D141" s="60">
        <v>28</v>
      </c>
      <c r="E141" s="51">
        <v>0.2</v>
      </c>
      <c r="F141" s="51">
        <v>0.2</v>
      </c>
      <c r="G141" s="51">
        <v>0.6</v>
      </c>
      <c r="H141" s="51"/>
      <c r="I141" s="57">
        <f t="shared" ref="I141:I159" si="5">IF(A141&lt;&gt;0,(B141-(B140-D140))/(A141-A140),"")</f>
        <v>11.6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>
        <v>25</v>
      </c>
      <c r="B142" s="60">
        <v>115</v>
      </c>
      <c r="C142" s="50">
        <v>3</v>
      </c>
      <c r="D142" s="60">
        <v>28</v>
      </c>
      <c r="E142" s="51">
        <v>0.2</v>
      </c>
      <c r="F142" s="51">
        <v>0.2</v>
      </c>
      <c r="G142" s="51">
        <v>0.6</v>
      </c>
      <c r="H142" s="51"/>
      <c r="I142" s="57">
        <f t="shared" si="5"/>
        <v>12.6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>
        <v>30</v>
      </c>
      <c r="B143" s="60">
        <v>146</v>
      </c>
      <c r="C143" s="50">
        <v>4</v>
      </c>
      <c r="D143" s="60">
        <v>28</v>
      </c>
      <c r="E143" s="51">
        <v>0.3</v>
      </c>
      <c r="F143" s="51">
        <v>0.4</v>
      </c>
      <c r="G143" s="51">
        <v>0.3</v>
      </c>
      <c r="H143" s="51"/>
      <c r="I143" s="57">
        <f t="shared" si="5"/>
        <v>11.8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>
        <v>35</v>
      </c>
      <c r="B144" s="60">
        <v>172</v>
      </c>
      <c r="C144" s="50">
        <v>5</v>
      </c>
      <c r="D144" s="60">
        <v>28</v>
      </c>
      <c r="E144" s="51"/>
      <c r="F144" s="51"/>
      <c r="G144" s="51"/>
      <c r="H144" s="51"/>
      <c r="I144" s="57">
        <f t="shared" si="5"/>
        <v>10.8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>
        <v>40</v>
      </c>
      <c r="B145" s="60">
        <v>192</v>
      </c>
      <c r="C145" s="50">
        <v>6</v>
      </c>
      <c r="D145" s="60">
        <v>28</v>
      </c>
      <c r="E145" s="51"/>
      <c r="F145" s="51"/>
      <c r="G145" s="51"/>
      <c r="H145" s="51"/>
      <c r="I145" s="57">
        <f t="shared" si="5"/>
        <v>9.6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>
        <v>45</v>
      </c>
      <c r="B146" s="60">
        <v>205</v>
      </c>
      <c r="C146" s="50">
        <v>7</v>
      </c>
      <c r="D146" s="60">
        <v>22</v>
      </c>
      <c r="E146" s="51"/>
      <c r="F146" s="51"/>
      <c r="G146" s="51"/>
      <c r="H146" s="51"/>
      <c r="I146" s="57">
        <f t="shared" si="5"/>
        <v>8.1999999999999993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>
        <v>50</v>
      </c>
      <c r="B147" s="60">
        <v>219</v>
      </c>
      <c r="C147" s="50">
        <v>8</v>
      </c>
      <c r="D147" s="60">
        <v>17</v>
      </c>
      <c r="E147" s="51"/>
      <c r="F147" s="51"/>
      <c r="G147" s="51"/>
      <c r="H147" s="51"/>
      <c r="I147" s="57">
        <f>IF(A147&lt;&gt;0,(B147-(B146-D146))/(A147-A146),"")</f>
        <v>7.2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>
        <v>55</v>
      </c>
      <c r="B148" s="60">
        <v>232</v>
      </c>
      <c r="C148" s="50">
        <v>9</v>
      </c>
      <c r="D148" s="60">
        <v>13</v>
      </c>
      <c r="E148" s="51"/>
      <c r="F148" s="51"/>
      <c r="G148" s="51"/>
      <c r="H148" s="51"/>
      <c r="I148" s="57">
        <f t="shared" si="5"/>
        <v>6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>
        <v>60</v>
      </c>
      <c r="B149" s="60">
        <v>245</v>
      </c>
      <c r="C149" s="50">
        <v>10</v>
      </c>
      <c r="D149" s="60">
        <v>12</v>
      </c>
      <c r="E149" s="51"/>
      <c r="F149" s="51"/>
      <c r="G149" s="51"/>
      <c r="H149" s="51"/>
      <c r="I149" s="57">
        <f t="shared" si="5"/>
        <v>5.2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>
        <v>65</v>
      </c>
      <c r="B150" s="60">
        <v>255</v>
      </c>
      <c r="C150" s="50">
        <v>11</v>
      </c>
      <c r="D150" s="60">
        <v>11</v>
      </c>
      <c r="E150" s="51"/>
      <c r="F150" s="51"/>
      <c r="G150" s="51"/>
      <c r="H150" s="51"/>
      <c r="I150" s="57">
        <f t="shared" si="5"/>
        <v>4.4000000000000004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>
        <v>70</v>
      </c>
      <c r="B151" s="60">
        <v>263</v>
      </c>
      <c r="C151" s="50">
        <v>12</v>
      </c>
      <c r="D151" s="60">
        <v>10</v>
      </c>
      <c r="E151" s="51"/>
      <c r="F151" s="51"/>
      <c r="G151" s="51"/>
      <c r="H151" s="51"/>
      <c r="I151" s="57">
        <f t="shared" si="5"/>
        <v>3.8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>
        <v>75</v>
      </c>
      <c r="B152" s="60">
        <v>270</v>
      </c>
      <c r="C152" s="50">
        <v>13</v>
      </c>
      <c r="D152" s="60">
        <v>9</v>
      </c>
      <c r="E152" s="54"/>
      <c r="F152" s="54"/>
      <c r="G152" s="54"/>
      <c r="H152" s="54"/>
      <c r="I152" s="57">
        <f t="shared" si="5"/>
        <v>3.4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>
        <v>80</v>
      </c>
      <c r="B153" s="60">
        <v>275</v>
      </c>
      <c r="C153" s="50" t="s">
        <v>324</v>
      </c>
      <c r="D153" s="60">
        <v>275</v>
      </c>
      <c r="E153" s="54"/>
      <c r="F153" s="54"/>
      <c r="G153" s="54"/>
      <c r="H153" s="54"/>
      <c r="I153" s="57">
        <f t="shared" si="5"/>
        <v>2.8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>Aulne glutineux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>
        <v>10</v>
      </c>
      <c r="B166" s="60">
        <v>14</v>
      </c>
      <c r="C166" s="60">
        <v>1</v>
      </c>
      <c r="D166" s="60">
        <v>1</v>
      </c>
      <c r="E166" s="51"/>
      <c r="F166" s="51"/>
      <c r="G166" s="51"/>
      <c r="H166" s="51">
        <v>1</v>
      </c>
      <c r="I166" s="49">
        <f>IFERROR(B166/A166,"")</f>
        <v>1.4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>
        <v>15</v>
      </c>
      <c r="B167" s="60">
        <v>52</v>
      </c>
      <c r="C167" s="60">
        <v>2</v>
      </c>
      <c r="D167" s="60">
        <v>5</v>
      </c>
      <c r="E167" s="51"/>
      <c r="F167" s="51">
        <v>0.2</v>
      </c>
      <c r="G167" s="51">
        <v>0.4</v>
      </c>
      <c r="H167" s="51">
        <v>0.2</v>
      </c>
      <c r="I167" s="49">
        <f t="shared" ref="I167:I185" si="6">IF(A167&lt;&gt;0,(B167-(B166-D166))/(A167-A166),"")</f>
        <v>7.8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>
        <v>20</v>
      </c>
      <c r="B168" s="60">
        <v>117</v>
      </c>
      <c r="C168" s="60">
        <v>3</v>
      </c>
      <c r="D168" s="60">
        <v>12</v>
      </c>
      <c r="E168" s="51"/>
      <c r="F168" s="51">
        <v>0.4</v>
      </c>
      <c r="G168" s="51">
        <v>0.6</v>
      </c>
      <c r="H168" s="51"/>
      <c r="I168" s="49">
        <f t="shared" si="6"/>
        <v>14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>
        <v>25</v>
      </c>
      <c r="B169" s="60">
        <v>160</v>
      </c>
      <c r="C169" s="60">
        <v>4</v>
      </c>
      <c r="D169" s="60">
        <v>24</v>
      </c>
      <c r="E169" s="51">
        <v>0.3</v>
      </c>
      <c r="F169" s="51">
        <v>0.4</v>
      </c>
      <c r="G169" s="51">
        <v>0.3</v>
      </c>
      <c r="H169" s="51"/>
      <c r="I169" s="49">
        <f t="shared" si="6"/>
        <v>11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>
        <v>30</v>
      </c>
      <c r="B170" s="60">
        <v>186</v>
      </c>
      <c r="C170" s="60">
        <v>5</v>
      </c>
      <c r="D170" s="60">
        <v>26</v>
      </c>
      <c r="E170" s="51">
        <v>0.3</v>
      </c>
      <c r="F170" s="51">
        <v>0.4</v>
      </c>
      <c r="G170" s="51">
        <v>0.3</v>
      </c>
      <c r="H170" s="51"/>
      <c r="I170" s="49">
        <f t="shared" si="6"/>
        <v>10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>
        <v>35</v>
      </c>
      <c r="B171" s="60">
        <v>208</v>
      </c>
      <c r="C171" s="60">
        <v>6</v>
      </c>
      <c r="D171" s="60">
        <v>28</v>
      </c>
      <c r="E171" s="51"/>
      <c r="F171" s="51"/>
      <c r="G171" s="51"/>
      <c r="H171" s="51"/>
      <c r="I171" s="49">
        <f t="shared" si="6"/>
        <v>9.6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>
        <v>40</v>
      </c>
      <c r="B172" s="60">
        <v>224</v>
      </c>
      <c r="C172" s="60">
        <v>7</v>
      </c>
      <c r="D172" s="60">
        <v>28</v>
      </c>
      <c r="E172" s="51"/>
      <c r="F172" s="51"/>
      <c r="G172" s="51"/>
      <c r="H172" s="51"/>
      <c r="I172" s="49">
        <f t="shared" si="6"/>
        <v>8.8000000000000007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>
        <v>45</v>
      </c>
      <c r="B173" s="50">
        <v>237</v>
      </c>
      <c r="C173" s="50">
        <v>8</v>
      </c>
      <c r="D173" s="50">
        <v>28</v>
      </c>
      <c r="E173" s="51"/>
      <c r="F173" s="51"/>
      <c r="G173" s="51"/>
      <c r="H173" s="51"/>
      <c r="I173" s="49">
        <f t="shared" si="6"/>
        <v>8.1999999999999993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>
        <v>50</v>
      </c>
      <c r="B174" s="50">
        <v>246</v>
      </c>
      <c r="C174" s="50">
        <v>9</v>
      </c>
      <c r="D174" s="50">
        <v>27</v>
      </c>
      <c r="E174" s="51"/>
      <c r="F174" s="51"/>
      <c r="G174" s="51"/>
      <c r="H174" s="51"/>
      <c r="I174" s="49">
        <f t="shared" si="6"/>
        <v>7.4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>
        <v>55</v>
      </c>
      <c r="B175" s="50">
        <v>253</v>
      </c>
      <c r="C175" s="50">
        <v>10</v>
      </c>
      <c r="D175" s="50">
        <v>25</v>
      </c>
      <c r="E175" s="51"/>
      <c r="F175" s="51"/>
      <c r="G175" s="51"/>
      <c r="H175" s="51"/>
      <c r="I175" s="49">
        <f t="shared" si="6"/>
        <v>6.8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>
        <v>60</v>
      </c>
      <c r="B176" s="50">
        <v>260</v>
      </c>
      <c r="C176" s="50">
        <v>11</v>
      </c>
      <c r="D176" s="50">
        <v>24</v>
      </c>
      <c r="E176" s="51"/>
      <c r="F176" s="51"/>
      <c r="G176" s="51"/>
      <c r="H176" s="51"/>
      <c r="I176" s="49">
        <f t="shared" si="6"/>
        <v>6.4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>
        <v>65</v>
      </c>
      <c r="B177" s="50">
        <v>265</v>
      </c>
      <c r="C177" s="50">
        <v>12</v>
      </c>
      <c r="D177" s="50">
        <v>22</v>
      </c>
      <c r="E177" s="51"/>
      <c r="F177" s="51"/>
      <c r="G177" s="51"/>
      <c r="H177" s="51"/>
      <c r="I177" s="49">
        <f t="shared" si="6"/>
        <v>5.8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>
        <v>70</v>
      </c>
      <c r="B178" s="50">
        <v>270</v>
      </c>
      <c r="C178" s="50">
        <v>13</v>
      </c>
      <c r="D178" s="50">
        <v>21</v>
      </c>
      <c r="E178" s="51"/>
      <c r="F178" s="51"/>
      <c r="G178" s="51"/>
      <c r="H178" s="51"/>
      <c r="I178" s="49">
        <f t="shared" si="6"/>
        <v>5.4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>
        <v>75</v>
      </c>
      <c r="B179" s="50">
        <v>273</v>
      </c>
      <c r="C179" s="50">
        <v>14</v>
      </c>
      <c r="D179" s="50">
        <v>19</v>
      </c>
      <c r="E179" s="51"/>
      <c r="F179" s="51"/>
      <c r="G179" s="51"/>
      <c r="H179" s="51"/>
      <c r="I179" s="49">
        <f t="shared" si="6"/>
        <v>4.8</v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>
        <v>80</v>
      </c>
      <c r="B180" s="50">
        <v>277</v>
      </c>
      <c r="C180" s="50">
        <v>15</v>
      </c>
      <c r="D180" s="50">
        <v>18</v>
      </c>
      <c r="E180" s="51"/>
      <c r="F180" s="51"/>
      <c r="G180" s="51"/>
      <c r="H180" s="51"/>
      <c r="I180" s="49">
        <f t="shared" si="6"/>
        <v>4.5999999999999996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>
        <v>85</v>
      </c>
      <c r="B181" s="50">
        <v>280</v>
      </c>
      <c r="C181" s="50">
        <v>16</v>
      </c>
      <c r="D181" s="50">
        <v>16</v>
      </c>
      <c r="E181" s="51"/>
      <c r="F181" s="51"/>
      <c r="G181" s="51"/>
      <c r="H181" s="51"/>
      <c r="I181" s="49">
        <f t="shared" si="6"/>
        <v>4.2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>
        <v>90</v>
      </c>
      <c r="B182" s="50">
        <v>283</v>
      </c>
      <c r="C182" s="50">
        <v>17</v>
      </c>
      <c r="D182" s="50">
        <v>283</v>
      </c>
      <c r="E182" s="51"/>
      <c r="F182" s="51"/>
      <c r="G182" s="51"/>
      <c r="H182" s="51"/>
      <c r="I182" s="49">
        <f t="shared" si="6"/>
        <v>3.8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B26" sqref="B26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1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Cèdre de l'Atlas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Douglas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Chêne sessile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Chêne rouge d'Amérique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Erable sycomore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>Aulne glutineux</v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319.22903094674564</v>
      </c>
      <c r="T3" s="59">
        <f>IF('Données projet'!E9&gt;30,$R$33-$H$33,LOOKUP('Données projet'!$E$9,$A$3:$A$203,R3:R203)-LOOKUP('Données projet'!$E$9,$A$3:$A$203,$H$3:$H$203))</f>
        <v>254.58690973142848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544.48194192356823</v>
      </c>
      <c r="AO3" s="59">
        <f>IF('Données projet'!E10&gt;30,$AM$33-$H$33,LOOKUP('Données projet'!$E$10,$A$3:$A$203,AM3:AM203)-LOOKUP('Données projet'!$E$10,$A$3:$A$203,$H$3:$H$203))</f>
        <v>668.20427590250733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256.66666666666669</v>
      </c>
      <c r="BI3" s="59">
        <f ca="1">AVERAGE(OFFSET($BH$3,0,0,'Données projet'!$E$11+1,1))-AVERAGE(OFFSET($H$3,0,0,'Données projet'!$E$11+1,1))</f>
        <v>405.7176439604217</v>
      </c>
      <c r="BJ3" s="59">
        <f>IF('Données projet'!E11&gt;30,$BH$33-$H$33,LOOKUP('Données projet'!$E$11,$A$3:$A$203,BH3:BH203)-LOOKUP('Données projet'!$E$11,$A$3:$A$203,$H$3:$H$203))</f>
        <v>278.21741231699929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256.66666666666669</v>
      </c>
      <c r="CD3" s="59">
        <f ca="1">AVERAGE(OFFSET($CC$3,0,0,'Données projet'!$E$12+1,1))-AVERAGE(OFFSET($H$3,0,0,'Données projet'!$E$12+1,1))</f>
        <v>381.72225529388083</v>
      </c>
      <c r="CE3" s="59">
        <f>IF('Données projet'!E12&gt;30,$CC$33-$H$33,LOOKUP('Données projet'!$E$12,$A$3:$A$203,CC3:CC203)-LOOKUP('Données projet'!$E$12,$A$3:$A$203,$H$3:$H$203))</f>
        <v>360.05900046417361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256.66666666666669</v>
      </c>
      <c r="CY3" s="59">
        <f ca="1">AVERAGE(OFFSET($CX$3,0,0,'Données projet'!$E$13+1,1))-AVERAGE(OFFSET($H$3,0,0,'Données projet'!$E$13+1,1))</f>
        <v>299.10536994156814</v>
      </c>
      <c r="CZ3" s="59">
        <f>IF('Données projet'!E13&gt;30,$CX$33-$H$33,LOOKUP('Données projet'!$E$13,$A$3:$A$203,CX3:CX203)-LOOKUP('Données projet'!$E$13,$A$3:$A$203,$H$3:$H$203))</f>
        <v>292.57799203101769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256.66666666666669</v>
      </c>
      <c r="DT3" s="59">
        <f ca="1">AVERAGE(OFFSET($DS$3,0,0,'Données projet'!$E$14+1,1))-AVERAGE(OFFSET($H$3,0,0,'Données projet'!$E$14+1,1))</f>
        <v>295.92103934364718</v>
      </c>
      <c r="DU3" s="59">
        <f>IF('Données projet'!E14&gt;30,$DS$33-$H$33,LOOKUP('Données projet'!$E$14,$A$3:$A$203,DS3:DS203)-LOOKUP('Données projet'!$E$14,$A$3:$A$203,$H$3:$H$203))</f>
        <v>304.84379909635476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7.9</v>
      </c>
      <c r="N4" s="13">
        <f>IF('Données projet'!$A$36&gt;35,N3+M4-V3,IF(A4&lt;'Données projet'!$A$36,$K$205^A4,IF(A4='Données projet'!$A$36,'Données projet'!$B$36,N3+M4-V3)))</f>
        <v>1.2880503926580862</v>
      </c>
      <c r="O4" s="13">
        <f>N4*VLOOKUP('Données projet'!$B$9,Paramètres!$A$1:$I$89,3,0)*VLOOKUP('Données projet'!$B$9,Paramètres!$A$1:$I$89,5,0)</f>
        <v>0.60280758376398436</v>
      </c>
      <c r="P4" s="13">
        <f>EXP(-1.0587+0.8836*LN(O4)+0.284)</f>
        <v>0.29465781953181042</v>
      </c>
      <c r="Q4" s="20">
        <f t="shared" ref="Q4:Q34" si="2">(O4+P4)*0.475*44/12</f>
        <v>1.5630855774068424</v>
      </c>
      <c r="R4" s="59">
        <f t="shared" si="0"/>
        <v>259.45197446629572</v>
      </c>
      <c r="S4" s="59">
        <f ca="1">AVERAGE(OFFSET($R$3,0,0,'Données projet'!$E$9+1,1))-AVERAGE(OFFSET($H$3,0,0,'Données projet'!$E$9+1,1))</f>
        <v>319.22903094674564</v>
      </c>
      <c r="T4" s="59">
        <f>$T$3</f>
        <v>254.58690973142848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15.15</v>
      </c>
      <c r="AI4" s="13">
        <f>IF('Données projet'!$A$62&gt;35,AI3+AH4-AQ3,IF(A4&lt;'Données projet'!$A$62,$AF$205^A4,IF(A4='Données projet'!$A$62,'Données projet'!$B$62,AI3+AH4-AQ3)))</f>
        <v>1.3306754098332192</v>
      </c>
      <c r="AJ4" s="13">
        <f>AI4*VLOOKUP('Données projet'!$B$10,Paramètres!$A$1:$I$89,3,0)*VLOOKUP('Données projet'!$B$10,Paramètres!$A$1:$I$89,5,0)</f>
        <v>0.7438475540967695</v>
      </c>
      <c r="AK4" s="13">
        <f>EXP(-1.0587+0.8836*LN(AJ4)+0.284)</f>
        <v>0.35480952787935433</v>
      </c>
      <c r="AL4" s="20">
        <f t="shared" ref="AL4:AL67" si="4">(AJ4+AK4)*0.475*44/12</f>
        <v>1.9134944177750821</v>
      </c>
      <c r="AM4" s="59">
        <f t="shared" ref="AM4:AM67" si="5">AL4+(AD4+AE4)*44/12</f>
        <v>259.80238330666396</v>
      </c>
      <c r="AN4" s="59">
        <f ca="1">AVERAGE(OFFSET($AM$3,0,0,'Données projet'!$E$10+1,1))-AVERAGE(OFFSET($H$3,0,0,'Données projet'!$E$10+1,1))</f>
        <v>544.48194192356823</v>
      </c>
      <c r="AO4" s="59">
        <f>$AO$3</f>
        <v>668.20427590250733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3.65</v>
      </c>
      <c r="BD4" s="12">
        <f>IF('Données projet'!$A$88&gt;35,BD3+BC4-BL3,IF(A4&lt;'Données projet'!$A$88,$BA$205^A4,IF(A4='Données projet'!$A$88,'Données projet'!$B$88,BD3+BC4-BL3)))</f>
        <v>1.2392705892426346</v>
      </c>
      <c r="BE4" s="13">
        <f>BD4*VLOOKUP('Données projet'!$B$11,Paramètres!$A$1:$I$89,3,0)*VLOOKUP('Données projet'!$B$11,Paramètres!$A$1:$I$89,5,0)</f>
        <v>1.1212920291467359</v>
      </c>
      <c r="BF4" s="13">
        <f>EXP(-1.0587+0.8836*LN(BE4)+0.284)</f>
        <v>0.50989827066551541</v>
      </c>
      <c r="BG4" s="20">
        <f t="shared" ref="BG4:BG67" si="7">(BE4+BF4)*0.475*44/12</f>
        <v>2.8409897721730037</v>
      </c>
      <c r="BH4" s="59">
        <f t="shared" ref="BH4:BH67" si="8">BG4+(AY4+AZ4)*44/12</f>
        <v>260.72987866106189</v>
      </c>
      <c r="BI4" s="59">
        <f ca="1">AVERAGE(OFFSET($BH$3,0,0,'Données projet'!$E$11+1,1))-AVERAGE(OFFSET($H$3,0,0,'Données projet'!$E$11+1,1))</f>
        <v>405.7176439604217</v>
      </c>
      <c r="BJ4" s="59">
        <f>$BJ$3</f>
        <v>278.21741231699929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3.5</v>
      </c>
      <c r="BY4" s="12">
        <f>IF('Données projet'!$A$114&gt;35,BY3+BX4-CG3,IF(A4&lt;'Données projet'!$A$114,$BV$205^A4,IF(A4='Données projet'!$A$114,'Données projet'!$B$114,BY3+BX4-CG3)))</f>
        <v>1.4269435884576509</v>
      </c>
      <c r="BZ4" s="13">
        <f>BY4*VLOOKUP('Données projet'!$B$12,Paramètres!$A$1:$I$89,3,0)*VLOOKUP('Données projet'!$B$12,Paramètres!$A$1:$I$89,5,0)</f>
        <v>1.246577918876604</v>
      </c>
      <c r="CA4" s="13">
        <f>EXP(-1.0587+0.8836*LN(BZ4)+0.284)</f>
        <v>0.55992486380829476</v>
      </c>
      <c r="CB4" s="20">
        <f t="shared" ref="CB4:CB67" si="10">(BZ4+CA4)*0.475*44/12</f>
        <v>3.1463256798428652</v>
      </c>
      <c r="CC4" s="59">
        <f t="shared" ref="CC4:CC67" si="11">CB4+(BT4+BU4)*44/12</f>
        <v>261.0352145687317</v>
      </c>
      <c r="CD4" s="59">
        <f ca="1">AVERAGE(OFFSET($CC$3,0,0,'Données projet'!$E$12+1,1))-AVERAGE(OFFSET($H$3,0,0,'Données projet'!$E$12+1,1))</f>
        <v>381.72225529388083</v>
      </c>
      <c r="CE4" s="59">
        <f>$CE$3</f>
        <v>360.05900046417361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2.4666666666666668</v>
      </c>
      <c r="CT4" s="12">
        <f>IF('Données projet'!$A$140&gt;35,CT3+CS4-DB3,IF(A4&lt;'Données projet'!$A$140,$CQ$205^A4,IF(A4='Données projet'!$A$140,'Données projet'!$B$140,CT3+CS4-DB3)))</f>
        <v>1.2721747796233518</v>
      </c>
      <c r="CU4" s="17">
        <f>CT4*VLOOKUP('Données projet'!$B$13,Paramètres!$A$1:$I$89,3,0)*VLOOKUP('Données projet'!$B$13,Paramètres!$A$1:$I$89,5,0)</f>
        <v>1.0121422546683387</v>
      </c>
      <c r="CV4" s="13">
        <f>EXP(-1.0587+0.8836*LN(CU4)+0.284)</f>
        <v>0.46578286063395047</v>
      </c>
      <c r="CW4" s="20">
        <f t="shared" ref="CW4:CW67" si="13">(CU4+CV4)*0.475*44/12</f>
        <v>2.574052909151487</v>
      </c>
      <c r="CX4" s="59">
        <f t="shared" ref="CX4:CX67" si="14">CW4+(CO4+CP4)*44/12</f>
        <v>260.46294179804033</v>
      </c>
      <c r="CY4" s="59">
        <f ca="1">AVERAGE(OFFSET($CX$3,0,0,'Données projet'!$E$13+1,1))-AVERAGE(OFFSET($H$3,0,0,'Données projet'!$E$13+1,1))</f>
        <v>299.10536994156814</v>
      </c>
      <c r="CZ4" s="59">
        <f>$CZ$3</f>
        <v>292.57799203101769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1.4</v>
      </c>
      <c r="DO4" s="12">
        <f>IF('Données projet'!$A$166&gt;35,DO3+DN4-DW3,IF(A4&lt;'Données projet'!$A$166,$DL$205^A4,IF(A4='Données projet'!$A$166,'Données projet'!$B$166,DO3+DN4-DW3)))</f>
        <v>1.3020054543174677</v>
      </c>
      <c r="DP4" s="17">
        <f>DO4*VLOOKUP('Données projet'!$B$14,Paramètres!$A$1:$I$89,3,0)*VLOOKUP('Données projet'!$B$14,Paramètres!$A$1:$I$89,5,0)</f>
        <v>0.85307397366880489</v>
      </c>
      <c r="DQ4" s="13">
        <f>EXP(-1.0587+0.8836*LN(DP4)+0.284)</f>
        <v>0.40047176901361836</v>
      </c>
      <c r="DR4" s="20">
        <f t="shared" ref="DR4:DR67" si="16">(DP4+DQ4)*0.475*44/12</f>
        <v>2.1832588351718871</v>
      </c>
      <c r="DS4" s="59">
        <f t="shared" ref="DS4:DS67" si="17">DR4+(DJ4+DK4)*44/12</f>
        <v>260.07214772406076</v>
      </c>
      <c r="DT4" s="59">
        <f ca="1">AVERAGE(OFFSET($DS$3,0,0,'Données projet'!$E$14+1,1))-AVERAGE(OFFSET($H$3,0,0,'Données projet'!$E$14+1,1))</f>
        <v>295.92103934364718</v>
      </c>
      <c r="DU4" s="59">
        <f>$DU$3</f>
        <v>304.84379909635476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7.9</v>
      </c>
      <c r="N5" s="13">
        <f>IF('Données projet'!$A$36&gt;35,N4+M5-V4,IF(A5&lt;'Données projet'!$A$36,$K$205^A5,IF(A5='Données projet'!$A$36,'Données projet'!$B$36,N4+M5-V4)))</f>
        <v>1.6590738140266501</v>
      </c>
      <c r="O5" s="13">
        <f>N5*VLOOKUP('Données projet'!$B$9,Paramètres!$A$1:$I$89,3,0)*VLOOKUP('Données projet'!$B$9,Paramètres!$A$1:$I$89,5,0)</f>
        <v>0.77644654496447219</v>
      </c>
      <c r="P5" s="13">
        <f t="shared" ref="P5:P68" si="33">EXP(-1.0587+0.8836*LN(O5)+0.284)</f>
        <v>0.36851455096495994</v>
      </c>
      <c r="Q5" s="20">
        <f t="shared" si="2"/>
        <v>1.9941405754104276</v>
      </c>
      <c r="R5" s="59">
        <f t="shared" si="0"/>
        <v>261.10525168652157</v>
      </c>
      <c r="S5" s="59">
        <f ca="1">AVERAGE(OFFSET($R$3,0,0,'Données projet'!$E$9+1,1))-AVERAGE(OFFSET($H$3,0,0,'Données projet'!$E$9+1,1))</f>
        <v>319.22903094674564</v>
      </c>
      <c r="T5" s="59">
        <f t="shared" ref="T5:T68" si="34">$T$3</f>
        <v>254.58690973142848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15.15</v>
      </c>
      <c r="AI5" s="13">
        <f>IF('Données projet'!$A$62&gt;35,AI4+AH5-AQ4,IF(A5&lt;'Données projet'!$A$62,$AF$205^A5,IF(A5='Données projet'!$A$62,'Données projet'!$B$62,AI4+AH5-AQ4)))</f>
        <v>1.770697046334806</v>
      </c>
      <c r="AJ5" s="13">
        <f>AI5*VLOOKUP('Données projet'!$B$10,Paramètres!$A$1:$I$89,3,0)*VLOOKUP('Données projet'!$B$10,Paramètres!$A$1:$I$89,5,0)</f>
        <v>0.98981964890115659</v>
      </c>
      <c r="AK5" s="13">
        <f t="shared" ref="AK5:AK68" si="35">EXP(-1.0587+0.8836*LN(AJ5)+0.284)</f>
        <v>0.45669410836011554</v>
      </c>
      <c r="AL5" s="20">
        <f t="shared" si="4"/>
        <v>2.5193447938967153</v>
      </c>
      <c r="AM5" s="59">
        <f t="shared" si="5"/>
        <v>261.63045590500786</v>
      </c>
      <c r="AN5" s="59">
        <f ca="1">AVERAGE(OFFSET($AM$3,0,0,'Données projet'!$E$10+1,1))-AVERAGE(OFFSET($H$3,0,0,'Données projet'!$E$10+1,1))</f>
        <v>544.48194192356823</v>
      </c>
      <c r="AO5" s="59">
        <f t="shared" ref="AO5:AO68" si="36">$AO$3</f>
        <v>668.20427590250733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3.65</v>
      </c>
      <c r="BD5" s="12">
        <f>IF('Données projet'!$A$88&gt;35,BD4+BC5-BL4,IF(A5&lt;'Données projet'!$A$88,$BA$205^A5,IF(A5='Données projet'!$A$88,'Données projet'!$B$88,BD4+BC5-BL4)))</f>
        <v>1.5357915933617867</v>
      </c>
      <c r="BE5" s="13">
        <f>BD5*VLOOKUP('Données projet'!$B$11,Paramètres!$A$1:$I$89,3,0)*VLOOKUP('Données projet'!$B$11,Paramètres!$A$1:$I$89,5,0)</f>
        <v>1.3895842336737447</v>
      </c>
      <c r="BF5" s="13">
        <f t="shared" ref="BF5:BF68" si="37">EXP(-1.0587+0.8836*LN(BE5)+0.284)</f>
        <v>0.61631841327304715</v>
      </c>
      <c r="BG5" s="20">
        <f t="shared" si="7"/>
        <v>3.4936137767656628</v>
      </c>
      <c r="BH5" s="59">
        <f t="shared" si="8"/>
        <v>262.60472488787678</v>
      </c>
      <c r="BI5" s="59">
        <f ca="1">AVERAGE(OFFSET($BH$3,0,0,'Données projet'!$E$11+1,1))-AVERAGE(OFFSET($H$3,0,0,'Données projet'!$E$11+1,1))</f>
        <v>405.7176439604217</v>
      </c>
      <c r="BJ5" s="59">
        <f t="shared" ref="BJ5:BJ68" si="38">$BJ$3</f>
        <v>278.21741231699929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3.5</v>
      </c>
      <c r="BY5" s="12">
        <f>IF('Données projet'!$A$114&gt;35,BY4+BX5-CG4,IF(A5&lt;'Données projet'!$A$114,$BV$205^A5,IF(A5='Données projet'!$A$114,'Données projet'!$B$114,BY4+BX5-CG4)))</f>
        <v>2.0361680046403978</v>
      </c>
      <c r="BZ5" s="13">
        <f>BY5*VLOOKUP('Données projet'!$B$12,Paramètres!$A$1:$I$89,3,0)*VLOOKUP('Données projet'!$B$12,Paramètres!$A$1:$I$89,5,0)</f>
        <v>1.7787963688538517</v>
      </c>
      <c r="CA5" s="13">
        <f t="shared" ref="CA5:CA68" si="39">EXP(-1.0587+0.8836*LN(BZ5)+0.284)</f>
        <v>0.76659080447596062</v>
      </c>
      <c r="CB5" s="20">
        <f t="shared" si="10"/>
        <v>4.4332159935494238</v>
      </c>
      <c r="CC5" s="59">
        <f t="shared" si="11"/>
        <v>263.54432710466057</v>
      </c>
      <c r="CD5" s="59">
        <f ca="1">AVERAGE(OFFSET($CC$3,0,0,'Données projet'!$E$12+1,1))-AVERAGE(OFFSET($H$3,0,0,'Données projet'!$E$12+1,1))</f>
        <v>381.72225529388083</v>
      </c>
      <c r="CE5" s="59">
        <f t="shared" ref="CE5:CE68" si="40">$CE$3</f>
        <v>360.05900046417361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2.4666666666666668</v>
      </c>
      <c r="CT5" s="12">
        <f>IF('Données projet'!$A$140&gt;35,CT4+CS5-DB4,IF(A5&lt;'Données projet'!$A$140,$CQ$205^A5,IF(A5='Données projet'!$A$140,'Données projet'!$B$140,CT4+CS5-DB4)))</f>
        <v>1.6184286699097237</v>
      </c>
      <c r="CU5" s="17">
        <f>CT5*VLOOKUP('Données projet'!$B$13,Paramètres!$A$1:$I$89,3,0)*VLOOKUP('Données projet'!$B$13,Paramètres!$A$1:$I$89,5,0)</f>
        <v>1.2876218497801761</v>
      </c>
      <c r="CV5" s="13">
        <f t="shared" ref="CV5:CV68" si="41">EXP(-1.0587+0.8836*LN(CU5)+0.284)</f>
        <v>0.57618379541883336</v>
      </c>
      <c r="CW5" s="20">
        <f t="shared" si="13"/>
        <v>3.2461281653882743</v>
      </c>
      <c r="CX5" s="59">
        <f t="shared" si="14"/>
        <v>262.3572392764994</v>
      </c>
      <c r="CY5" s="59">
        <f ca="1">AVERAGE(OFFSET($CX$3,0,0,'Données projet'!$E$13+1,1))-AVERAGE(OFFSET($H$3,0,0,'Données projet'!$E$13+1,1))</f>
        <v>299.10536994156814</v>
      </c>
      <c r="CZ5" s="59">
        <f t="shared" ref="CZ5:CZ68" si="42">$CZ$3</f>
        <v>292.57799203101769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1.4</v>
      </c>
      <c r="DO5" s="12">
        <f>IF('Données projet'!$A$166&gt;35,DO4+DN5-DW4,IF(A5&lt;'Données projet'!$A$166,$DL$205^A5,IF(A5='Données projet'!$A$166,'Données projet'!$B$166,DO4+DN5-DW4)))</f>
        <v>1.6952182030724354</v>
      </c>
      <c r="DP5" s="17">
        <f>DO5*VLOOKUP('Données projet'!$B$14,Paramètres!$A$1:$I$89,3,0)*VLOOKUP('Données projet'!$B$14,Paramètres!$A$1:$I$89,5,0)</f>
        <v>1.1107069666530596</v>
      </c>
      <c r="DQ5" s="13">
        <f t="shared" ref="DQ5:DQ68" si="43">EXP(-1.0587+0.8836*LN(DP5)+0.284)</f>
        <v>0.50564274395751485</v>
      </c>
      <c r="DR5" s="20">
        <f t="shared" si="16"/>
        <v>2.8151424126467504</v>
      </c>
      <c r="DS5" s="59">
        <f t="shared" si="17"/>
        <v>261.92625352375791</v>
      </c>
      <c r="DT5" s="59">
        <f ca="1">AVERAGE(OFFSET($DS$3,0,0,'Données projet'!$E$14+1,1))-AVERAGE(OFFSET($H$3,0,0,'Données projet'!$E$14+1,1))</f>
        <v>295.92103934364718</v>
      </c>
      <c r="DU5" s="59">
        <f t="shared" ref="DU5:DU68" si="44">$DU$3</f>
        <v>304.84379909635476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7.9</v>
      </c>
      <c r="N6" s="13">
        <f>IF('Données projet'!$A$36&gt;35,N5+M6-V5,IF(A6&lt;'Données projet'!$A$36,$K$205^A6,IF(A6='Données projet'!$A$36,'Données projet'!$B$36,N5+M6-V5)))</f>
        <v>2.1369706776057753</v>
      </c>
      <c r="O6" s="13">
        <f>N6*VLOOKUP('Données projet'!$B$9,Paramètres!$A$1:$I$89,3,0)*VLOOKUP('Données projet'!$B$9,Paramètres!$A$1:$I$89,5,0)</f>
        <v>1.0001022771195029</v>
      </c>
      <c r="P6" s="13">
        <f t="shared" si="33"/>
        <v>0.46088365986243646</v>
      </c>
      <c r="Q6" s="20">
        <f t="shared" si="2"/>
        <v>2.5445505069102112</v>
      </c>
      <c r="R6" s="59">
        <f t="shared" si="0"/>
        <v>262.8778838402435</v>
      </c>
      <c r="S6" s="59">
        <f ca="1">AVERAGE(OFFSET($R$3,0,0,'Données projet'!$E$9+1,1))-AVERAGE(OFFSET($H$3,0,0,'Données projet'!$E$9+1,1))</f>
        <v>319.22903094674564</v>
      </c>
      <c r="T6" s="59">
        <f t="shared" si="34"/>
        <v>254.58690973142848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15.15</v>
      </c>
      <c r="AI6" s="13">
        <f>IF('Données projet'!$A$62&gt;35,AI5+AH6-AQ5,IF(A6&lt;'Données projet'!$A$62,$AF$205^A6,IF(A6='Données projet'!$A$62,'Données projet'!$B$62,AI5+AH6-AQ5)))</f>
        <v>2.3562230178220385</v>
      </c>
      <c r="AJ6" s="13">
        <f>AI6*VLOOKUP('Données projet'!$B$10,Paramètres!$A$1:$I$89,3,0)*VLOOKUP('Données projet'!$B$10,Paramètres!$A$1:$I$89,5,0)</f>
        <v>1.3171286669625197</v>
      </c>
      <c r="AK6" s="13">
        <f t="shared" si="35"/>
        <v>0.58783514032847717</v>
      </c>
      <c r="AL6" s="20">
        <f t="shared" si="4"/>
        <v>3.3178119643651525</v>
      </c>
      <c r="AM6" s="59">
        <f t="shared" si="5"/>
        <v>263.65114529769846</v>
      </c>
      <c r="AN6" s="59">
        <f ca="1">AVERAGE(OFFSET($AM$3,0,0,'Données projet'!$E$10+1,1))-AVERAGE(OFFSET($H$3,0,0,'Données projet'!$E$10+1,1))</f>
        <v>544.48194192356823</v>
      </c>
      <c r="AO6" s="59">
        <f t="shared" si="36"/>
        <v>668.20427590250733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3.65</v>
      </c>
      <c r="BD6" s="12">
        <f>IF('Données projet'!$A$88&gt;35,BD5+BC6-BL5,IF(A6&lt;'Données projet'!$A$88,$BA$205^A6,IF(A6='Données projet'!$A$88,'Données projet'!$B$88,BD5+BC6-BL5)))</f>
        <v>1.9032613528593461</v>
      </c>
      <c r="BE6" s="13">
        <f>BD6*VLOOKUP('Données projet'!$B$11,Paramètres!$A$1:$I$89,3,0)*VLOOKUP('Données projet'!$B$11,Paramètres!$A$1:$I$89,5,0)</f>
        <v>1.7220708720671365</v>
      </c>
      <c r="BF6" s="13">
        <f t="shared" si="37"/>
        <v>0.74494935243383209</v>
      </c>
      <c r="BG6" s="20">
        <f t="shared" si="7"/>
        <v>4.2967268910058536</v>
      </c>
      <c r="BH6" s="59">
        <f t="shared" si="8"/>
        <v>264.63006022433916</v>
      </c>
      <c r="BI6" s="59">
        <f ca="1">AVERAGE(OFFSET($BH$3,0,0,'Données projet'!$E$11+1,1))-AVERAGE(OFFSET($H$3,0,0,'Données projet'!$E$11+1,1))</f>
        <v>405.7176439604217</v>
      </c>
      <c r="BJ6" s="59">
        <f t="shared" si="38"/>
        <v>278.21741231699929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3.5</v>
      </c>
      <c r="BY6" s="12">
        <f>IF('Données projet'!$A$114&gt;35,BY5+BX6-CG5,IF(A6&lt;'Données projet'!$A$114,$BV$205^A6,IF(A6='Données projet'!$A$114,'Données projet'!$B$114,BY5+BX6-CG5)))</f>
        <v>2.905496879244224</v>
      </c>
      <c r="BZ6" s="13">
        <f>BY6*VLOOKUP('Données projet'!$B$12,Paramètres!$A$1:$I$89,3,0)*VLOOKUP('Données projet'!$B$12,Paramètres!$A$1:$I$89,5,0)</f>
        <v>2.5382420737077545</v>
      </c>
      <c r="CA6" s="13">
        <f t="shared" si="39"/>
        <v>1.049536285118966</v>
      </c>
      <c r="CB6" s="20">
        <f t="shared" si="10"/>
        <v>6.2487139749565381</v>
      </c>
      <c r="CC6" s="59">
        <f t="shared" si="11"/>
        <v>266.58204730828987</v>
      </c>
      <c r="CD6" s="59">
        <f ca="1">AVERAGE(OFFSET($CC$3,0,0,'Données projet'!$E$12+1,1))-AVERAGE(OFFSET($H$3,0,0,'Données projet'!$E$12+1,1))</f>
        <v>381.72225529388083</v>
      </c>
      <c r="CE6" s="59">
        <f t="shared" si="40"/>
        <v>360.05900046417361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2.4666666666666668</v>
      </c>
      <c r="CT6" s="12">
        <f>IF('Données projet'!$A$140&gt;35,CT5+CS6-DB5,IF(A6&lt;'Données projet'!$A$140,$CQ$205^A6,IF(A6='Données projet'!$A$140,'Données projet'!$B$140,CT5+CS6-DB5)))</f>
        <v>2.0589241364785171</v>
      </c>
      <c r="CU6" s="17">
        <f>CT6*VLOOKUP('Données projet'!$B$13,Paramètres!$A$1:$I$89,3,0)*VLOOKUP('Données projet'!$B$13,Paramètres!$A$1:$I$89,5,0)</f>
        <v>1.6380800429823084</v>
      </c>
      <c r="CV6" s="13">
        <f t="shared" si="41"/>
        <v>0.71275221602487127</v>
      </c>
      <c r="CW6" s="20">
        <f t="shared" si="13"/>
        <v>4.0943661844375043</v>
      </c>
      <c r="CX6" s="59">
        <f t="shared" si="14"/>
        <v>264.4276995177708</v>
      </c>
      <c r="CY6" s="59">
        <f ca="1">AVERAGE(OFFSET($CX$3,0,0,'Données projet'!$E$13+1,1))-AVERAGE(OFFSET($H$3,0,0,'Données projet'!$E$13+1,1))</f>
        <v>299.10536994156814</v>
      </c>
      <c r="CZ6" s="59">
        <f t="shared" si="42"/>
        <v>292.57799203101769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1.4</v>
      </c>
      <c r="DO6" s="12">
        <f>IF('Données projet'!$A$166&gt;35,DO5+DN6-DW5,IF(A6&lt;'Données projet'!$A$166,$DL$205^A6,IF(A6='Données projet'!$A$166,'Données projet'!$B$166,DO5+DN6-DW5)))</f>
        <v>2.2071833466585677</v>
      </c>
      <c r="DP6" s="17">
        <f>DO6*VLOOKUP('Données projet'!$B$14,Paramètres!$A$1:$I$89,3,0)*VLOOKUP('Données projet'!$B$14,Paramètres!$A$1:$I$89,5,0)</f>
        <v>1.4461465287306936</v>
      </c>
      <c r="DQ6" s="13">
        <f t="shared" si="43"/>
        <v>0.63843347846122611</v>
      </c>
      <c r="DR6" s="20">
        <f t="shared" si="16"/>
        <v>3.6306435125259271</v>
      </c>
      <c r="DS6" s="59">
        <f t="shared" si="17"/>
        <v>263.96397684585924</v>
      </c>
      <c r="DT6" s="59">
        <f ca="1">AVERAGE(OFFSET($DS$3,0,0,'Données projet'!$E$14+1,1))-AVERAGE(OFFSET($H$3,0,0,'Données projet'!$E$14+1,1))</f>
        <v>295.92103934364718</v>
      </c>
      <c r="DU6" s="59">
        <f t="shared" si="44"/>
        <v>304.84379909635476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7.9</v>
      </c>
      <c r="N7" s="13">
        <f>IF('Données projet'!$A$36&gt;35,N6+M7-V6,IF(A7&lt;'Données projet'!$A$36,$K$205^A7,IF(A7='Données projet'!$A$36,'Données projet'!$B$36,N6+M7-V6)))</f>
        <v>2.7525259203889356</v>
      </c>
      <c r="O7" s="13">
        <f>N7*VLOOKUP('Données projet'!$B$9,Paramètres!$A$1:$I$89,3,0)*VLOOKUP('Données projet'!$B$9,Paramètres!$A$1:$I$89,5,0)</f>
        <v>1.2881821307420218</v>
      </c>
      <c r="P7" s="13">
        <f t="shared" si="33"/>
        <v>0.57640532069082717</v>
      </c>
      <c r="Q7" s="20">
        <f t="shared" si="2"/>
        <v>3.2474898112455457</v>
      </c>
      <c r="R7" s="59">
        <f t="shared" si="0"/>
        <v>264.80304536680109</v>
      </c>
      <c r="S7" s="59">
        <f ca="1">AVERAGE(OFFSET($R$3,0,0,'Données projet'!$E$9+1,1))-AVERAGE(OFFSET($H$3,0,0,'Données projet'!$E$9+1,1))</f>
        <v>319.22903094674564</v>
      </c>
      <c r="T7" s="59">
        <f t="shared" si="34"/>
        <v>254.58690973142848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15.15</v>
      </c>
      <c r="AI7" s="13">
        <f>IF('Données projet'!$A$62&gt;35,AI6+AH7-AQ6,IF(A7&lt;'Données projet'!$A$62,$AF$205^A7,IF(A7='Données projet'!$A$62,'Données projet'!$B$62,AI6+AH7-AQ6)))</f>
        <v>3.1353680298988058</v>
      </c>
      <c r="AJ7" s="13">
        <f>AI7*VLOOKUP('Données projet'!$B$10,Paramètres!$A$1:$I$89,3,0)*VLOOKUP('Données projet'!$B$10,Paramètres!$A$1:$I$89,5,0)</f>
        <v>1.7526707287134324</v>
      </c>
      <c r="AK7" s="13">
        <f t="shared" si="35"/>
        <v>0.7566336983102151</v>
      </c>
      <c r="AL7" s="20">
        <f t="shared" si="4"/>
        <v>4.3703718770661864</v>
      </c>
      <c r="AM7" s="59">
        <f t="shared" si="5"/>
        <v>265.92592743262173</v>
      </c>
      <c r="AN7" s="59">
        <f ca="1">AVERAGE(OFFSET($AM$3,0,0,'Données projet'!$E$10+1,1))-AVERAGE(OFFSET($H$3,0,0,'Données projet'!$E$10+1,1))</f>
        <v>544.48194192356823</v>
      </c>
      <c r="AO7" s="59">
        <f t="shared" si="36"/>
        <v>668.20427590250733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3.65</v>
      </c>
      <c r="BD7" s="12">
        <f>IF('Données projet'!$A$88&gt;35,BD6+BC7-BL6,IF(A7&lt;'Données projet'!$A$88,$BA$205^A7,IF(A7='Données projet'!$A$88,'Données projet'!$B$88,BD6+BC7-BL6)))</f>
        <v>2.3586558182407358</v>
      </c>
      <c r="BE7" s="13">
        <f>BD7*VLOOKUP('Données projet'!$B$11,Paramètres!$A$1:$I$89,3,0)*VLOOKUP('Données projet'!$B$11,Paramètres!$A$1:$I$89,5,0)</f>
        <v>2.1341117843442179</v>
      </c>
      <c r="BF7" s="13">
        <f t="shared" si="37"/>
        <v>0.90042667189585779</v>
      </c>
      <c r="BG7" s="20">
        <f t="shared" si="7"/>
        <v>5.2851544779514645</v>
      </c>
      <c r="BH7" s="59">
        <f t="shared" si="8"/>
        <v>266.84071003350698</v>
      </c>
      <c r="BI7" s="59">
        <f ca="1">AVERAGE(OFFSET($BH$3,0,0,'Données projet'!$E$11+1,1))-AVERAGE(OFFSET($H$3,0,0,'Données projet'!$E$11+1,1))</f>
        <v>405.7176439604217</v>
      </c>
      <c r="BJ7" s="59">
        <f t="shared" si="38"/>
        <v>278.21741231699929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3.5</v>
      </c>
      <c r="BY7" s="12">
        <f>IF('Données projet'!$A$114&gt;35,BY6+BX7-CG6,IF(A7&lt;'Données projet'!$A$114,$BV$205^A7,IF(A7='Données projet'!$A$114,'Données projet'!$B$114,BY6+BX7-CG6)))</f>
        <v>4.1459801431212595</v>
      </c>
      <c r="BZ7" s="13">
        <f>BY7*VLOOKUP('Données projet'!$B$12,Paramètres!$A$1:$I$89,3,0)*VLOOKUP('Données projet'!$B$12,Paramètres!$A$1:$I$89,5,0)</f>
        <v>3.6219282530307328</v>
      </c>
      <c r="CA7" s="13">
        <f t="shared" si="39"/>
        <v>1.4369157669903438</v>
      </c>
      <c r="CB7" s="20">
        <f t="shared" si="10"/>
        <v>8.8108200015367082</v>
      </c>
      <c r="CC7" s="59">
        <f t="shared" si="11"/>
        <v>270.36637555709223</v>
      </c>
      <c r="CD7" s="59">
        <f ca="1">AVERAGE(OFFSET($CC$3,0,0,'Données projet'!$E$12+1,1))-AVERAGE(OFFSET($H$3,0,0,'Données projet'!$E$12+1,1))</f>
        <v>381.72225529388083</v>
      </c>
      <c r="CE7" s="59">
        <f t="shared" si="40"/>
        <v>360.05900046417361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2.4666666666666668</v>
      </c>
      <c r="CT7" s="12">
        <f>IF('Données projet'!$A$140&gt;35,CT6+CS7-DB6,IF(A7&lt;'Données projet'!$A$140,$CQ$205^A7,IF(A7='Données projet'!$A$140,'Données projet'!$B$140,CT6+CS7-DB6)))</f>
        <v>2.6193113595857573</v>
      </c>
      <c r="CU7" s="17">
        <f>CT7*VLOOKUP('Données projet'!$B$13,Paramètres!$A$1:$I$89,3,0)*VLOOKUP('Données projet'!$B$13,Paramètres!$A$1:$I$89,5,0)</f>
        <v>2.0839241176864287</v>
      </c>
      <c r="CV7" s="13">
        <f t="shared" si="41"/>
        <v>0.88169040068036508</v>
      </c>
      <c r="CW7" s="20">
        <f t="shared" si="13"/>
        <v>5.1651119528221656</v>
      </c>
      <c r="CX7" s="59">
        <f t="shared" si="14"/>
        <v>266.72066750837769</v>
      </c>
      <c r="CY7" s="59">
        <f ca="1">AVERAGE(OFFSET($CX$3,0,0,'Données projet'!$E$13+1,1))-AVERAGE(OFFSET($H$3,0,0,'Données projet'!$E$13+1,1))</f>
        <v>299.10536994156814</v>
      </c>
      <c r="CZ7" s="59">
        <f t="shared" si="42"/>
        <v>292.57799203101769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1.4</v>
      </c>
      <c r="DO7" s="12">
        <f>IF('Données projet'!$A$166&gt;35,DO6+DN7-DW6,IF(A7&lt;'Données projet'!$A$166,$DL$205^A7,IF(A7='Données projet'!$A$166,'Données projet'!$B$166,DO6+DN7-DW6)))</f>
        <v>2.873764756028137</v>
      </c>
      <c r="DP7" s="17">
        <f>DO7*VLOOKUP('Données projet'!$B$14,Paramètres!$A$1:$I$89,3,0)*VLOOKUP('Données projet'!$B$14,Paramètres!$A$1:$I$89,5,0)</f>
        <v>1.8828906681496353</v>
      </c>
      <c r="DQ7" s="13">
        <f t="shared" si="43"/>
        <v>0.80609741025839377</v>
      </c>
      <c r="DR7" s="20">
        <f t="shared" si="16"/>
        <v>4.6833209032273171</v>
      </c>
      <c r="DS7" s="59">
        <f t="shared" si="17"/>
        <v>266.23887645878284</v>
      </c>
      <c r="DT7" s="59">
        <f ca="1">AVERAGE(OFFSET($DS$3,0,0,'Données projet'!$E$14+1,1))-AVERAGE(OFFSET($H$3,0,0,'Données projet'!$E$14+1,1))</f>
        <v>295.92103934364718</v>
      </c>
      <c r="DU7" s="59">
        <f t="shared" si="44"/>
        <v>304.84379909635476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7.9</v>
      </c>
      <c r="N8" s="13">
        <f>IF('Données projet'!$A$36&gt;35,N7+M8-V7,IF(A8&lt;'Données projet'!$A$36,$K$205^A8,IF(A8='Données projet'!$A$36,'Données projet'!$B$36,N7+M8-V7)))</f>
        <v>3.5453920925585285</v>
      </c>
      <c r="O8" s="13">
        <f>N8*VLOOKUP('Données projet'!$B$9,Paramètres!$A$1:$I$89,3,0)*VLOOKUP('Données projet'!$B$9,Paramètres!$A$1:$I$89,5,0)</f>
        <v>1.6592434993173915</v>
      </c>
      <c r="P8" s="13">
        <f t="shared" si="33"/>
        <v>0.72088277944126433</v>
      </c>
      <c r="Q8" s="20">
        <f t="shared" si="2"/>
        <v>4.1453866021713255</v>
      </c>
      <c r="R8" s="59">
        <f t="shared" si="0"/>
        <v>266.92316437994907</v>
      </c>
      <c r="S8" s="59">
        <f ca="1">AVERAGE(OFFSET($R$3,0,0,'Données projet'!$E$9+1,1))-AVERAGE(OFFSET($H$3,0,0,'Données projet'!$E$9+1,1))</f>
        <v>319.22903094674564</v>
      </c>
      <c r="T8" s="59">
        <f t="shared" si="34"/>
        <v>254.58690973142848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15.15</v>
      </c>
      <c r="AI8" s="13">
        <f>IF('Données projet'!$A$62&gt;35,AI7+AH8-AQ7,IF(A8&lt;'Données projet'!$A$62,$AF$205^A8,IF(A8='Données projet'!$A$62,'Données projet'!$B$62,AI7+AH8-AQ7)))</f>
        <v>4.1721571381635663</v>
      </c>
      <c r="AJ8" s="13">
        <f>AI8*VLOOKUP('Données projet'!$B$10,Paramètres!$A$1:$I$89,3,0)*VLOOKUP('Données projet'!$B$10,Paramètres!$A$1:$I$89,5,0)</f>
        <v>2.3322358402334333</v>
      </c>
      <c r="AK8" s="13">
        <f t="shared" si="35"/>
        <v>0.97390324964017738</v>
      </c>
      <c r="AL8" s="20">
        <f t="shared" si="4"/>
        <v>5.7581922481965391</v>
      </c>
      <c r="AM8" s="59">
        <f t="shared" si="5"/>
        <v>268.53597002597434</v>
      </c>
      <c r="AN8" s="59">
        <f ca="1">AVERAGE(OFFSET($AM$3,0,0,'Données projet'!$E$10+1,1))-AVERAGE(OFFSET($H$3,0,0,'Données projet'!$E$10+1,1))</f>
        <v>544.48194192356823</v>
      </c>
      <c r="AO8" s="59">
        <f t="shared" si="36"/>
        <v>668.20427590250733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3.65</v>
      </c>
      <c r="BD8" s="12">
        <f>IF('Données projet'!$A$88&gt;35,BD7+BC8-BL7,IF(A8&lt;'Données projet'!$A$88,$BA$205^A8,IF(A8='Données projet'!$A$88,'Données projet'!$B$88,BD7+BC8-BL7)))</f>
        <v>2.9230127856917649</v>
      </c>
      <c r="BE8" s="13">
        <f>BD8*VLOOKUP('Données projet'!$B$11,Paramètres!$A$1:$I$89,3,0)*VLOOKUP('Données projet'!$B$11,Paramètres!$A$1:$I$89,5,0)</f>
        <v>2.6447419684939089</v>
      </c>
      <c r="BF8" s="13">
        <f t="shared" si="37"/>
        <v>1.0883534414958294</v>
      </c>
      <c r="BG8" s="20">
        <f t="shared" si="7"/>
        <v>6.5018078390654601</v>
      </c>
      <c r="BH8" s="59">
        <f t="shared" si="8"/>
        <v>269.27958561684324</v>
      </c>
      <c r="BI8" s="59">
        <f ca="1">AVERAGE(OFFSET($BH$3,0,0,'Données projet'!$E$11+1,1))-AVERAGE(OFFSET($H$3,0,0,'Données projet'!$E$11+1,1))</f>
        <v>405.7176439604217</v>
      </c>
      <c r="BJ8" s="59">
        <f t="shared" si="38"/>
        <v>278.21741231699929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3.5</v>
      </c>
      <c r="BY8" s="12">
        <f>IF('Données projet'!$A$114&gt;35,BY7+BX8-CG7,IF(A8&lt;'Données projet'!$A$114,$BV$205^A8,IF(A8='Données projet'!$A$114,'Données projet'!$B$114,BY7+BX8-CG7)))</f>
        <v>5.9160797830996152</v>
      </c>
      <c r="BZ8" s="13">
        <f>BY8*VLOOKUP('Données projet'!$B$12,Paramètres!$A$1:$I$89,3,0)*VLOOKUP('Données projet'!$B$12,Paramètres!$A$1:$I$89,5,0)</f>
        <v>5.1682872985158239</v>
      </c>
      <c r="CA8" s="13">
        <f t="shared" si="39"/>
        <v>1.967275406006004</v>
      </c>
      <c r="CB8" s="20">
        <f t="shared" si="10"/>
        <v>12.427771710375517</v>
      </c>
      <c r="CC8" s="59">
        <f t="shared" si="11"/>
        <v>275.20554948815328</v>
      </c>
      <c r="CD8" s="59">
        <f ca="1">AVERAGE(OFFSET($CC$3,0,0,'Données projet'!$E$12+1,1))-AVERAGE(OFFSET($H$3,0,0,'Données projet'!$E$12+1,1))</f>
        <v>381.72225529388083</v>
      </c>
      <c r="CE8" s="59">
        <f t="shared" si="40"/>
        <v>360.05900046417361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2.4666666666666668</v>
      </c>
      <c r="CT8" s="12">
        <f>IF('Données projet'!$A$140&gt;35,CT7+CS8-DB7,IF(A8&lt;'Données projet'!$A$140,$CQ$205^A8,IF(A8='Données projet'!$A$140,'Données projet'!$B$140,CT7+CS8-DB7)))</f>
        <v>3.332221851645953</v>
      </c>
      <c r="CU8" s="17">
        <f>CT8*VLOOKUP('Données projet'!$B$13,Paramètres!$A$1:$I$89,3,0)*VLOOKUP('Données projet'!$B$13,Paramètres!$A$1:$I$89,5,0)</f>
        <v>2.6511157051695204</v>
      </c>
      <c r="CV8" s="13">
        <f t="shared" si="41"/>
        <v>1.0906707059957799</v>
      </c>
      <c r="CW8" s="20">
        <f t="shared" si="13"/>
        <v>6.5169446661128978</v>
      </c>
      <c r="CX8" s="59">
        <f t="shared" si="14"/>
        <v>269.29472244389069</v>
      </c>
      <c r="CY8" s="59">
        <f ca="1">AVERAGE(OFFSET($CX$3,0,0,'Données projet'!$E$13+1,1))-AVERAGE(OFFSET($H$3,0,0,'Données projet'!$E$13+1,1))</f>
        <v>299.10536994156814</v>
      </c>
      <c r="CZ8" s="59">
        <f t="shared" si="42"/>
        <v>292.57799203101769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1.4</v>
      </c>
      <c r="DO8" s="12">
        <f>IF('Données projet'!$A$166&gt;35,DO7+DN8-DW7,IF(A8&lt;'Données projet'!$A$166,$DL$205^A8,IF(A8='Données projet'!$A$166,'Données projet'!$B$166,DO7+DN8-DW7)))</f>
        <v>3.7416573867739413</v>
      </c>
      <c r="DP8" s="17">
        <f>DO8*VLOOKUP('Données projet'!$B$14,Paramètres!$A$1:$I$89,3,0)*VLOOKUP('Données projet'!$B$14,Paramètres!$A$1:$I$89,5,0)</f>
        <v>2.4515339198142865</v>
      </c>
      <c r="DQ8" s="13">
        <f t="shared" si="43"/>
        <v>1.0177928582182787</v>
      </c>
      <c r="DR8" s="20">
        <f t="shared" si="16"/>
        <v>6.0424108050733842</v>
      </c>
      <c r="DS8" s="59">
        <f t="shared" si="17"/>
        <v>268.82018858285113</v>
      </c>
      <c r="DT8" s="59">
        <f ca="1">AVERAGE(OFFSET($DS$3,0,0,'Données projet'!$E$14+1,1))-AVERAGE(OFFSET($H$3,0,0,'Données projet'!$E$14+1,1))</f>
        <v>295.92103934364718</v>
      </c>
      <c r="DU8" s="59">
        <f t="shared" si="44"/>
        <v>304.84379909635476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7.9</v>
      </c>
      <c r="N9" s="13">
        <f>IF('Données projet'!$A$36&gt;35,N8+M9-V8,IF(A9&lt;'Données projet'!$A$36,$K$205^A9,IF(A9='Données projet'!$A$36,'Données projet'!$B$36,N8+M9-V8)))</f>
        <v>4.566643676946887</v>
      </c>
      <c r="O9" s="13">
        <f>N9*VLOOKUP('Données projet'!$B$9,Paramètres!$A$1:$I$89,3,0)*VLOOKUP('Données projet'!$B$9,Paramètres!$A$1:$I$89,5,0)</f>
        <v>2.1371892408111433</v>
      </c>
      <c r="P9" s="13">
        <f t="shared" si="33"/>
        <v>0.9015738804633705</v>
      </c>
      <c r="Q9" s="20">
        <f t="shared" si="2"/>
        <v>5.292512436219778</v>
      </c>
      <c r="R9" s="59">
        <f t="shared" si="0"/>
        <v>269.29251243621979</v>
      </c>
      <c r="S9" s="59">
        <f ca="1">AVERAGE(OFFSET($R$3,0,0,'Données projet'!$E$9+1,1))-AVERAGE(OFFSET($H$3,0,0,'Données projet'!$E$9+1,1))</f>
        <v>319.22903094674564</v>
      </c>
      <c r="T9" s="59">
        <f t="shared" si="34"/>
        <v>254.58690973142848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15.15</v>
      </c>
      <c r="AI9" s="13">
        <f>IF('Données projet'!$A$62&gt;35,AI8+AH9-AQ8,IF(A9&lt;'Données projet'!$A$62,$AF$205^A9,IF(A9='Données projet'!$A$62,'Données projet'!$B$62,AI8+AH9-AQ8)))</f>
        <v>5.5517869097143953</v>
      </c>
      <c r="AJ9" s="13">
        <f>AI9*VLOOKUP('Données projet'!$B$10,Paramètres!$A$1:$I$89,3,0)*VLOOKUP('Données projet'!$B$10,Paramètres!$A$1:$I$89,5,0)</f>
        <v>3.1034488825303472</v>
      </c>
      <c r="AK9" s="13">
        <f t="shared" si="35"/>
        <v>1.2535623800234499</v>
      </c>
      <c r="AL9" s="20">
        <f t="shared" si="4"/>
        <v>7.5884612822811972</v>
      </c>
      <c r="AM9" s="59">
        <f t="shared" si="5"/>
        <v>271.58846128228117</v>
      </c>
      <c r="AN9" s="59">
        <f ca="1">AVERAGE(OFFSET($AM$3,0,0,'Données projet'!$E$10+1,1))-AVERAGE(OFFSET($H$3,0,0,'Données projet'!$E$10+1,1))</f>
        <v>544.48194192356823</v>
      </c>
      <c r="AO9" s="59">
        <f t="shared" si="36"/>
        <v>668.20427590250733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3.65</v>
      </c>
      <c r="BD9" s="12">
        <f>IF('Données projet'!$A$88&gt;35,BD8+BC9-BL8,IF(A9&lt;'Données projet'!$A$88,$BA$205^A9,IF(A9='Données projet'!$A$88,'Données projet'!$B$88,BD8+BC9-BL8)))</f>
        <v>3.6224037772879885</v>
      </c>
      <c r="BE9" s="13">
        <f>BD9*VLOOKUP('Données projet'!$B$11,Paramètres!$A$1:$I$89,3,0)*VLOOKUP('Données projet'!$B$11,Paramètres!$A$1:$I$89,5,0)</f>
        <v>3.2775509376901719</v>
      </c>
      <c r="BF9" s="13">
        <f t="shared" si="37"/>
        <v>1.315502139804245</v>
      </c>
      <c r="BG9" s="20">
        <f t="shared" si="7"/>
        <v>7.9995674433027766</v>
      </c>
      <c r="BH9" s="59">
        <f t="shared" si="8"/>
        <v>271.99956744330279</v>
      </c>
      <c r="BI9" s="59">
        <f ca="1">AVERAGE(OFFSET($BH$3,0,0,'Données projet'!$E$11+1,1))-AVERAGE(OFFSET($H$3,0,0,'Données projet'!$E$11+1,1))</f>
        <v>405.7176439604217</v>
      </c>
      <c r="BJ9" s="59">
        <f t="shared" si="38"/>
        <v>278.21741231699929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3.5</v>
      </c>
      <c r="BY9" s="12">
        <f>IF('Données projet'!$A$114&gt;35,BY8+BX9-CG8,IF(A9&lt;'Données projet'!$A$114,$BV$205^A9,IF(A9='Données projet'!$A$114,'Données projet'!$B$114,BY8+BX9-CG8)))</f>
        <v>8.4419121152979262</v>
      </c>
      <c r="BZ9" s="13">
        <f>BY9*VLOOKUP('Données projet'!$B$12,Paramètres!$A$1:$I$89,3,0)*VLOOKUP('Données projet'!$B$12,Paramètres!$A$1:$I$89,5,0)</f>
        <v>7.3748544239242699</v>
      </c>
      <c r="CA9" s="13">
        <f t="shared" si="39"/>
        <v>2.6933885840659002</v>
      </c>
      <c r="CB9" s="20">
        <f t="shared" si="10"/>
        <v>17.535523238916209</v>
      </c>
      <c r="CC9" s="59">
        <f t="shared" si="11"/>
        <v>281.5355232389162</v>
      </c>
      <c r="CD9" s="59">
        <f ca="1">AVERAGE(OFFSET($CC$3,0,0,'Données projet'!$E$12+1,1))-AVERAGE(OFFSET($H$3,0,0,'Données projet'!$E$12+1,1))</f>
        <v>381.72225529388083</v>
      </c>
      <c r="CE9" s="59">
        <f t="shared" si="40"/>
        <v>360.05900046417361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2.4666666666666668</v>
      </c>
      <c r="CT9" s="12">
        <f>IF('Données projet'!$A$140&gt;35,CT8+CS9-DB8,IF(A9&lt;'Données projet'!$A$140,$CQ$205^A9,IF(A9='Données projet'!$A$140,'Données projet'!$B$140,CT8+CS9-DB8)))</f>
        <v>4.2391685997738069</v>
      </c>
      <c r="CU9" s="17">
        <f>CT9*VLOOKUP('Données projet'!$B$13,Paramètres!$A$1:$I$89,3,0)*VLOOKUP('Données projet'!$B$13,Paramètres!$A$1:$I$89,5,0)</f>
        <v>3.3726825379800407</v>
      </c>
      <c r="CV9" s="13">
        <f t="shared" si="41"/>
        <v>1.3491840083541735</v>
      </c>
      <c r="CW9" s="20">
        <f t="shared" si="13"/>
        <v>8.2239175681987557</v>
      </c>
      <c r="CX9" s="59">
        <f t="shared" si="14"/>
        <v>272.22391756819877</v>
      </c>
      <c r="CY9" s="59">
        <f ca="1">AVERAGE(OFFSET($CX$3,0,0,'Données projet'!$E$13+1,1))-AVERAGE(OFFSET($H$3,0,0,'Données projet'!$E$13+1,1))</f>
        <v>299.10536994156814</v>
      </c>
      <c r="CZ9" s="59">
        <f t="shared" si="42"/>
        <v>292.57799203101769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1.4</v>
      </c>
      <c r="DO9" s="12">
        <f>IF('Données projet'!$A$166&gt;35,DO8+DN9-DW8,IF(A9&lt;'Données projet'!$A$166,$DL$205^A9,IF(A9='Données projet'!$A$166,'Données projet'!$B$166,DO8+DN9-DW8)))</f>
        <v>4.8716583257669139</v>
      </c>
      <c r="DP9" s="17">
        <f>DO9*VLOOKUP('Données projet'!$B$14,Paramètres!$A$1:$I$89,3,0)*VLOOKUP('Données projet'!$B$14,Paramètres!$A$1:$I$89,5,0)</f>
        <v>3.1919105350424819</v>
      </c>
      <c r="DQ9" s="13">
        <f t="shared" si="43"/>
        <v>1.2850832778486103</v>
      </c>
      <c r="DR9" s="20">
        <f t="shared" si="16"/>
        <v>7.7974308907853205</v>
      </c>
      <c r="DS9" s="59">
        <f t="shared" si="17"/>
        <v>271.79743089078534</v>
      </c>
      <c r="DT9" s="59">
        <f ca="1">AVERAGE(OFFSET($DS$3,0,0,'Données projet'!$E$14+1,1))-AVERAGE(OFFSET($H$3,0,0,'Données projet'!$E$14+1,1))</f>
        <v>295.92103934364718</v>
      </c>
      <c r="DU9" s="59">
        <f t="shared" si="44"/>
        <v>304.84379909635476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7.9</v>
      </c>
      <c r="N10" s="13">
        <f>IF('Données projet'!$A$36&gt;35,N9+M10-V9,IF(A10&lt;'Données projet'!$A$36,$K$205^A10,IF(A10='Données projet'!$A$36,'Données projet'!$B$36,N9+M10-V9)))</f>
        <v>5.8820671812210037</v>
      </c>
      <c r="O10" s="13">
        <f>N10*VLOOKUP('Données projet'!$B$9,Paramètres!$A$1:$I$89,3,0)*VLOOKUP('Données projet'!$B$9,Paramètres!$A$1:$I$89,5,0)</f>
        <v>2.7528074408114294</v>
      </c>
      <c r="P10" s="13">
        <f t="shared" si="33"/>
        <v>1.1275556652411438</v>
      </c>
      <c r="Q10" s="20">
        <f t="shared" si="2"/>
        <v>6.7582990763748976</v>
      </c>
      <c r="R10" s="59">
        <f t="shared" si="0"/>
        <v>271.98052129859713</v>
      </c>
      <c r="S10" s="59">
        <f ca="1">AVERAGE(OFFSET($R$3,0,0,'Données projet'!$E$9+1,1))-AVERAGE(OFFSET($H$3,0,0,'Données projet'!$E$9+1,1))</f>
        <v>319.22903094674564</v>
      </c>
      <c r="T10" s="59">
        <f t="shared" si="34"/>
        <v>254.58690973142848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15.15</v>
      </c>
      <c r="AI10" s="13">
        <f>IF('Données projet'!$A$62&gt;35,AI9+AH10-AQ9,IF(A10&lt;'Données projet'!$A$62,$AF$205^A10,IF(A10='Données projet'!$A$62,'Données projet'!$B$62,AI9+AH10-AQ9)))</f>
        <v>7.3876263213909033</v>
      </c>
      <c r="AJ10" s="13">
        <f>AI10*VLOOKUP('Données projet'!$B$10,Paramètres!$A$1:$I$89,3,0)*VLOOKUP('Données projet'!$B$10,Paramètres!$A$1:$I$89,5,0)</f>
        <v>4.1296831136575154</v>
      </c>
      <c r="AK10" s="13">
        <f t="shared" si="35"/>
        <v>1.6135264372417262</v>
      </c>
      <c r="AL10" s="20">
        <f t="shared" si="4"/>
        <v>10.002756634482845</v>
      </c>
      <c r="AM10" s="59">
        <f t="shared" si="5"/>
        <v>275.22497885670509</v>
      </c>
      <c r="AN10" s="59">
        <f ca="1">AVERAGE(OFFSET($AM$3,0,0,'Données projet'!$E$10+1,1))-AVERAGE(OFFSET($H$3,0,0,'Données projet'!$E$10+1,1))</f>
        <v>544.48194192356823</v>
      </c>
      <c r="AO10" s="59">
        <f t="shared" si="36"/>
        <v>668.20427590250733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3.65</v>
      </c>
      <c r="BD10" s="12">
        <f>IF('Données projet'!$A$88&gt;35,BD9+BC10-BL9,IF(A10&lt;'Données projet'!$A$88,$BA$205^A10,IF(A10='Données projet'!$A$88,'Données projet'!$B$88,BD9+BC10-BL9)))</f>
        <v>4.4891384635544309</v>
      </c>
      <c r="BE10" s="13">
        <f>BD10*VLOOKUP('Données projet'!$B$11,Paramètres!$A$1:$I$89,3,0)*VLOOKUP('Données projet'!$B$11,Paramètres!$A$1:$I$89,5,0)</f>
        <v>4.0617724818240486</v>
      </c>
      <c r="BF10" s="13">
        <f t="shared" si="37"/>
        <v>1.590058719758437</v>
      </c>
      <c r="BG10" s="20">
        <f t="shared" si="7"/>
        <v>9.8436060094228282</v>
      </c>
      <c r="BH10" s="59">
        <f t="shared" si="8"/>
        <v>275.06582823164507</v>
      </c>
      <c r="BI10" s="59">
        <f ca="1">AVERAGE(OFFSET($BH$3,0,0,'Données projet'!$E$11+1,1))-AVERAGE(OFFSET($H$3,0,0,'Données projet'!$E$11+1,1))</f>
        <v>405.7176439604217</v>
      </c>
      <c r="BJ10" s="59">
        <f t="shared" si="38"/>
        <v>278.21741231699929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3.5</v>
      </c>
      <c r="BY10" s="12">
        <f>IF('Données projet'!$A$114&gt;35,BY9+BX10-CG9,IF(A10&lt;'Données projet'!$A$114,$BV$205^A10,IF(A10='Données projet'!$A$114,'Données projet'!$B$114,BY9+BX10-CG9)))</f>
        <v>12.04613236724734</v>
      </c>
      <c r="BZ10" s="13">
        <f>BY10*VLOOKUP('Données projet'!$B$12,Paramètres!$A$1:$I$89,3,0)*VLOOKUP('Données projet'!$B$12,Paramètres!$A$1:$I$89,5,0)</f>
        <v>10.523501236027279</v>
      </c>
      <c r="CA10" s="13">
        <f t="shared" si="39"/>
        <v>3.6875071190486755</v>
      </c>
      <c r="CB10" s="20">
        <f t="shared" si="10"/>
        <v>24.750839551757284</v>
      </c>
      <c r="CC10" s="59">
        <f t="shared" si="11"/>
        <v>289.97306177397951</v>
      </c>
      <c r="CD10" s="59">
        <f ca="1">AVERAGE(OFFSET($CC$3,0,0,'Données projet'!$E$12+1,1))-AVERAGE(OFFSET($H$3,0,0,'Données projet'!$E$12+1,1))</f>
        <v>381.72225529388083</v>
      </c>
      <c r="CE10" s="59">
        <f t="shared" si="40"/>
        <v>360.05900046417361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2.4666666666666668</v>
      </c>
      <c r="CT10" s="12">
        <f>IF('Données projet'!$A$140&gt;35,CT9+CS10-DB9,IF(A10&lt;'Données projet'!$A$140,$CQ$205^A10,IF(A10='Données projet'!$A$140,'Données projet'!$B$140,CT9+CS10-DB9)))</f>
        <v>5.3929633792034757</v>
      </c>
      <c r="CU10" s="17">
        <f>CT10*VLOOKUP('Données projet'!$B$13,Paramètres!$A$1:$I$89,3,0)*VLOOKUP('Données projet'!$B$13,Paramètres!$A$1:$I$89,5,0)</f>
        <v>4.2906416644942853</v>
      </c>
      <c r="CV10" s="13">
        <f t="shared" si="41"/>
        <v>1.6689707336887791</v>
      </c>
      <c r="CW10" s="20">
        <f t="shared" si="13"/>
        <v>10.379658260168837</v>
      </c>
      <c r="CX10" s="59">
        <f t="shared" si="14"/>
        <v>275.60188048239104</v>
      </c>
      <c r="CY10" s="59">
        <f ca="1">AVERAGE(OFFSET($CX$3,0,0,'Données projet'!$E$13+1,1))-AVERAGE(OFFSET($H$3,0,0,'Données projet'!$E$13+1,1))</f>
        <v>299.10536994156814</v>
      </c>
      <c r="CZ10" s="59">
        <f t="shared" si="42"/>
        <v>292.57799203101769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1.4</v>
      </c>
      <c r="DO10" s="12">
        <f>IF('Données projet'!$A$166&gt;35,DO9+DN10-DW9,IF(A10&lt;'Données projet'!$A$166,$DL$205^A10,IF(A10='Données projet'!$A$166,'Données projet'!$B$166,DO9+DN10-DW9)))</f>
        <v>6.3429257117196256</v>
      </c>
      <c r="DP10" s="17">
        <f>DO10*VLOOKUP('Données projet'!$B$14,Paramètres!$A$1:$I$89,3,0)*VLOOKUP('Données projet'!$B$14,Paramètres!$A$1:$I$89,5,0)</f>
        <v>4.1558849263186985</v>
      </c>
      <c r="DQ10" s="13">
        <f t="shared" si="43"/>
        <v>1.6225688927480735</v>
      </c>
      <c r="DR10" s="20">
        <f t="shared" si="16"/>
        <v>10.064140401541296</v>
      </c>
      <c r="DS10" s="59">
        <f t="shared" si="17"/>
        <v>275.28636262376352</v>
      </c>
      <c r="DT10" s="59">
        <f ca="1">AVERAGE(OFFSET($DS$3,0,0,'Données projet'!$E$14+1,1))-AVERAGE(OFFSET($H$3,0,0,'Données projet'!$E$14+1,1))</f>
        <v>295.92103934364718</v>
      </c>
      <c r="DU10" s="59">
        <f t="shared" si="44"/>
        <v>304.84379909635476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7.9</v>
      </c>
      <c r="N11" s="13">
        <f>IF('Données projet'!$A$36&gt;35,N10+M11-V10,IF(A11&lt;'Données projet'!$A$36,$K$205^A11,IF(A11='Données projet'!$A$36,'Données projet'!$B$36,N10+M11-V10)))</f>
        <v>7.5763989424129567</v>
      </c>
      <c r="O11" s="13">
        <f>N11*VLOOKUP('Données projet'!$B$9,Paramètres!$A$1:$I$89,3,0)*VLOOKUP('Données projet'!$B$9,Paramètres!$A$1:$I$89,5,0)</f>
        <v>3.5457547050492639</v>
      </c>
      <c r="P11" s="13">
        <f t="shared" si="33"/>
        <v>1.4101803587787649</v>
      </c>
      <c r="Q11" s="20">
        <f t="shared" si="2"/>
        <v>8.631586902833817</v>
      </c>
      <c r="R11" s="59">
        <f t="shared" si="0"/>
        <v>275.07603134727827</v>
      </c>
      <c r="S11" s="59">
        <f ca="1">AVERAGE(OFFSET($R$3,0,0,'Données projet'!$E$9+1,1))-AVERAGE(OFFSET($H$3,0,0,'Données projet'!$E$9+1,1))</f>
        <v>319.22903094674564</v>
      </c>
      <c r="T11" s="59">
        <f t="shared" si="34"/>
        <v>254.58690973142848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15.15</v>
      </c>
      <c r="AI11" s="13">
        <f>IF('Données projet'!$A$62&gt;35,AI10+AH11-AQ10,IF(A11&lt;'Données projet'!$A$62,$AF$205^A11,IF(A11='Données projet'!$A$62,'Données projet'!$B$62,AI10+AH11-AQ10)))</f>
        <v>9.8305326829115192</v>
      </c>
      <c r="AJ11" s="13">
        <f>AI11*VLOOKUP('Données projet'!$B$10,Paramètres!$A$1:$I$89,3,0)*VLOOKUP('Données projet'!$B$10,Paramètres!$A$1:$I$89,5,0)</f>
        <v>5.4952677697475387</v>
      </c>
      <c r="AK11" s="13">
        <f t="shared" si="35"/>
        <v>2.0768552129246873</v>
      </c>
      <c r="AL11" s="20">
        <f t="shared" si="4"/>
        <v>13.188114194820793</v>
      </c>
      <c r="AM11" s="59">
        <f t="shared" si="5"/>
        <v>279.63255863926526</v>
      </c>
      <c r="AN11" s="59">
        <f ca="1">AVERAGE(OFFSET($AM$3,0,0,'Données projet'!$E$10+1,1))-AVERAGE(OFFSET($H$3,0,0,'Données projet'!$E$10+1,1))</f>
        <v>544.48194192356823</v>
      </c>
      <c r="AO11" s="59">
        <f t="shared" si="36"/>
        <v>668.20427590250733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3.65</v>
      </c>
      <c r="BD11" s="12">
        <f>IF('Données projet'!$A$88&gt;35,BD10+BC11-BL10,IF(A11&lt;'Données projet'!$A$88,$BA$205^A11,IF(A11='Données projet'!$A$88,'Données projet'!$B$88,BD10+BC11-BL10)))</f>
        <v>5.563257268920875</v>
      </c>
      <c r="BE11" s="13">
        <f>BD11*VLOOKUP('Données projet'!$B$11,Paramètres!$A$1:$I$89,3,0)*VLOOKUP('Données projet'!$B$11,Paramètres!$A$1:$I$89,5,0)</f>
        <v>5.0336351769196082</v>
      </c>
      <c r="BF11" s="13">
        <f t="shared" si="37"/>
        <v>1.9219176128866391</v>
      </c>
      <c r="BG11" s="20">
        <f t="shared" si="7"/>
        <v>12.11425444224588</v>
      </c>
      <c r="BH11" s="59">
        <f t="shared" si="8"/>
        <v>278.55869888669031</v>
      </c>
      <c r="BI11" s="59">
        <f ca="1">AVERAGE(OFFSET($BH$3,0,0,'Données projet'!$E$11+1,1))-AVERAGE(OFFSET($H$3,0,0,'Données projet'!$E$11+1,1))</f>
        <v>405.7176439604217</v>
      </c>
      <c r="BJ11" s="59">
        <f t="shared" si="38"/>
        <v>278.21741231699929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3.5</v>
      </c>
      <c r="BY11" s="12">
        <f>IF('Données projet'!$A$114&gt;35,BY10+BX11-CG10,IF(A11&lt;'Données projet'!$A$114,$BV$205^A11,IF(A11='Données projet'!$A$114,'Données projet'!$B$114,BY10+BX11-CG10)))</f>
        <v>17.189151347155779</v>
      </c>
      <c r="BZ11" s="13">
        <f>BY11*VLOOKUP('Données projet'!$B$12,Paramètres!$A$1:$I$89,3,0)*VLOOKUP('Données projet'!$B$12,Paramètres!$A$1:$I$89,5,0)</f>
        <v>15.01644261687529</v>
      </c>
      <c r="CA11" s="13">
        <f t="shared" si="39"/>
        <v>5.0485506745958499</v>
      </c>
      <c r="CB11" s="20">
        <f t="shared" si="10"/>
        <v>34.946529982645565</v>
      </c>
      <c r="CC11" s="59">
        <f t="shared" si="11"/>
        <v>301.39097442709004</v>
      </c>
      <c r="CD11" s="59">
        <f ca="1">AVERAGE(OFFSET($CC$3,0,0,'Données projet'!$E$12+1,1))-AVERAGE(OFFSET($H$3,0,0,'Données projet'!$E$12+1,1))</f>
        <v>381.72225529388083</v>
      </c>
      <c r="CE11" s="59">
        <f t="shared" si="40"/>
        <v>360.05900046417361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2.4666666666666668</v>
      </c>
      <c r="CT11" s="12">
        <f>IF('Données projet'!$A$140&gt;35,CT10+CS11-DB10,IF(A11&lt;'Données projet'!$A$140,$CQ$205^A11,IF(A11='Données projet'!$A$140,'Données projet'!$B$140,CT10+CS11-DB10)))</f>
        <v>6.8607919984549888</v>
      </c>
      <c r="CU11" s="17">
        <f>CT11*VLOOKUP('Données projet'!$B$13,Paramètres!$A$1:$I$89,3,0)*VLOOKUP('Données projet'!$B$13,Paramètres!$A$1:$I$89,5,0)</f>
        <v>5.4584461139707896</v>
      </c>
      <c r="CV11" s="13">
        <f t="shared" si="41"/>
        <v>2.0645540509389519</v>
      </c>
      <c r="CW11" s="20">
        <f t="shared" si="13"/>
        <v>13.102558620551131</v>
      </c>
      <c r="CX11" s="59">
        <f t="shared" si="14"/>
        <v>279.54700306499558</v>
      </c>
      <c r="CY11" s="59">
        <f ca="1">AVERAGE(OFFSET($CX$3,0,0,'Données projet'!$E$13+1,1))-AVERAGE(OFFSET($H$3,0,0,'Données projet'!$E$13+1,1))</f>
        <v>299.10536994156814</v>
      </c>
      <c r="CZ11" s="59">
        <f t="shared" si="42"/>
        <v>292.57799203101769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1.4</v>
      </c>
      <c r="DO11" s="12">
        <f>IF('Données projet'!$A$166&gt;35,DO10+DN11-DW10,IF(A11&lt;'Données projet'!$A$166,$DL$205^A11,IF(A11='Données projet'!$A$166,'Données projet'!$B$166,DO10+DN11-DW10)))</f>
        <v>8.258523872989457</v>
      </c>
      <c r="DP11" s="17">
        <f>DO11*VLOOKUP('Données projet'!$B$14,Paramètres!$A$1:$I$89,3,0)*VLOOKUP('Données projet'!$B$14,Paramètres!$A$1:$I$89,5,0)</f>
        <v>5.4109848415826924</v>
      </c>
      <c r="DQ11" s="13">
        <f t="shared" si="43"/>
        <v>2.0486842036581692</v>
      </c>
      <c r="DR11" s="20">
        <f t="shared" si="16"/>
        <v>12.992256920461166</v>
      </c>
      <c r="DS11" s="59">
        <f t="shared" si="17"/>
        <v>279.43670136490562</v>
      </c>
      <c r="DT11" s="59">
        <f ca="1">AVERAGE(OFFSET($DS$3,0,0,'Données projet'!$E$14+1,1))-AVERAGE(OFFSET($H$3,0,0,'Données projet'!$E$14+1,1))</f>
        <v>295.92103934364718</v>
      </c>
      <c r="DU11" s="59">
        <f t="shared" si="44"/>
        <v>304.84379909635476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7.9</v>
      </c>
      <c r="N12" s="13">
        <f>IF('Données projet'!$A$36&gt;35,N11+M12-V11,IF(A12&lt;'Données projet'!$A$36,$K$205^A12,IF(A12='Données projet'!$A$36,'Données projet'!$B$36,N11+M12-V11)))</f>
        <v>9.7587836327093171</v>
      </c>
      <c r="O12" s="13">
        <f>N12*VLOOKUP('Données projet'!$B$9,Paramètres!$A$1:$I$89,3,0)*VLOOKUP('Données projet'!$B$9,Paramètres!$A$1:$I$89,5,0)</f>
        <v>4.5671107401079603</v>
      </c>
      <c r="P12" s="13">
        <f t="shared" si="33"/>
        <v>1.763645650133036</v>
      </c>
      <c r="Q12" s="20">
        <f t="shared" si="2"/>
        <v>11.026067379669733</v>
      </c>
      <c r="R12" s="59">
        <f t="shared" si="0"/>
        <v>278.6927340463364</v>
      </c>
      <c r="S12" s="59">
        <f ca="1">AVERAGE(OFFSET($R$3,0,0,'Données projet'!$E$9+1,1))-AVERAGE(OFFSET($H$3,0,0,'Données projet'!$E$9+1,1))</f>
        <v>319.22903094674564</v>
      </c>
      <c r="T12" s="59">
        <f t="shared" si="34"/>
        <v>254.58690973142848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15.15</v>
      </c>
      <c r="AI12" s="13">
        <f>IF('Données projet'!$A$62&gt;35,AI11+AH12-AQ11,IF(A12&lt;'Données projet'!$A$62,$AF$205^A12,IF(A12='Données projet'!$A$62,'Données projet'!$B$62,AI11+AH12-AQ11)))</f>
        <v>13.081248106712142</v>
      </c>
      <c r="AJ12" s="13">
        <f>AI12*VLOOKUP('Données projet'!$B$10,Paramètres!$A$1:$I$89,3,0)*VLOOKUP('Données projet'!$B$10,Paramètres!$A$1:$I$89,5,0)</f>
        <v>7.3124176916520867</v>
      </c>
      <c r="AK12" s="13">
        <f t="shared" si="35"/>
        <v>2.6732301844560715</v>
      </c>
      <c r="AL12" s="20">
        <f t="shared" si="4"/>
        <v>17.391670050888376</v>
      </c>
      <c r="AM12" s="59">
        <f t="shared" si="5"/>
        <v>285.05833671755505</v>
      </c>
      <c r="AN12" s="59">
        <f ca="1">AVERAGE(OFFSET($AM$3,0,0,'Données projet'!$E$10+1,1))-AVERAGE(OFFSET($H$3,0,0,'Données projet'!$E$10+1,1))</f>
        <v>544.48194192356823</v>
      </c>
      <c r="AO12" s="59">
        <f t="shared" si="36"/>
        <v>668.20427590250733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3.65</v>
      </c>
      <c r="BD12" s="12">
        <f>IF('Données projet'!$A$88&gt;35,BD11+BC12-BL11,IF(A12&lt;'Données projet'!$A$88,$BA$205^A12,IF(A12='Données projet'!$A$88,'Données projet'!$B$88,BD11+BC12-BL11)))</f>
        <v>6.8943811137639424</v>
      </c>
      <c r="BE12" s="13">
        <f>BD12*VLOOKUP('Données projet'!$B$11,Paramètres!$A$1:$I$89,3,0)*VLOOKUP('Données projet'!$B$11,Paramètres!$A$1:$I$89,5,0)</f>
        <v>6.2380360317336141</v>
      </c>
      <c r="BF12" s="13">
        <f t="shared" si="37"/>
        <v>2.3230383034439352</v>
      </c>
      <c r="BG12" s="20">
        <f t="shared" si="7"/>
        <v>14.910537800434229</v>
      </c>
      <c r="BH12" s="59">
        <f t="shared" si="8"/>
        <v>282.5772044671009</v>
      </c>
      <c r="BI12" s="59">
        <f ca="1">AVERAGE(OFFSET($BH$3,0,0,'Données projet'!$E$11+1,1))-AVERAGE(OFFSET($H$3,0,0,'Données projet'!$E$11+1,1))</f>
        <v>405.7176439604217</v>
      </c>
      <c r="BJ12" s="59">
        <f t="shared" si="38"/>
        <v>278.21741231699929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3.5</v>
      </c>
      <c r="BY12" s="12">
        <f>IF('Données projet'!$A$114&gt;35,BY11+BX12-CG11,IF(A12&lt;'Données projet'!$A$114,$BV$205^A12,IF(A12='Données projet'!$A$114,'Données projet'!$B$114,BY11+BX12-CG11)))</f>
        <v>24.527949305852133</v>
      </c>
      <c r="BZ12" s="13">
        <f>BY12*VLOOKUP('Données projet'!$B$12,Paramètres!$A$1:$I$89,3,0)*VLOOKUP('Données projet'!$B$12,Paramètres!$A$1:$I$89,5,0)</f>
        <v>21.427616513592426</v>
      </c>
      <c r="CA12" s="13">
        <f t="shared" si="39"/>
        <v>6.9119497511743733</v>
      </c>
      <c r="CB12" s="20">
        <f t="shared" si="10"/>
        <v>49.358077911135503</v>
      </c>
      <c r="CC12" s="59">
        <f t="shared" si="11"/>
        <v>317.02474457780221</v>
      </c>
      <c r="CD12" s="59">
        <f ca="1">AVERAGE(OFFSET($CC$3,0,0,'Données projet'!$E$12+1,1))-AVERAGE(OFFSET($H$3,0,0,'Données projet'!$E$12+1,1))</f>
        <v>381.72225529388083</v>
      </c>
      <c r="CE12" s="59">
        <f t="shared" si="40"/>
        <v>360.05900046417361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2.4666666666666668</v>
      </c>
      <c r="CT12" s="12">
        <f>IF('Données projet'!$A$140&gt;35,CT11+CS12-DB11,IF(A12&lt;'Données projet'!$A$140,$CQ$205^A12,IF(A12='Données projet'!$A$140,'Données projet'!$B$140,CT11+CS12-DB11)))</f>
        <v>8.7281265486761299</v>
      </c>
      <c r="CU12" s="17">
        <f>CT12*VLOOKUP('Données projet'!$B$13,Paramètres!$A$1:$I$89,3,0)*VLOOKUP('Données projet'!$B$13,Paramètres!$A$1:$I$89,5,0)</f>
        <v>6.9440974821267289</v>
      </c>
      <c r="CV12" s="13">
        <f t="shared" si="41"/>
        <v>2.5538994442566798</v>
      </c>
      <c r="CW12" s="20">
        <f t="shared" si="13"/>
        <v>16.542344646784436</v>
      </c>
      <c r="CX12" s="59">
        <f t="shared" si="14"/>
        <v>284.20901131345113</v>
      </c>
      <c r="CY12" s="59">
        <f ca="1">AVERAGE(OFFSET($CX$3,0,0,'Données projet'!$E$13+1,1))-AVERAGE(OFFSET($H$3,0,0,'Données projet'!$E$13+1,1))</f>
        <v>299.10536994156814</v>
      </c>
      <c r="CZ12" s="59">
        <f t="shared" si="42"/>
        <v>292.57799203101769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1.4</v>
      </c>
      <c r="DO12" s="12">
        <f>IF('Données projet'!$A$166&gt;35,DO11+DN12-DW11,IF(A12&lt;'Données projet'!$A$166,$DL$205^A12,IF(A12='Données projet'!$A$166,'Données projet'!$B$166,DO11+DN12-DW11)))</f>
        <v>10.752643127243291</v>
      </c>
      <c r="DP12" s="17">
        <f>DO12*VLOOKUP('Données projet'!$B$14,Paramètres!$A$1:$I$89,3,0)*VLOOKUP('Données projet'!$B$14,Paramètres!$A$1:$I$89,5,0)</f>
        <v>7.0451317769698045</v>
      </c>
      <c r="DQ12" s="13">
        <f t="shared" si="43"/>
        <v>2.5867049375081068</v>
      </c>
      <c r="DR12" s="20">
        <f t="shared" si="16"/>
        <v>16.775448944382362</v>
      </c>
      <c r="DS12" s="59">
        <f t="shared" si="17"/>
        <v>284.44211561104908</v>
      </c>
      <c r="DT12" s="59">
        <f ca="1">AVERAGE(OFFSET($DS$3,0,0,'Données projet'!$E$14+1,1))-AVERAGE(OFFSET($H$3,0,0,'Données projet'!$E$14+1,1))</f>
        <v>295.92103934364718</v>
      </c>
      <c r="DU12" s="59">
        <f t="shared" si="44"/>
        <v>304.84379909635476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7.9</v>
      </c>
      <c r="N13" s="13">
        <f>IF('Données projet'!$A$36&gt;35,N12+M13-V12,IF(A13&lt;'Données projet'!$A$36,$K$205^A13,IF(A13='Données projet'!$A$36,'Données projet'!$B$36,N12+M13-V12)))</f>
        <v>12.569805089976542</v>
      </c>
      <c r="O13" s="13">
        <f>N13*VLOOKUP('Données projet'!$B$9,Paramètres!$A$1:$I$89,3,0)*VLOOKUP('Données projet'!$B$9,Paramètres!$A$1:$I$89,5,0)</f>
        <v>5.8826687821090227</v>
      </c>
      <c r="P13" s="13">
        <f t="shared" si="33"/>
        <v>2.2057079152108381</v>
      </c>
      <c r="Q13" s="20">
        <f t="shared" si="2"/>
        <v>14.087256081165423</v>
      </c>
      <c r="R13" s="59">
        <f t="shared" si="0"/>
        <v>282.97614497005429</v>
      </c>
      <c r="S13" s="59">
        <f ca="1">AVERAGE(OFFSET($R$3,0,0,'Données projet'!$E$9+1,1))-AVERAGE(OFFSET($H$3,0,0,'Données projet'!$E$9+1,1))</f>
        <v>319.22903094674564</v>
      </c>
      <c r="T13" s="59">
        <f t="shared" si="34"/>
        <v>254.58690973142848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15.15</v>
      </c>
      <c r="AI13" s="13">
        <f>IF('Données projet'!$A$62&gt;35,AI12+AH13-AQ12,IF(A13&lt;'Données projet'!$A$62,$AF$205^A13,IF(A13='Données projet'!$A$62,'Données projet'!$B$62,AI12+AH13-AQ12)))</f>
        <v>17.406895185529201</v>
      </c>
      <c r="AJ13" s="13">
        <f>AI13*VLOOKUP('Données projet'!$B$10,Paramètres!$A$1:$I$89,3,0)*VLOOKUP('Données projet'!$B$10,Paramètres!$A$1:$I$89,5,0)</f>
        <v>9.7304544087108251</v>
      </c>
      <c r="AK13" s="13">
        <f t="shared" si="35"/>
        <v>3.4408559511587775</v>
      </c>
      <c r="AL13" s="20">
        <f t="shared" si="4"/>
        <v>22.940032210106224</v>
      </c>
      <c r="AM13" s="59">
        <f t="shared" si="5"/>
        <v>291.82892109899507</v>
      </c>
      <c r="AN13" s="59">
        <f ca="1">AVERAGE(OFFSET($AM$3,0,0,'Données projet'!$E$10+1,1))-AVERAGE(OFFSET($H$3,0,0,'Données projet'!$E$10+1,1))</f>
        <v>544.48194192356823</v>
      </c>
      <c r="AO13" s="59">
        <f t="shared" si="36"/>
        <v>668.20427590250733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3.65</v>
      </c>
      <c r="BD13" s="12">
        <f>IF('Données projet'!$A$88&gt;35,BD12+BC13-BL12,IF(A13&lt;'Données projet'!$A$88,$BA$205^A13,IF(A13='Données projet'!$A$88,'Données projet'!$B$88,BD12+BC13-BL12)))</f>
        <v>8.5440037453175322</v>
      </c>
      <c r="BE13" s="13">
        <f>BD13*VLOOKUP('Données projet'!$B$11,Paramètres!$A$1:$I$89,3,0)*VLOOKUP('Données projet'!$B$11,Paramètres!$A$1:$I$89,5,0)</f>
        <v>7.7306145887633031</v>
      </c>
      <c r="BF13" s="13">
        <f t="shared" si="37"/>
        <v>2.8078763226288115</v>
      </c>
      <c r="BG13" s="20">
        <f t="shared" si="7"/>
        <v>18.354538337341264</v>
      </c>
      <c r="BH13" s="59">
        <f t="shared" si="8"/>
        <v>287.2434272262301</v>
      </c>
      <c r="BI13" s="59">
        <f ca="1">AVERAGE(OFFSET($BH$3,0,0,'Données projet'!$E$11+1,1))-AVERAGE(OFFSET($H$3,0,0,'Données projet'!$E$11+1,1))</f>
        <v>405.7176439604217</v>
      </c>
      <c r="BJ13" s="59">
        <f t="shared" si="38"/>
        <v>278.21741231699929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>
        <f>VLOOKUP(A13,'Données projet'!$A$113:$I$133,2,0)</f>
        <v>35</v>
      </c>
      <c r="BW13" s="12">
        <f>VLOOKUP(A13,'Données projet'!$A$113:$I$133,9,0)</f>
        <v>3.5</v>
      </c>
      <c r="BX13" s="12">
        <f t="array" ref="BX13">INDEX(BW:BW,MIN(IF(ISNUMBER(BW13:BW209),ROW(BW13:BW209),"")))</f>
        <v>3.5</v>
      </c>
      <c r="BY13" s="12">
        <f>IF('Données projet'!$A$114&gt;35,BY12+BX13-CG12,IF(A13&lt;'Données projet'!$A$114,$BV$205^A13,IF(A13='Données projet'!$A$114,'Données projet'!$B$114,BY12+BX13-CG12)))</f>
        <v>35</v>
      </c>
      <c r="BZ13" s="13">
        <f>BY13*VLOOKUP('Données projet'!$B$12,Paramètres!$A$1:$I$89,3,0)*VLOOKUP('Données projet'!$B$12,Paramètres!$A$1:$I$89,5,0)</f>
        <v>30.576000000000004</v>
      </c>
      <c r="CA13" s="13">
        <f t="shared" si="39"/>
        <v>9.4631216842413863</v>
      </c>
      <c r="CB13" s="20">
        <f t="shared" si="10"/>
        <v>69.734803600053766</v>
      </c>
      <c r="CC13" s="59">
        <f t="shared" si="11"/>
        <v>338.62369248894265</v>
      </c>
      <c r="CD13" s="59">
        <f ca="1">AVERAGE(OFFSET($CC$3,0,0,'Données projet'!$E$12+1,1))-AVERAGE(OFFSET($H$3,0,0,'Données projet'!$E$12+1,1))</f>
        <v>381.72225529388083</v>
      </c>
      <c r="CE13" s="59">
        <f t="shared" si="40"/>
        <v>360.05900046417361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2.4666666666666668</v>
      </c>
      <c r="CT13" s="12">
        <f>IF('Données projet'!$A$140&gt;35,CT12+CS13-DB12,IF(A13&lt;'Données projet'!$A$140,$CQ$205^A13,IF(A13='Données projet'!$A$140,'Données projet'!$B$140,CT12+CS13-DB12)))</f>
        <v>11.103702468586782</v>
      </c>
      <c r="CU13" s="17">
        <f>CT13*VLOOKUP('Données projet'!$B$13,Paramètres!$A$1:$I$89,3,0)*VLOOKUP('Données projet'!$B$13,Paramètres!$A$1:$I$89,5,0)</f>
        <v>8.8341056840076444</v>
      </c>
      <c r="CV13" s="13">
        <f t="shared" si="41"/>
        <v>3.1592306185484516</v>
      </c>
      <c r="CW13" s="20">
        <f t="shared" si="13"/>
        <v>20.888394060285197</v>
      </c>
      <c r="CX13" s="59">
        <f t="shared" si="14"/>
        <v>289.77728294917404</v>
      </c>
      <c r="CY13" s="59">
        <f ca="1">AVERAGE(OFFSET($CX$3,0,0,'Données projet'!$E$13+1,1))-AVERAGE(OFFSET($H$3,0,0,'Données projet'!$E$13+1,1))</f>
        <v>299.10536994156814</v>
      </c>
      <c r="CZ13" s="59">
        <f t="shared" si="42"/>
        <v>292.57799203101769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>
        <f>VLOOKUP(A13,'Données projet'!$A$165:$I$185,2,0)</f>
        <v>14</v>
      </c>
      <c r="DM13" s="12">
        <f>VLOOKUP(A13,'Données projet'!$A$165:$I$185,9,0)</f>
        <v>1.4</v>
      </c>
      <c r="DN13" s="12">
        <f t="array" ref="DN13">INDEX(DM:DM,MIN(IF(ISNUMBER(DM13:DM209),ROW(DM13:DM209),"")))</f>
        <v>1.4</v>
      </c>
      <c r="DO13" s="12">
        <f>IF('Données projet'!$A$166&gt;35,DO12+DN13-DW12,IF(A13&lt;'Données projet'!$A$166,$DL$205^A13,IF(A13='Données projet'!$A$166,'Données projet'!$B$166,DO12+DN13-DW12)))</f>
        <v>14</v>
      </c>
      <c r="DP13" s="17">
        <f>DO13*VLOOKUP('Données projet'!$B$14,Paramètres!$A$1:$I$89,3,0)*VLOOKUP('Données projet'!$B$14,Paramètres!$A$1:$I$89,5,0)</f>
        <v>9.1728000000000005</v>
      </c>
      <c r="DQ13" s="13">
        <f t="shared" si="43"/>
        <v>3.2660194391020205</v>
      </c>
      <c r="DR13" s="20">
        <f t="shared" si="16"/>
        <v>21.664277189769351</v>
      </c>
      <c r="DS13" s="59">
        <f t="shared" si="17"/>
        <v>290.55316607865819</v>
      </c>
      <c r="DT13" s="59">
        <f ca="1">AVERAGE(OFFSET($DS$3,0,0,'Données projet'!$E$14+1,1))-AVERAGE(OFFSET($H$3,0,0,'Données projet'!$E$14+1,1))</f>
        <v>295.92103934364718</v>
      </c>
      <c r="DU13" s="59">
        <f t="shared" si="44"/>
        <v>304.84379909635476</v>
      </c>
      <c r="DV13" s="15">
        <f>IF(ISNA(VLOOKUP(A13,'Données projet'!$A$165:$I$185,3,0)),0,VLOOKUP(A13,'Données projet'!$A$165:$I$185,3,0))</f>
        <v>1</v>
      </c>
      <c r="DW13" s="15">
        <f>IF(ISNA(VLOOKUP(A13,'Données projet'!$A$165:$I$185,4,0)),0,VLOOKUP(A13,'Données projet'!$A$165:$I$185,4,0))</f>
        <v>1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7.9</v>
      </c>
      <c r="N14" s="13">
        <f>IF('Données projet'!$A$36&gt;35,N13+M14-V13,IF(A14&lt;'Données projet'!$A$36,$K$205^A14,IF(A14='Données projet'!$A$36,'Données projet'!$B$36,N13+M14-V13)))</f>
        <v>16.190542381779895</v>
      </c>
      <c r="O14" s="13">
        <f>N14*VLOOKUP('Données projet'!$B$9,Paramètres!$A$1:$I$89,3,0)*VLOOKUP('Données projet'!$B$9,Paramètres!$A$1:$I$89,5,0)</f>
        <v>7.5771738346729904</v>
      </c>
      <c r="P14" s="13">
        <f t="shared" si="33"/>
        <v>2.7585742106736397</v>
      </c>
      <c r="Q14" s="20">
        <f t="shared" si="2"/>
        <v>18.001427845645381</v>
      </c>
      <c r="R14" s="59">
        <f t="shared" si="0"/>
        <v>288.11253895675651</v>
      </c>
      <c r="S14" s="59">
        <f ca="1">AVERAGE(OFFSET($R$3,0,0,'Données projet'!$E$9+1,1))-AVERAGE(OFFSET($H$3,0,0,'Données projet'!$E$9+1,1))</f>
        <v>319.22903094674564</v>
      </c>
      <c r="T14" s="59">
        <f t="shared" si="34"/>
        <v>254.58690973142848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15.15</v>
      </c>
      <c r="AI14" s="13">
        <f>IF('Données projet'!$A$62&gt;35,AI13+AH14-AQ13,IF(A14&lt;'Données projet'!$A$62,$AF$205^A14,IF(A14='Données projet'!$A$62,'Données projet'!$B$62,AI13+AH14-AQ13)))</f>
        <v>23.162927384927961</v>
      </c>
      <c r="AJ14" s="13">
        <f>AI14*VLOOKUP('Données projet'!$B$10,Paramètres!$A$1:$I$89,3,0)*VLOOKUP('Données projet'!$B$10,Paramètres!$A$1:$I$89,5,0)</f>
        <v>12.94807640817473</v>
      </c>
      <c r="AK14" s="13">
        <f t="shared" si="35"/>
        <v>4.4289076733711168</v>
      </c>
      <c r="AL14" s="20">
        <f t="shared" si="4"/>
        <v>30.264913942025682</v>
      </c>
      <c r="AM14" s="59">
        <f t="shared" si="5"/>
        <v>300.3760250531368</v>
      </c>
      <c r="AN14" s="59">
        <f ca="1">AVERAGE(OFFSET($AM$3,0,0,'Données projet'!$E$10+1,1))-AVERAGE(OFFSET($H$3,0,0,'Données projet'!$E$10+1,1))</f>
        <v>544.48194192356823</v>
      </c>
      <c r="AO14" s="59">
        <f t="shared" si="36"/>
        <v>668.20427590250733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3.65</v>
      </c>
      <c r="BD14" s="12">
        <f>IF('Données projet'!$A$88&gt;35,BD13+BC14-BL13,IF(A14&lt;'Données projet'!$A$88,$BA$205^A14,IF(A14='Données projet'!$A$88,'Données projet'!$B$88,BD13+BC14-BL13)))</f>
        <v>10.588332555950936</v>
      </c>
      <c r="BE14" s="13">
        <f>BD14*VLOOKUP('Données projet'!$B$11,Paramètres!$A$1:$I$89,3,0)*VLOOKUP('Données projet'!$B$11,Paramètres!$A$1:$I$89,5,0)</f>
        <v>9.5803232966244067</v>
      </c>
      <c r="BF14" s="13">
        <f t="shared" si="37"/>
        <v>3.3939041949894282</v>
      </c>
      <c r="BG14" s="20">
        <f t="shared" si="7"/>
        <v>22.596779547894098</v>
      </c>
      <c r="BH14" s="59">
        <f t="shared" si="8"/>
        <v>292.70789065900522</v>
      </c>
      <c r="BI14" s="59">
        <f ca="1">AVERAGE(OFFSET($BH$3,0,0,'Données projet'!$E$11+1,1))-AVERAGE(OFFSET($H$3,0,0,'Données projet'!$E$11+1,1))</f>
        <v>405.7176439604217</v>
      </c>
      <c r="BJ14" s="59">
        <f t="shared" si="38"/>
        <v>278.21741231699929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10.6</v>
      </c>
      <c r="BY14" s="12">
        <f>IF('Données projet'!$A$114&gt;35,BY13+BX14-CG13,IF(A14&lt;'Données projet'!$A$114,$BV$205^A14,IF(A14='Données projet'!$A$114,'Données projet'!$B$114,BY13+BX14-CG13)))</f>
        <v>45.6</v>
      </c>
      <c r="BZ14" s="13">
        <f>BY14*VLOOKUP('Données projet'!$B$12,Paramètres!$A$1:$I$89,3,0)*VLOOKUP('Données projet'!$B$12,Paramètres!$A$1:$I$89,5,0)</f>
        <v>39.836160000000007</v>
      </c>
      <c r="CA14" s="13">
        <f t="shared" si="39"/>
        <v>11.955210728675533</v>
      </c>
      <c r="CB14" s="20">
        <f t="shared" si="10"/>
        <v>90.203304019109893</v>
      </c>
      <c r="CC14" s="59">
        <f t="shared" si="11"/>
        <v>360.31441513022105</v>
      </c>
      <c r="CD14" s="59">
        <f ca="1">AVERAGE(OFFSET($CC$3,0,0,'Données projet'!$E$12+1,1))-AVERAGE(OFFSET($H$3,0,0,'Données projet'!$E$12+1,1))</f>
        <v>381.72225529388083</v>
      </c>
      <c r="CE14" s="59">
        <f t="shared" si="40"/>
        <v>360.05900046417361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2.4666666666666668</v>
      </c>
      <c r="CT14" s="12">
        <f>IF('Données projet'!$A$140&gt;35,CT13+CS14-DB13,IF(A14&lt;'Données projet'!$A$140,$CQ$205^A14,IF(A14='Données projet'!$A$140,'Données projet'!$B$140,CT13+CS14-DB13)))</f>
        <v>14.125850240977657</v>
      </c>
      <c r="CU14" s="17">
        <f>CT14*VLOOKUP('Données projet'!$B$13,Paramètres!$A$1:$I$89,3,0)*VLOOKUP('Données projet'!$B$13,Paramètres!$A$1:$I$89,5,0)</f>
        <v>11.238526451721825</v>
      </c>
      <c r="CV14" s="13">
        <f t="shared" si="41"/>
        <v>3.9080387928425129</v>
      </c>
      <c r="CW14" s="20">
        <f t="shared" si="13"/>
        <v>26.380267800949554</v>
      </c>
      <c r="CX14" s="59">
        <f t="shared" si="14"/>
        <v>296.49137891206067</v>
      </c>
      <c r="CY14" s="59">
        <f ca="1">AVERAGE(OFFSET($CX$3,0,0,'Données projet'!$E$13+1,1))-AVERAGE(OFFSET($H$3,0,0,'Données projet'!$E$13+1,1))</f>
        <v>299.10536994156814</v>
      </c>
      <c r="CZ14" s="59">
        <f t="shared" si="42"/>
        <v>292.57799203101769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7.8</v>
      </c>
      <c r="DO14" s="12">
        <f>IF('Données projet'!$A$166&gt;35,DO13+DN14-DW13,IF(A14&lt;'Données projet'!$A$166,$DL$205^A14,IF(A14='Données projet'!$A$166,'Données projet'!$B$166,DO13+DN14-DW13)))</f>
        <v>20.8</v>
      </c>
      <c r="DP14" s="17">
        <f>DO14*VLOOKUP('Données projet'!$B$14,Paramètres!$A$1:$I$89,3,0)*VLOOKUP('Données projet'!$B$14,Paramètres!$A$1:$I$89,5,0)</f>
        <v>13.628160000000001</v>
      </c>
      <c r="DQ14" s="13">
        <f t="shared" si="43"/>
        <v>4.6338374564363161</v>
      </c>
      <c r="DR14" s="20">
        <f t="shared" si="16"/>
        <v>31.806312236626585</v>
      </c>
      <c r="DS14" s="59">
        <f t="shared" si="17"/>
        <v>301.91742334773772</v>
      </c>
      <c r="DT14" s="59">
        <f ca="1">AVERAGE(OFFSET($DS$3,0,0,'Données projet'!$E$14+1,1))-AVERAGE(OFFSET($H$3,0,0,'Données projet'!$E$14+1,1))</f>
        <v>295.92103934364718</v>
      </c>
      <c r="DU14" s="59">
        <f t="shared" si="44"/>
        <v>304.84379909635476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7.9</v>
      </c>
      <c r="N15" s="13">
        <f>IF('Données projet'!$A$36&gt;35,N14+M15-V14,IF(A15&lt;'Données projet'!$A$36,$K$205^A15,IF(A15='Données projet'!$A$36,'Données projet'!$B$36,N14+M15-V14)))</f>
        <v>20.854234472198982</v>
      </c>
      <c r="O15" s="13">
        <f>N15*VLOOKUP('Données projet'!$B$9,Paramètres!$A$1:$I$89,3,0)*VLOOKUP('Données projet'!$B$9,Paramètres!$A$1:$I$89,5,0)</f>
        <v>9.7597817329891239</v>
      </c>
      <c r="P15" s="13">
        <f t="shared" si="33"/>
        <v>3.4500178483814818</v>
      </c>
      <c r="Q15" s="20">
        <f t="shared" si="2"/>
        <v>23.00706760422047</v>
      </c>
      <c r="R15" s="59">
        <f t="shared" si="0"/>
        <v>294.3404009375538</v>
      </c>
      <c r="S15" s="59">
        <f ca="1">AVERAGE(OFFSET($R$3,0,0,'Données projet'!$E$9+1,1))-AVERAGE(OFFSET($H$3,0,0,'Données projet'!$E$9+1,1))</f>
        <v>319.22903094674564</v>
      </c>
      <c r="T15" s="59">
        <f t="shared" si="34"/>
        <v>254.58690973142848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15.15</v>
      </c>
      <c r="AI15" s="13">
        <f>IF('Données projet'!$A$62&gt;35,AI14+AH15-AQ14,IF(A15&lt;'Données projet'!$A$62,$AF$205^A15,IF(A15='Données projet'!$A$62,'Données projet'!$B$62,AI14+AH15-AQ14)))</f>
        <v>30.822337890876113</v>
      </c>
      <c r="AJ15" s="13">
        <f>AI15*VLOOKUP('Données projet'!$B$10,Paramètres!$A$1:$I$89,3,0)*VLOOKUP('Données projet'!$B$10,Paramètres!$A$1:$I$89,5,0)</f>
        <v>17.229686880999751</v>
      </c>
      <c r="AK15" s="13">
        <f t="shared" si="35"/>
        <v>5.7006813007210422</v>
      </c>
      <c r="AL15" s="20">
        <f t="shared" si="4"/>
        <v>39.937057916497047</v>
      </c>
      <c r="AM15" s="59">
        <f t="shared" si="5"/>
        <v>311.27039124983037</v>
      </c>
      <c r="AN15" s="59">
        <f ca="1">AVERAGE(OFFSET($AM$3,0,0,'Données projet'!$E$10+1,1))-AVERAGE(OFFSET($H$3,0,0,'Données projet'!$E$10+1,1))</f>
        <v>544.48194192356823</v>
      </c>
      <c r="AO15" s="59">
        <f t="shared" si="36"/>
        <v>668.20427590250733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3.65</v>
      </c>
      <c r="BD15" s="12">
        <f>IF('Données projet'!$A$88&gt;35,BD14+BC15-BL14,IF(A15&lt;'Données projet'!$A$88,$BA$205^A15,IF(A15='Données projet'!$A$88,'Données projet'!$B$88,BD14+BC15-BL14)))</f>
        <v>13.121809125710287</v>
      </c>
      <c r="BE15" s="13">
        <f>BD15*VLOOKUP('Données projet'!$B$11,Paramètres!$A$1:$I$89,3,0)*VLOOKUP('Données projet'!$B$11,Paramètres!$A$1:$I$89,5,0)</f>
        <v>11.872612896942668</v>
      </c>
      <c r="BF15" s="13">
        <f t="shared" si="37"/>
        <v>4.1022411108131784</v>
      </c>
      <c r="BG15" s="20">
        <f t="shared" si="7"/>
        <v>27.822870730174767</v>
      </c>
      <c r="BH15" s="59">
        <f t="shared" si="8"/>
        <v>299.15620406350808</v>
      </c>
      <c r="BI15" s="59">
        <f ca="1">AVERAGE(OFFSET($BH$3,0,0,'Données projet'!$E$11+1,1))-AVERAGE(OFFSET($H$3,0,0,'Données projet'!$E$11+1,1))</f>
        <v>405.7176439604217</v>
      </c>
      <c r="BJ15" s="59">
        <f t="shared" si="38"/>
        <v>278.21741231699929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10.6</v>
      </c>
      <c r="BY15" s="12">
        <f>IF('Données projet'!$A$114&gt;35,BY14+BX15-CG14,IF(A15&lt;'Données projet'!$A$114,$BV$205^A15,IF(A15='Données projet'!$A$114,'Données projet'!$B$114,BY14+BX15-CG14)))</f>
        <v>56.2</v>
      </c>
      <c r="BZ15" s="13">
        <f>BY15*VLOOKUP('Données projet'!$B$12,Paramètres!$A$1:$I$89,3,0)*VLOOKUP('Données projet'!$B$12,Paramètres!$A$1:$I$89,5,0)</f>
        <v>49.096320000000006</v>
      </c>
      <c r="CA15" s="13">
        <f t="shared" si="39"/>
        <v>14.380133207801931</v>
      </c>
      <c r="CB15" s="20">
        <f t="shared" si="10"/>
        <v>110.55482267025504</v>
      </c>
      <c r="CC15" s="59">
        <f t="shared" si="11"/>
        <v>381.88815600358834</v>
      </c>
      <c r="CD15" s="59">
        <f ca="1">AVERAGE(OFFSET($CC$3,0,0,'Données projet'!$E$12+1,1))-AVERAGE(OFFSET($H$3,0,0,'Données projet'!$E$12+1,1))</f>
        <v>381.72225529388083</v>
      </c>
      <c r="CE15" s="59">
        <f t="shared" si="40"/>
        <v>360.05900046417361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2.4666666666666668</v>
      </c>
      <c r="CT15" s="12">
        <f>IF('Données projet'!$A$140&gt;35,CT14+CS15-DB14,IF(A15&lt;'Données projet'!$A$140,$CQ$205^A15,IF(A15='Données projet'!$A$140,'Données projet'!$B$140,CT14+CS15-DB14)))</f>
        <v>17.970550417308221</v>
      </c>
      <c r="CU15" s="17">
        <f>CT15*VLOOKUP('Données projet'!$B$13,Paramètres!$A$1:$I$89,3,0)*VLOOKUP('Données projet'!$B$13,Paramètres!$A$1:$I$89,5,0)</f>
        <v>14.297369912010421</v>
      </c>
      <c r="CV15" s="13">
        <f t="shared" si="41"/>
        <v>4.8343312187127445</v>
      </c>
      <c r="CW15" s="20">
        <f t="shared" si="13"/>
        <v>33.321046136009507</v>
      </c>
      <c r="CX15" s="59">
        <f t="shared" si="14"/>
        <v>304.65437946934281</v>
      </c>
      <c r="CY15" s="59">
        <f ca="1">AVERAGE(OFFSET($CX$3,0,0,'Données projet'!$E$13+1,1))-AVERAGE(OFFSET($H$3,0,0,'Données projet'!$E$13+1,1))</f>
        <v>299.10536994156814</v>
      </c>
      <c r="CZ15" s="59">
        <f t="shared" si="42"/>
        <v>292.57799203101769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7.8</v>
      </c>
      <c r="DO15" s="12">
        <f>IF('Données projet'!$A$166&gt;35,DO14+DN15-DW14,IF(A15&lt;'Données projet'!$A$166,$DL$205^A15,IF(A15='Données projet'!$A$166,'Données projet'!$B$166,DO14+DN15-DW14)))</f>
        <v>28.6</v>
      </c>
      <c r="DP15" s="17">
        <f>DO15*VLOOKUP('Données projet'!$B$14,Paramètres!$A$1:$I$89,3,0)*VLOOKUP('Données projet'!$B$14,Paramètres!$A$1:$I$89,5,0)</f>
        <v>18.738720000000001</v>
      </c>
      <c r="DQ15" s="13">
        <f t="shared" si="43"/>
        <v>6.1396704366978918</v>
      </c>
      <c r="DR15" s="20">
        <f t="shared" si="16"/>
        <v>43.329863343915491</v>
      </c>
      <c r="DS15" s="59">
        <f t="shared" si="17"/>
        <v>314.66319667724883</v>
      </c>
      <c r="DT15" s="59">
        <f ca="1">AVERAGE(OFFSET($DS$3,0,0,'Données projet'!$E$14+1,1))-AVERAGE(OFFSET($H$3,0,0,'Données projet'!$E$14+1,1))</f>
        <v>295.92103934364718</v>
      </c>
      <c r="DU15" s="59">
        <f t="shared" si="44"/>
        <v>304.84379909635476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7.9</v>
      </c>
      <c r="N16" s="13">
        <f>IF('Données projet'!$A$36&gt;35,N15+M16-V15,IF(A16&lt;'Données projet'!$A$36,$K$205^A16,IF(A16='Données projet'!$A$36,'Données projet'!$B$36,N15+M16-V15)))</f>
        <v>26.861304900499697</v>
      </c>
      <c r="O16" s="13">
        <f>N16*VLOOKUP('Données projet'!$B$9,Paramètres!$A$1:$I$89,3,0)*VLOOKUP('Données projet'!$B$9,Paramètres!$A$1:$I$89,5,0)</f>
        <v>12.571090693433858</v>
      </c>
      <c r="P16" s="13">
        <f t="shared" si="33"/>
        <v>4.3147735914069099</v>
      </c>
      <c r="Q16" s="20">
        <f t="shared" si="2"/>
        <v>29.409546962764335</v>
      </c>
      <c r="R16" s="59">
        <f t="shared" si="0"/>
        <v>301.9651025183199</v>
      </c>
      <c r="S16" s="59">
        <f ca="1">AVERAGE(OFFSET($R$3,0,0,'Données projet'!$E$9+1,1))-AVERAGE(OFFSET($H$3,0,0,'Données projet'!$E$9+1,1))</f>
        <v>319.22903094674564</v>
      </c>
      <c r="T16" s="59">
        <f t="shared" si="34"/>
        <v>254.58690973142848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15.15</v>
      </c>
      <c r="AI16" s="13">
        <f>IF('Données projet'!$A$62&gt;35,AI15+AH16-AQ15,IF(A16&lt;'Données projet'!$A$62,$AF$205^A16,IF(A16='Données projet'!$A$62,'Données projet'!$B$62,AI15+AH16-AQ15)))</f>
        <v>41.014527104959527</v>
      </c>
      <c r="AJ16" s="13">
        <f>AI16*VLOOKUP('Données projet'!$B$10,Paramètres!$A$1:$I$89,3,0)*VLOOKUP('Données projet'!$B$10,Paramètres!$A$1:$I$89,5,0)</f>
        <v>22.927120651672375</v>
      </c>
      <c r="AK16" s="13">
        <f t="shared" si="35"/>
        <v>7.3376483975459479</v>
      </c>
      <c r="AL16" s="20">
        <f t="shared" si="4"/>
        <v>52.711139427388581</v>
      </c>
      <c r="AM16" s="59">
        <f t="shared" si="5"/>
        <v>325.2666949829441</v>
      </c>
      <c r="AN16" s="59">
        <f ca="1">AVERAGE(OFFSET($AM$3,0,0,'Données projet'!$E$10+1,1))-AVERAGE(OFFSET($H$3,0,0,'Données projet'!$E$10+1,1))</f>
        <v>544.48194192356823</v>
      </c>
      <c r="AO16" s="59">
        <f t="shared" si="36"/>
        <v>668.20427590250733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3.65</v>
      </c>
      <c r="BD16" s="12">
        <f>IF('Données projet'!$A$88&gt;35,BD15+BC16-BL15,IF(A16&lt;'Données projet'!$A$88,$BA$205^A16,IF(A16='Données projet'!$A$88,'Données projet'!$B$88,BD15+BC16-BL15)))</f>
        <v>16.261472127148366</v>
      </c>
      <c r="BE16" s="13">
        <f>BD16*VLOOKUP('Données projet'!$B$11,Paramètres!$A$1:$I$89,3,0)*VLOOKUP('Données projet'!$B$11,Paramètres!$A$1:$I$89,5,0)</f>
        <v>14.713379980643843</v>
      </c>
      <c r="BF16" s="13">
        <f t="shared" si="37"/>
        <v>4.9584140165447881</v>
      </c>
      <c r="BG16" s="20">
        <f t="shared" si="7"/>
        <v>34.261707878436859</v>
      </c>
      <c r="BH16" s="59">
        <f t="shared" si="8"/>
        <v>306.81726343399242</v>
      </c>
      <c r="BI16" s="59">
        <f ca="1">AVERAGE(OFFSET($BH$3,0,0,'Données projet'!$E$11+1,1))-AVERAGE(OFFSET($H$3,0,0,'Données projet'!$E$11+1,1))</f>
        <v>405.7176439604217</v>
      </c>
      <c r="BJ16" s="59">
        <f t="shared" si="38"/>
        <v>278.21741231699929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10.6</v>
      </c>
      <c r="BY16" s="12">
        <f>IF('Données projet'!$A$114&gt;35,BY15+BX16-CG15,IF(A16&lt;'Données projet'!$A$114,$BV$205^A16,IF(A16='Données projet'!$A$114,'Données projet'!$B$114,BY15+BX16-CG15)))</f>
        <v>66.8</v>
      </c>
      <c r="BZ16" s="13">
        <f>BY16*VLOOKUP('Données projet'!$B$12,Paramètres!$A$1:$I$89,3,0)*VLOOKUP('Données projet'!$B$12,Paramètres!$A$1:$I$89,5,0)</f>
        <v>58.356480000000005</v>
      </c>
      <c r="CA16" s="13">
        <f t="shared" si="39"/>
        <v>16.75206628947662</v>
      </c>
      <c r="CB16" s="20">
        <f t="shared" si="10"/>
        <v>130.81405145417179</v>
      </c>
      <c r="CC16" s="59">
        <f t="shared" si="11"/>
        <v>403.36960700972736</v>
      </c>
      <c r="CD16" s="59">
        <f ca="1">AVERAGE(OFFSET($CC$3,0,0,'Données projet'!$E$12+1,1))-AVERAGE(OFFSET($H$3,0,0,'Données projet'!$E$12+1,1))</f>
        <v>381.72225529388083</v>
      </c>
      <c r="CE16" s="59">
        <f t="shared" si="40"/>
        <v>360.05900046417361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2.4666666666666668</v>
      </c>
      <c r="CT16" s="12">
        <f>IF('Données projet'!$A$140&gt;35,CT15+CS16-DB15,IF(A16&lt;'Données projet'!$A$140,$CQ$205^A16,IF(A16='Données projet'!$A$140,'Données projet'!$B$140,CT15+CS16-DB15)))</f>
        <v>22.86168101684942</v>
      </c>
      <c r="CU16" s="17">
        <f>CT16*VLOOKUP('Données projet'!$B$13,Paramètres!$A$1:$I$89,3,0)*VLOOKUP('Données projet'!$B$13,Paramètres!$A$1:$I$89,5,0)</f>
        <v>18.188753417005401</v>
      </c>
      <c r="CV16" s="13">
        <f t="shared" si="41"/>
        <v>5.9801756254374139</v>
      </c>
      <c r="CW16" s="20">
        <f t="shared" si="13"/>
        <v>42.094218082254564</v>
      </c>
      <c r="CX16" s="59">
        <f t="shared" si="14"/>
        <v>314.64977363781009</v>
      </c>
      <c r="CY16" s="59">
        <f ca="1">AVERAGE(OFFSET($CX$3,0,0,'Données projet'!$E$13+1,1))-AVERAGE(OFFSET($H$3,0,0,'Données projet'!$E$13+1,1))</f>
        <v>299.10536994156814</v>
      </c>
      <c r="CZ16" s="59">
        <f t="shared" si="42"/>
        <v>292.57799203101769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7.8</v>
      </c>
      <c r="DO16" s="12">
        <f>IF('Données projet'!$A$166&gt;35,DO15+DN16-DW15,IF(A16&lt;'Données projet'!$A$166,$DL$205^A16,IF(A16='Données projet'!$A$166,'Données projet'!$B$166,DO15+DN16-DW15)))</f>
        <v>36.4</v>
      </c>
      <c r="DP16" s="17">
        <f>DO16*VLOOKUP('Données projet'!$B$14,Paramètres!$A$1:$I$89,3,0)*VLOOKUP('Données projet'!$B$14,Paramètres!$A$1:$I$89,5,0)</f>
        <v>23.849279999999997</v>
      </c>
      <c r="DQ16" s="13">
        <f t="shared" si="43"/>
        <v>7.5978237630267955</v>
      </c>
      <c r="DR16" s="20">
        <f t="shared" si="16"/>
        <v>54.770372387271664</v>
      </c>
      <c r="DS16" s="59">
        <f t="shared" si="17"/>
        <v>327.32592794282721</v>
      </c>
      <c r="DT16" s="59">
        <f ca="1">AVERAGE(OFFSET($DS$3,0,0,'Données projet'!$E$14+1,1))-AVERAGE(OFFSET($H$3,0,0,'Données projet'!$E$14+1,1))</f>
        <v>295.92103934364718</v>
      </c>
      <c r="DU16" s="59">
        <f t="shared" si="44"/>
        <v>304.84379909635476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7.9</v>
      </c>
      <c r="N17" s="13">
        <f>IF('Données projet'!$A$36&gt;35,N16+M17-V16,IF(A17&lt;'Données projet'!$A$36,$K$205^A17,IF(A17='Données projet'!$A$36,'Données projet'!$B$36,N16+M17-V16)))</f>
        <v>34.598714324397214</v>
      </c>
      <c r="O17" s="13">
        <f>N17*VLOOKUP('Données projet'!$B$9,Paramètres!$A$1:$I$89,3,0)*VLOOKUP('Données projet'!$B$9,Paramètres!$A$1:$I$89,5,0)</f>
        <v>16.192198303817896</v>
      </c>
      <c r="P17" s="13">
        <f t="shared" si="33"/>
        <v>5.3962825594761723</v>
      </c>
      <c r="Q17" s="20">
        <f t="shared" si="2"/>
        <v>37.599937503570509</v>
      </c>
      <c r="R17" s="59">
        <f t="shared" si="0"/>
        <v>311.37771528134829</v>
      </c>
      <c r="S17" s="59">
        <f ca="1">AVERAGE(OFFSET($R$3,0,0,'Données projet'!$E$9+1,1))-AVERAGE(OFFSET($H$3,0,0,'Données projet'!$E$9+1,1))</f>
        <v>319.22903094674564</v>
      </c>
      <c r="T17" s="59">
        <f t="shared" si="34"/>
        <v>254.58690973142848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15.15</v>
      </c>
      <c r="AI17" s="13">
        <f>IF('Données projet'!$A$62&gt;35,AI16+AH17-AQ16,IF(A17&lt;'Données projet'!$A$62,$AF$205^A17,IF(A17='Données projet'!$A$62,'Données projet'!$B$62,AI16+AH17-AQ16)))</f>
        <v>54.577022664507709</v>
      </c>
      <c r="AJ17" s="13">
        <f>AI17*VLOOKUP('Données projet'!$B$10,Paramètres!$A$1:$I$89,3,0)*VLOOKUP('Données projet'!$B$10,Paramètres!$A$1:$I$89,5,0)</f>
        <v>30.50855566945981</v>
      </c>
      <c r="AK17" s="13">
        <f t="shared" si="35"/>
        <v>9.4446753231405243</v>
      </c>
      <c r="AL17" s="20">
        <f t="shared" si="4"/>
        <v>69.585210645445571</v>
      </c>
      <c r="AM17" s="59">
        <f t="shared" si="5"/>
        <v>343.36298842322333</v>
      </c>
      <c r="AN17" s="59">
        <f ca="1">AVERAGE(OFFSET($AM$3,0,0,'Données projet'!$E$10+1,1))-AVERAGE(OFFSET($H$3,0,0,'Données projet'!$E$10+1,1))</f>
        <v>544.48194192356823</v>
      </c>
      <c r="AO17" s="59">
        <f t="shared" si="36"/>
        <v>668.20427590250733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3.65</v>
      </c>
      <c r="BD17" s="12">
        <f>IF('Données projet'!$A$88&gt;35,BD16+BC17-BL16,IF(A17&lt;'Données projet'!$A$88,$BA$205^A17,IF(A17='Données projet'!$A$88,'Données projet'!$B$88,BD16+BC17-BL16)))</f>
        <v>20.152364144963837</v>
      </c>
      <c r="BE17" s="13">
        <f>BD17*VLOOKUP('Données projet'!$B$11,Paramètres!$A$1:$I$89,3,0)*VLOOKUP('Données projet'!$B$11,Paramètres!$A$1:$I$89,5,0)</f>
        <v>18.233859078363277</v>
      </c>
      <c r="BF17" s="13">
        <f t="shared" si="37"/>
        <v>5.9932775513027368</v>
      </c>
      <c r="BG17" s="20">
        <f t="shared" si="7"/>
        <v>42.195596296668306</v>
      </c>
      <c r="BH17" s="59">
        <f t="shared" si="8"/>
        <v>315.9733740744461</v>
      </c>
      <c r="BI17" s="59">
        <f ca="1">AVERAGE(OFFSET($BH$3,0,0,'Données projet'!$E$11+1,1))-AVERAGE(OFFSET($H$3,0,0,'Données projet'!$E$11+1,1))</f>
        <v>405.7176439604217</v>
      </c>
      <c r="BJ17" s="59">
        <f t="shared" si="38"/>
        <v>278.21741231699929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10.6</v>
      </c>
      <c r="BY17" s="12">
        <f>IF('Données projet'!$A$114&gt;35,BY16+BX17-CG16,IF(A17&lt;'Données projet'!$A$114,$BV$205^A17,IF(A17='Données projet'!$A$114,'Données projet'!$B$114,BY16+BX17-CG16)))</f>
        <v>77.399999999999991</v>
      </c>
      <c r="BZ17" s="13">
        <f>BY17*VLOOKUP('Données projet'!$B$12,Paramètres!$A$1:$I$89,3,0)*VLOOKUP('Données projet'!$B$12,Paramètres!$A$1:$I$89,5,0)</f>
        <v>67.616640000000004</v>
      </c>
      <c r="CA17" s="13">
        <f t="shared" si="39"/>
        <v>19.080397298873443</v>
      </c>
      <c r="CB17" s="20">
        <f t="shared" si="10"/>
        <v>150.99733996220459</v>
      </c>
      <c r="CC17" s="59">
        <f t="shared" si="11"/>
        <v>424.77511773998236</v>
      </c>
      <c r="CD17" s="59">
        <f ca="1">AVERAGE(OFFSET($CC$3,0,0,'Données projet'!$E$12+1,1))-AVERAGE(OFFSET($H$3,0,0,'Données projet'!$E$12+1,1))</f>
        <v>381.72225529388083</v>
      </c>
      <c r="CE17" s="59">
        <f t="shared" si="40"/>
        <v>360.05900046417361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2.4666666666666668</v>
      </c>
      <c r="CT17" s="12">
        <f>IF('Données projet'!$A$140&gt;35,CT16+CS17-DB16,IF(A17&lt;'Données projet'!$A$140,$CQ$205^A17,IF(A17='Données projet'!$A$140,'Données projet'!$B$140,CT16+CS17-DB16)))</f>
        <v>29.084054009429774</v>
      </c>
      <c r="CU17" s="17">
        <f>CT17*VLOOKUP('Données projet'!$B$13,Paramètres!$A$1:$I$89,3,0)*VLOOKUP('Données projet'!$B$13,Paramètres!$A$1:$I$89,5,0)</f>
        <v>23.13927336990233</v>
      </c>
      <c r="CV17" s="13">
        <f t="shared" si="41"/>
        <v>7.3976107331343286</v>
      </c>
      <c r="CW17" s="20">
        <f t="shared" si="13"/>
        <v>53.185073146122171</v>
      </c>
      <c r="CX17" s="59">
        <f t="shared" si="14"/>
        <v>326.96285092389996</v>
      </c>
      <c r="CY17" s="59">
        <f ca="1">AVERAGE(OFFSET($CX$3,0,0,'Données projet'!$E$13+1,1))-AVERAGE(OFFSET($H$3,0,0,'Données projet'!$E$13+1,1))</f>
        <v>299.10536994156814</v>
      </c>
      <c r="CZ17" s="59">
        <f t="shared" si="42"/>
        <v>292.57799203101769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7.8</v>
      </c>
      <c r="DO17" s="12">
        <f>IF('Données projet'!$A$166&gt;35,DO16+DN17-DW16,IF(A17&lt;'Données projet'!$A$166,$DL$205^A17,IF(A17='Données projet'!$A$166,'Données projet'!$B$166,DO16+DN17-DW16)))</f>
        <v>44.199999999999996</v>
      </c>
      <c r="DP17" s="17">
        <f>DO17*VLOOKUP('Données projet'!$B$14,Paramètres!$A$1:$I$89,3,0)*VLOOKUP('Données projet'!$B$14,Paramètres!$A$1:$I$89,5,0)</f>
        <v>28.959839999999996</v>
      </c>
      <c r="DQ17" s="13">
        <f t="shared" si="43"/>
        <v>9.0197634951152139</v>
      </c>
      <c r="DR17" s="20">
        <f t="shared" si="16"/>
        <v>66.147809420658987</v>
      </c>
      <c r="DS17" s="59">
        <f t="shared" si="17"/>
        <v>339.92558719843674</v>
      </c>
      <c r="DT17" s="59">
        <f ca="1">AVERAGE(OFFSET($DS$3,0,0,'Données projet'!$E$14+1,1))-AVERAGE(OFFSET($H$3,0,0,'Données projet'!$E$14+1,1))</f>
        <v>295.92103934364718</v>
      </c>
      <c r="DU17" s="59">
        <f t="shared" si="44"/>
        <v>304.84379909635476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7.9</v>
      </c>
      <c r="N18" s="13">
        <f>IF('Données projet'!$A$36&gt;35,N17+M18-V17,IF(A18&lt;'Données projet'!$A$36,$K$205^A18,IF(A18='Données projet'!$A$36,'Données projet'!$B$36,N17+M18-V17)))</f>
        <v>44.564887571004775</v>
      </c>
      <c r="O18" s="13">
        <f>N18*VLOOKUP('Données projet'!$B$9,Paramètres!$A$1:$I$89,3,0)*VLOOKUP('Données projet'!$B$9,Paramètres!$A$1:$I$89,5,0)</f>
        <v>20.856367383230236</v>
      </c>
      <c r="P18" s="13">
        <f t="shared" si="33"/>
        <v>6.7488744993944465</v>
      </c>
      <c r="Q18" s="20">
        <f t="shared" si="2"/>
        <v>48.079129612237985</v>
      </c>
      <c r="R18" s="59">
        <f t="shared" si="0"/>
        <v>323.07912961223798</v>
      </c>
      <c r="S18" s="59">
        <f ca="1">AVERAGE(OFFSET($R$3,0,0,'Données projet'!$E$9+1,1))-AVERAGE(OFFSET($H$3,0,0,'Données projet'!$E$9+1,1))</f>
        <v>319.22903094674564</v>
      </c>
      <c r="T18" s="59">
        <f t="shared" si="34"/>
        <v>254.58690973142848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15.15</v>
      </c>
      <c r="AI18" s="13">
        <f>IF('Données projet'!$A$62&gt;35,AI17+AH18-AQ17,IF(A18&lt;'Données projet'!$A$62,$AF$205^A18,IF(A18='Données projet'!$A$62,'Données projet'!$B$62,AI17+AH18-AQ17)))</f>
        <v>72.624302001570669</v>
      </c>
      <c r="AJ18" s="13">
        <f>AI18*VLOOKUP('Données projet'!$B$10,Paramètres!$A$1:$I$89,3,0)*VLOOKUP('Données projet'!$B$10,Paramètres!$A$1:$I$89,5,0)</f>
        <v>40.596984818878006</v>
      </c>
      <c r="AK18" s="13">
        <f t="shared" si="35"/>
        <v>12.156741114683665</v>
      </c>
      <c r="AL18" s="20">
        <f t="shared" si="4"/>
        <v>91.879406000953239</v>
      </c>
      <c r="AM18" s="59">
        <f t="shared" si="5"/>
        <v>366.87940600095322</v>
      </c>
      <c r="AN18" s="59">
        <f ca="1">AVERAGE(OFFSET($AM$3,0,0,'Données projet'!$E$10+1,1))-AVERAGE(OFFSET($H$3,0,0,'Données projet'!$E$10+1,1))</f>
        <v>544.48194192356823</v>
      </c>
      <c r="AO18" s="59">
        <f t="shared" si="36"/>
        <v>668.20427590250733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3.65</v>
      </c>
      <c r="BD18" s="12">
        <f>IF('Données projet'!$A$88&gt;35,BD17+BC18-BL17,IF(A18&lt;'Données projet'!$A$88,$BA$205^A18,IF(A18='Données projet'!$A$88,'Données projet'!$B$88,BD17+BC18-BL17)))</f>
        <v>24.974232188561476</v>
      </c>
      <c r="BE18" s="13">
        <f>BD18*VLOOKUP('Données projet'!$B$11,Paramètres!$A$1:$I$89,3,0)*VLOOKUP('Données projet'!$B$11,Paramètres!$A$1:$I$89,5,0)</f>
        <v>22.596685284210423</v>
      </c>
      <c r="BF18" s="13">
        <f t="shared" si="37"/>
        <v>7.2441259820371586</v>
      </c>
      <c r="BG18" s="20">
        <f t="shared" si="7"/>
        <v>51.972746288714539</v>
      </c>
      <c r="BH18" s="59">
        <f t="shared" si="8"/>
        <v>326.97274628871452</v>
      </c>
      <c r="BI18" s="59">
        <f ca="1">AVERAGE(OFFSET($BH$3,0,0,'Données projet'!$E$11+1,1))-AVERAGE(OFFSET($H$3,0,0,'Données projet'!$E$11+1,1))</f>
        <v>405.7176439604217</v>
      </c>
      <c r="BJ18" s="59">
        <f t="shared" si="38"/>
        <v>278.21741231699929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>
        <f>VLOOKUP(A18,'Données projet'!$A$113:$I$133,2,0)</f>
        <v>88</v>
      </c>
      <c r="BW18" s="12">
        <f>VLOOKUP(A18,'Données projet'!$A$113:$I$133,9,0)</f>
        <v>10.6</v>
      </c>
      <c r="BX18" s="12">
        <f t="array" ref="BX18">INDEX(BW:BW,MIN(IF(ISNUMBER(BW18:BW214),ROW(BW18:BW214),"")))</f>
        <v>10.6</v>
      </c>
      <c r="BY18" s="12">
        <f>IF('Données projet'!$A$114&gt;35,BY17+BX18-CG17,IF(A18&lt;'Données projet'!$A$114,$BV$205^A18,IF(A18='Données projet'!$A$114,'Données projet'!$B$114,BY17+BX18-CG17)))</f>
        <v>87.999999999999986</v>
      </c>
      <c r="BZ18" s="13">
        <f>BY18*VLOOKUP('Données projet'!$B$12,Paramètres!$A$1:$I$89,3,0)*VLOOKUP('Données projet'!$B$12,Paramètres!$A$1:$I$89,5,0)</f>
        <v>76.876799999999989</v>
      </c>
      <c r="CA18" s="13">
        <f t="shared" si="39"/>
        <v>21.371784666185118</v>
      </c>
      <c r="CB18" s="20">
        <f t="shared" si="10"/>
        <v>171.1162849602724</v>
      </c>
      <c r="CC18" s="59">
        <f t="shared" si="11"/>
        <v>446.11628496027242</v>
      </c>
      <c r="CD18" s="59">
        <f ca="1">AVERAGE(OFFSET($CC$3,0,0,'Données projet'!$E$12+1,1))-AVERAGE(OFFSET($H$3,0,0,'Données projet'!$E$12+1,1))</f>
        <v>381.72225529388083</v>
      </c>
      <c r="CE18" s="59">
        <f t="shared" si="40"/>
        <v>360.05900046417361</v>
      </c>
      <c r="CF18" s="15">
        <f>IF(ISNA(VLOOKUP(A18,'Données projet'!$A$113:$I$133,3,0)),0,VLOOKUP(A18,'Données projet'!$A$113:$I$133,3,0))</f>
        <v>1</v>
      </c>
      <c r="CG18" s="15">
        <f>IF(ISNA(VLOOKUP(A18,'Données projet'!$A$113:$I$133,4,0)),0,VLOOKUP(A18,'Données projet'!$A$113:$I$133,4,0))</f>
        <v>30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4.3000000000000003E-2</v>
      </c>
      <c r="CJ18" s="16">
        <f>IF(ISNA(VLOOKUP(A18,'Données projet'!$A$113:$I$133,7,0)),0%,VLOOKUP(A18,'Données projet'!$A$113:$I$133,7,0))</f>
        <v>0.5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1.240898009460891</v>
      </c>
      <c r="CM18" s="21">
        <f>EXP(-LN(2)/2)*CM17+(1-EXP(-LN(2)/2))/(LN(2)/2)*CG18*CJ18*VLOOKUP('Données projet'!$B$12,Paramètres!$A$1:$I$89,3,0)*0.475*44/12</f>
        <v>12.363976688989007</v>
      </c>
      <c r="CN18" s="22">
        <f t="shared" si="12"/>
        <v>13.604874698449898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>
        <f>VLOOKUP(A18,'Données projet'!$A$139:$I$159,2,0)</f>
        <v>37</v>
      </c>
      <c r="CR18" s="12">
        <f>VLOOKUP(A18,'Données projet'!$A$139:$I$159,9,0)</f>
        <v>2.4666666666666668</v>
      </c>
      <c r="CS18" s="12">
        <f t="array" ref="CS18">INDEX(CR:CR,MIN(IF(ISNUMBER(CR18:CR214),ROW(CR18:CR214),"")))</f>
        <v>2.4666666666666668</v>
      </c>
      <c r="CT18" s="12">
        <f>IF('Données projet'!$A$140&gt;35,CT17+CS18-DB17,IF(A18&lt;'Données projet'!$A$140,$CQ$205^A18,IF(A18='Données projet'!$A$140,'Données projet'!$B$140,CT17+CS18-DB17)))</f>
        <v>37</v>
      </c>
      <c r="CU18" s="17">
        <f>CT18*VLOOKUP('Données projet'!$B$13,Paramètres!$A$1:$I$89,3,0)*VLOOKUP('Données projet'!$B$13,Paramètres!$A$1:$I$89,5,0)</f>
        <v>29.437200000000004</v>
      </c>
      <c r="CV18" s="13">
        <f t="shared" si="41"/>
        <v>9.1510096001539196</v>
      </c>
      <c r="CW18" s="20">
        <f t="shared" si="13"/>
        <v>67.207798386934755</v>
      </c>
      <c r="CX18" s="59">
        <f t="shared" si="14"/>
        <v>342.20779838693477</v>
      </c>
      <c r="CY18" s="59">
        <f ca="1">AVERAGE(OFFSET($CX$3,0,0,'Données projet'!$E$13+1,1))-AVERAGE(OFFSET($H$3,0,0,'Données projet'!$E$13+1,1))</f>
        <v>299.10536994156814</v>
      </c>
      <c r="CZ18" s="59">
        <f t="shared" si="42"/>
        <v>292.57799203101769</v>
      </c>
      <c r="DA18" s="15">
        <f>IF(ISNA(VLOOKUP(A18,'Données projet'!$A$139:$I$159,3,0)),0,VLOOKUP(A18,'Données projet'!$A$139:$I$159,3,0))</f>
        <v>1</v>
      </c>
      <c r="DB18" s="15">
        <f>IF(ISNA(VLOOKUP(A18,'Données projet'!$A$139:$I$159,4,0)),0,VLOOKUP(A18,'Données projet'!$A$139:$I$159,4,0))</f>
        <v>15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0.159</v>
      </c>
      <c r="DE18" s="16">
        <f>IF(ISNA(VLOOKUP(A18,'Données projet'!$A$139:$I$159,7,0)),0%,VLOOKUP(A18,'Données projet'!$A$139:$I$159,7,0))</f>
        <v>0.7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2.0893774831225831</v>
      </c>
      <c r="DH18" s="21">
        <f>EXP(-LN(2)/2)*DH17+(1-EXP(-LN(2)/2))/(LN(2)/2)*DB18*DE18*VLOOKUP('Données projet'!$B$13,Paramètres!$A$1:$I$89,3,0)*0.475*44/12</f>
        <v>7.8820351392304921</v>
      </c>
      <c r="DI18" s="22">
        <f t="shared" si="15"/>
        <v>9.9714126223530748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>
        <f>VLOOKUP(A18,'Données projet'!$A$165:$I$185,2,0)</f>
        <v>52</v>
      </c>
      <c r="DM18" s="12">
        <f>VLOOKUP(A18,'Données projet'!$A$165:$I$185,9,0)</f>
        <v>7.8</v>
      </c>
      <c r="DN18" s="12">
        <f t="array" ref="DN18">INDEX(DM:DM,MIN(IF(ISNUMBER(DM18:DM214),ROW(DM18:DM214),"")))</f>
        <v>7.8</v>
      </c>
      <c r="DO18" s="12">
        <f>IF('Données projet'!$A$166&gt;35,DO17+DN18-DW17,IF(A18&lt;'Données projet'!$A$166,$DL$205^A18,IF(A18='Données projet'!$A$166,'Données projet'!$B$166,DO17+DN18-DW17)))</f>
        <v>51.999999999999993</v>
      </c>
      <c r="DP18" s="17">
        <f>DO18*VLOOKUP('Données projet'!$B$14,Paramètres!$A$1:$I$89,3,0)*VLOOKUP('Données projet'!$B$14,Paramètres!$A$1:$I$89,5,0)</f>
        <v>34.070399999999992</v>
      </c>
      <c r="DQ18" s="13">
        <f t="shared" si="43"/>
        <v>10.412633617059315</v>
      </c>
      <c r="DR18" s="20">
        <f t="shared" si="16"/>
        <v>77.474616883044959</v>
      </c>
      <c r="DS18" s="59">
        <f t="shared" si="17"/>
        <v>352.47461688304497</v>
      </c>
      <c r="DT18" s="59">
        <f ca="1">AVERAGE(OFFSET($DS$3,0,0,'Données projet'!$E$14+1,1))-AVERAGE(OFFSET($H$3,0,0,'Données projet'!$E$14+1,1))</f>
        <v>295.92103934364718</v>
      </c>
      <c r="DU18" s="59">
        <f t="shared" si="44"/>
        <v>304.84379909635476</v>
      </c>
      <c r="DV18" s="15">
        <f>IF(ISNA(VLOOKUP(A18,'Données projet'!$A$165:$I$185,3,0)),0,VLOOKUP(A18,'Données projet'!$A$165:$I$185,3,0))</f>
        <v>2</v>
      </c>
      <c r="DW18" s="15">
        <f>IF(ISNA(VLOOKUP(A18,'Données projet'!$A$165:$I$185,4,0)),0,VLOOKUP(A18,'Données projet'!$A$165:$I$185,4,0))</f>
        <v>5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8.6000000000000007E-2</v>
      </c>
      <c r="DZ18" s="16">
        <f>IF(ISNA(VLOOKUP(A18,'Données projet'!$A$165:$I$185,7,0)),0%,VLOOKUP(A18,'Données projet'!$A$165:$I$185,7,0))</f>
        <v>0.4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0.3102245023652227</v>
      </c>
      <c r="EC18" s="21">
        <f>EXP(-LN(2)/2)*EC17+(1-EXP(-LN(2)/2))/(LN(2)/2)*DW18*DZ18*VLOOKUP('Données projet'!$B$14,Paramètres!$A$1:$I$89,3,0)*0.475*44/12</f>
        <v>1.2363976688989009</v>
      </c>
      <c r="ED18" s="22">
        <f t="shared" si="18"/>
        <v>1.5466221712641235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7.9</v>
      </c>
      <c r="N19" s="13">
        <f>IF('Données projet'!$A$36&gt;35,N18+M19-V18,IF(A19&lt;'Données projet'!$A$36,$K$205^A19,IF(A19='Données projet'!$A$36,'Données projet'!$B$36,N18+M19-V18)))</f>
        <v>57.401820934596167</v>
      </c>
      <c r="O19" s="13">
        <f>N19*VLOOKUP('Données projet'!$B$9,Paramètres!$A$1:$I$89,3,0)*VLOOKUP('Données projet'!$B$9,Paramètres!$A$1:$I$89,5,0)</f>
        <v>26.864052197391008</v>
      </c>
      <c r="P19" s="13">
        <f t="shared" si="33"/>
        <v>8.4404970471001413</v>
      </c>
      <c r="Q19" s="20">
        <f t="shared" si="2"/>
        <v>61.488756600822086</v>
      </c>
      <c r="R19" s="59">
        <f t="shared" si="0"/>
        <v>337.71097882304434</v>
      </c>
      <c r="S19" s="59">
        <f ca="1">AVERAGE(OFFSET($R$3,0,0,'Données projet'!$E$9+1,1))-AVERAGE(OFFSET($H$3,0,0,'Données projet'!$E$9+1,1))</f>
        <v>319.22903094674564</v>
      </c>
      <c r="T19" s="59">
        <f t="shared" si="34"/>
        <v>254.58690973142848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15.15</v>
      </c>
      <c r="AI19" s="13">
        <f>IF('Données projet'!$A$62&gt;35,AI18+AH19-AQ18,IF(A19&lt;'Données projet'!$A$62,$AF$205^A19,IF(A19='Données projet'!$A$62,'Données projet'!$B$62,AI18+AH19-AQ18)))</f>
        <v>96.639372829791554</v>
      </c>
      <c r="AJ19" s="13">
        <f>AI19*VLOOKUP('Données projet'!$B$10,Paramètres!$A$1:$I$89,3,0)*VLOOKUP('Données projet'!$B$10,Paramètres!$A$1:$I$89,5,0)</f>
        <v>54.021409411853483</v>
      </c>
      <c r="AK19" s="13">
        <f t="shared" si="35"/>
        <v>15.647584429646512</v>
      </c>
      <c r="AL19" s="20">
        <f t="shared" si="4"/>
        <v>121.34016427394583</v>
      </c>
      <c r="AM19" s="59">
        <f t="shared" si="5"/>
        <v>397.56238649616807</v>
      </c>
      <c r="AN19" s="59">
        <f ca="1">AVERAGE(OFFSET($AM$3,0,0,'Données projet'!$E$10+1,1))-AVERAGE(OFFSET($H$3,0,0,'Données projet'!$E$10+1,1))</f>
        <v>544.48194192356823</v>
      </c>
      <c r="AO19" s="59">
        <f t="shared" si="36"/>
        <v>668.20427590250733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3.65</v>
      </c>
      <c r="BD19" s="12">
        <f>IF('Données projet'!$A$88&gt;35,BD18+BC19-BL18,IF(A19&lt;'Données projet'!$A$88,$BA$205^A19,IF(A19='Données projet'!$A$88,'Données projet'!$B$88,BD18+BC19-BL18)))</f>
        <v>30.949831440200953</v>
      </c>
      <c r="BE19" s="13">
        <f>BD19*VLOOKUP('Données projet'!$B$11,Paramètres!$A$1:$I$89,3,0)*VLOOKUP('Données projet'!$B$11,Paramètres!$A$1:$I$89,5,0)</f>
        <v>28.003407487093821</v>
      </c>
      <c r="BF19" s="13">
        <f t="shared" si="37"/>
        <v>8.7560372090925433</v>
      </c>
      <c r="BG19" s="20">
        <f t="shared" si="7"/>
        <v>64.022699512524582</v>
      </c>
      <c r="BH19" s="59">
        <f t="shared" si="8"/>
        <v>340.24492173474681</v>
      </c>
      <c r="BI19" s="59">
        <f ca="1">AVERAGE(OFFSET($BH$3,0,0,'Données projet'!$E$11+1,1))-AVERAGE(OFFSET($H$3,0,0,'Données projet'!$E$11+1,1))</f>
        <v>405.7176439604217</v>
      </c>
      <c r="BJ19" s="59">
        <f t="shared" si="38"/>
        <v>278.21741231699929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11.8</v>
      </c>
      <c r="BY19" s="12">
        <f>IF('Données projet'!$A$114&gt;35,BY18+BX19-CG18,IF(A19&lt;'Données projet'!$A$114,$BV$205^A19,IF(A19='Données projet'!$A$114,'Données projet'!$B$114,BY18+BX19-CG18)))</f>
        <v>69.799999999999983</v>
      </c>
      <c r="BZ19" s="13">
        <f>BY19*VLOOKUP('Données projet'!$B$12,Paramètres!$A$1:$I$89,3,0)*VLOOKUP('Données projet'!$B$12,Paramètres!$A$1:$I$89,5,0)</f>
        <v>60.977279999999993</v>
      </c>
      <c r="CA19" s="13">
        <f t="shared" si="39"/>
        <v>17.415123237238468</v>
      </c>
      <c r="CB19" s="20">
        <f t="shared" si="10"/>
        <v>136.5334356381903</v>
      </c>
      <c r="CC19" s="59">
        <f t="shared" si="11"/>
        <v>412.7556578604125</v>
      </c>
      <c r="CD19" s="59">
        <f ca="1">AVERAGE(OFFSET($CC$3,0,0,'Données projet'!$E$12+1,1))-AVERAGE(OFFSET($H$3,0,0,'Données projet'!$E$12+1,1))</f>
        <v>381.72225529388083</v>
      </c>
      <c r="CE19" s="59">
        <f t="shared" si="40"/>
        <v>360.05900046417361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1.2069655881361927</v>
      </c>
      <c r="CM19" s="21">
        <f>EXP(-LN(2)/2)*CM18+(1-EXP(-LN(2)/2))/(LN(2)/2)*CG19*CJ19*VLOOKUP('Données projet'!$B$12,Paramètres!$A$1:$I$89,3,0)*0.475*44/12</f>
        <v>8.7426517592165247</v>
      </c>
      <c r="CN19" s="22">
        <f t="shared" si="12"/>
        <v>9.9496173473527172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11.6</v>
      </c>
      <c r="CT19" s="12">
        <f>IF('Données projet'!$A$140&gt;35,CT18+CS19-DB18,IF(A19&lt;'Données projet'!$A$140,$CQ$205^A19,IF(A19='Données projet'!$A$140,'Données projet'!$B$140,CT18+CS19-DB18)))</f>
        <v>33.6</v>
      </c>
      <c r="CU19" s="17">
        <f>CT19*VLOOKUP('Données projet'!$B$13,Paramètres!$A$1:$I$89,3,0)*VLOOKUP('Données projet'!$B$13,Paramètres!$A$1:$I$89,5,0)</f>
        <v>26.732160000000004</v>
      </c>
      <c r="CV19" s="13">
        <f t="shared" si="41"/>
        <v>8.4038705306032053</v>
      </c>
      <c r="CW19" s="20">
        <f t="shared" si="13"/>
        <v>61.195253174133917</v>
      </c>
      <c r="CX19" s="59">
        <f t="shared" si="14"/>
        <v>337.41747539635617</v>
      </c>
      <c r="CY19" s="59">
        <f ca="1">AVERAGE(OFFSET($CX$3,0,0,'Données projet'!$E$13+1,1))-AVERAGE(OFFSET($H$3,0,0,'Données projet'!$E$13+1,1))</f>
        <v>299.10536994156814</v>
      </c>
      <c r="CZ19" s="59">
        <f t="shared" si="42"/>
        <v>292.57799203101769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2.0322433459710094</v>
      </c>
      <c r="DH19" s="21">
        <f>EXP(-LN(2)/2)*DH18+(1-EXP(-LN(2)/2))/(LN(2)/2)*DB19*DE19*VLOOKUP('Données projet'!$B$13,Paramètres!$A$1:$I$89,3,0)*0.475*44/12</f>
        <v>5.5734404965005346</v>
      </c>
      <c r="DI19" s="22">
        <f t="shared" si="15"/>
        <v>7.6056838424715441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14</v>
      </c>
      <c r="DO19" s="12">
        <f>IF('Données projet'!$A$166&gt;35,DO18+DN19-DW18,IF(A19&lt;'Données projet'!$A$166,$DL$205^A19,IF(A19='Données projet'!$A$166,'Données projet'!$B$166,DO18+DN19-DW18)))</f>
        <v>61</v>
      </c>
      <c r="DP19" s="17">
        <f>DO19*VLOOKUP('Données projet'!$B$14,Paramètres!$A$1:$I$89,3,0)*VLOOKUP('Données projet'!$B$14,Paramètres!$A$1:$I$89,5,0)</f>
        <v>39.967199999999998</v>
      </c>
      <c r="DQ19" s="13">
        <f t="shared" si="43"/>
        <v>11.989952848060867</v>
      </c>
      <c r="DR19" s="20">
        <f t="shared" si="16"/>
        <v>90.492041210372676</v>
      </c>
      <c r="DS19" s="59">
        <f t="shared" si="17"/>
        <v>366.71426343259492</v>
      </c>
      <c r="DT19" s="59">
        <f ca="1">AVERAGE(OFFSET($DS$3,0,0,'Données projet'!$E$14+1,1))-AVERAGE(OFFSET($H$3,0,0,'Données projet'!$E$14+1,1))</f>
        <v>295.92103934364718</v>
      </c>
      <c r="DU19" s="59">
        <f t="shared" si="44"/>
        <v>304.84379909635476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0.30174139703404812</v>
      </c>
      <c r="EC19" s="21">
        <f>EXP(-LN(2)/2)*EC18+(1-EXP(-LN(2)/2))/(LN(2)/2)*DW19*DZ19*VLOOKUP('Données projet'!$B$14,Paramètres!$A$1:$I$89,3,0)*0.475*44/12</f>
        <v>0.87426517592165265</v>
      </c>
      <c r="ED19" s="22">
        <f t="shared" si="18"/>
        <v>1.1760065729557008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7.9</v>
      </c>
      <c r="N20" s="13">
        <f>IF('Données projet'!$A$36&gt;35,N19+M20-V19,IF(A20&lt;'Données projet'!$A$36,$K$205^A20,IF(A20='Données projet'!$A$36,'Données projet'!$B$36,N19+M20-V19)))</f>
        <v>73.936437994095741</v>
      </c>
      <c r="O20" s="13">
        <f>N20*VLOOKUP('Données projet'!$B$9,Paramètres!$A$1:$I$89,3,0)*VLOOKUP('Données projet'!$B$9,Paramètres!$A$1:$I$89,5,0)</f>
        <v>34.602252981236802</v>
      </c>
      <c r="P20" s="13">
        <f t="shared" si="33"/>
        <v>10.556129086190376</v>
      </c>
      <c r="Q20" s="20">
        <f t="shared" si="2"/>
        <v>78.650848767435647</v>
      </c>
      <c r="R20" s="59">
        <f t="shared" si="0"/>
        <v>356.09529321188012</v>
      </c>
      <c r="S20" s="59">
        <f ca="1">AVERAGE(OFFSET($R$3,0,0,'Données projet'!$E$9+1,1))-AVERAGE(OFFSET($H$3,0,0,'Données projet'!$E$9+1,1))</f>
        <v>319.22903094674564</v>
      </c>
      <c r="T20" s="59">
        <f t="shared" si="34"/>
        <v>254.58690973142848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15.15</v>
      </c>
      <c r="AI20" s="13">
        <f>IF('Données projet'!$A$62&gt;35,AI19+AH20-AQ19,IF(A20&lt;'Données projet'!$A$62,$AF$205^A20,IF(A20='Données projet'!$A$62,'Données projet'!$B$62,AI19+AH20-AQ19)))</f>
        <v>128.59563704630816</v>
      </c>
      <c r="AJ20" s="13">
        <f>AI20*VLOOKUP('Données projet'!$B$10,Paramètres!$A$1:$I$89,3,0)*VLOOKUP('Données projet'!$B$10,Paramètres!$A$1:$I$89,5,0)</f>
        <v>71.884961108886259</v>
      </c>
      <c r="AK20" s="13">
        <f t="shared" si="35"/>
        <v>20.140833482681852</v>
      </c>
      <c r="AL20" s="20">
        <f t="shared" si="4"/>
        <v>160.27825891364779</v>
      </c>
      <c r="AM20" s="59">
        <f t="shared" si="5"/>
        <v>437.72270335809225</v>
      </c>
      <c r="AN20" s="59">
        <f ca="1">AVERAGE(OFFSET($AM$3,0,0,'Données projet'!$E$10+1,1))-AVERAGE(OFFSET($H$3,0,0,'Données projet'!$E$10+1,1))</f>
        <v>544.48194192356823</v>
      </c>
      <c r="AO20" s="59">
        <f t="shared" si="36"/>
        <v>668.20427590250733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3.65</v>
      </c>
      <c r="BD20" s="12">
        <f>IF('Données projet'!$A$88&gt;35,BD19+BC20-BL19,IF(A20&lt;'Données projet'!$A$88,$BA$205^A20,IF(A20='Données projet'!$A$88,'Données projet'!$B$88,BD19+BC20-BL19)))</f>
        <v>38.355215845858055</v>
      </c>
      <c r="BE20" s="13">
        <f>BD20*VLOOKUP('Données projet'!$B$11,Paramètres!$A$1:$I$89,3,0)*VLOOKUP('Données projet'!$B$11,Paramètres!$A$1:$I$89,5,0)</f>
        <v>34.703799297332367</v>
      </c>
      <c r="BF20" s="13">
        <f t="shared" si="37"/>
        <v>10.583497277259243</v>
      </c>
      <c r="BG20" s="20">
        <f t="shared" si="7"/>
        <v>78.875374867413711</v>
      </c>
      <c r="BH20" s="59">
        <f t="shared" si="8"/>
        <v>356.31981931185817</v>
      </c>
      <c r="BI20" s="59">
        <f ca="1">AVERAGE(OFFSET($BH$3,0,0,'Données projet'!$E$11+1,1))-AVERAGE(OFFSET($H$3,0,0,'Données projet'!$E$11+1,1))</f>
        <v>405.7176439604217</v>
      </c>
      <c r="BJ20" s="59">
        <f t="shared" si="38"/>
        <v>278.21741231699929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11.8</v>
      </c>
      <c r="BY20" s="12">
        <f>IF('Données projet'!$A$114&gt;35,BY19+BX20-CG19,IF(A20&lt;'Données projet'!$A$114,$BV$205^A20,IF(A20='Données projet'!$A$114,'Données projet'!$B$114,BY19+BX20-CG19)))</f>
        <v>81.59999999999998</v>
      </c>
      <c r="BZ20" s="13">
        <f>BY20*VLOOKUP('Données projet'!$B$12,Paramètres!$A$1:$I$89,3,0)*VLOOKUP('Données projet'!$B$12,Paramètres!$A$1:$I$89,5,0)</f>
        <v>71.285759999999982</v>
      </c>
      <c r="CA20" s="13">
        <f t="shared" si="39"/>
        <v>19.992418069182566</v>
      </c>
      <c r="CB20" s="20">
        <f t="shared" si="10"/>
        <v>158.97616013715958</v>
      </c>
      <c r="CC20" s="59">
        <f t="shared" si="11"/>
        <v>436.42060458160404</v>
      </c>
      <c r="CD20" s="59">
        <f ca="1">AVERAGE(OFFSET($CC$3,0,0,'Données projet'!$E$12+1,1))-AVERAGE(OFFSET($H$3,0,0,'Données projet'!$E$12+1,1))</f>
        <v>381.72225529388083</v>
      </c>
      <c r="CE20" s="59">
        <f t="shared" si="40"/>
        <v>360.05900046417361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1.1739610506570468</v>
      </c>
      <c r="CM20" s="21">
        <f>EXP(-LN(2)/2)*CM19+(1-EXP(-LN(2)/2))/(LN(2)/2)*CG20*CJ20*VLOOKUP('Données projet'!$B$12,Paramètres!$A$1:$I$89,3,0)*0.475*44/12</f>
        <v>6.1819883444945045</v>
      </c>
      <c r="CN20" s="22">
        <f t="shared" si="12"/>
        <v>7.3559493951515513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11.6</v>
      </c>
      <c r="CT20" s="12">
        <f>IF('Données projet'!$A$140&gt;35,CT19+CS20-DB19,IF(A20&lt;'Données projet'!$A$140,$CQ$205^A20,IF(A20='Données projet'!$A$140,'Données projet'!$B$140,CT19+CS20-DB19)))</f>
        <v>45.2</v>
      </c>
      <c r="CU20" s="17">
        <f>CT20*VLOOKUP('Données projet'!$B$13,Paramètres!$A$1:$I$89,3,0)*VLOOKUP('Données projet'!$B$13,Paramètres!$A$1:$I$89,5,0)</f>
        <v>35.961120000000008</v>
      </c>
      <c r="CV20" s="13">
        <f t="shared" si="41"/>
        <v>10.921600552662685</v>
      </c>
      <c r="CW20" s="20">
        <f t="shared" si="13"/>
        <v>81.654071629220851</v>
      </c>
      <c r="CX20" s="59">
        <f t="shared" si="14"/>
        <v>359.09851607366534</v>
      </c>
      <c r="CY20" s="59">
        <f ca="1">AVERAGE(OFFSET($CX$3,0,0,'Données projet'!$E$13+1,1))-AVERAGE(OFFSET($H$3,0,0,'Données projet'!$E$13+1,1))</f>
        <v>299.10536994156814</v>
      </c>
      <c r="CZ20" s="59">
        <f t="shared" si="42"/>
        <v>292.57799203101769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1.9766715448043994</v>
      </c>
      <c r="DH20" s="21">
        <f>EXP(-LN(2)/2)*DH19+(1-EXP(-LN(2)/2))/(LN(2)/2)*DB20*DE20*VLOOKUP('Données projet'!$B$13,Paramètres!$A$1:$I$89,3,0)*0.475*44/12</f>
        <v>3.9410175696152465</v>
      </c>
      <c r="DI20" s="22">
        <f t="shared" si="15"/>
        <v>5.9176891144196464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14</v>
      </c>
      <c r="DO20" s="12">
        <f>IF('Données projet'!$A$166&gt;35,DO19+DN20-DW19,IF(A20&lt;'Données projet'!$A$166,$DL$205^A20,IF(A20='Données projet'!$A$166,'Données projet'!$B$166,DO19+DN20-DW19)))</f>
        <v>75</v>
      </c>
      <c r="DP20" s="17">
        <f>DO20*VLOOKUP('Données projet'!$B$14,Paramètres!$A$1:$I$89,3,0)*VLOOKUP('Données projet'!$B$14,Paramètres!$A$1:$I$89,5,0)</f>
        <v>49.14</v>
      </c>
      <c r="DQ20" s="13">
        <f t="shared" si="43"/>
        <v>14.391437147300868</v>
      </c>
      <c r="DR20" s="20">
        <f t="shared" si="16"/>
        <v>110.65058636488233</v>
      </c>
      <c r="DS20" s="59">
        <f t="shared" si="17"/>
        <v>388.09503080932677</v>
      </c>
      <c r="DT20" s="59">
        <f ca="1">AVERAGE(OFFSET($DS$3,0,0,'Données projet'!$E$14+1,1))-AVERAGE(OFFSET($H$3,0,0,'Données projet'!$E$14+1,1))</f>
        <v>295.92103934364718</v>
      </c>
      <c r="DU20" s="59">
        <f t="shared" si="44"/>
        <v>304.84379909635476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0.29349026266426165</v>
      </c>
      <c r="EC20" s="21">
        <f>EXP(-LN(2)/2)*EC19+(1-EXP(-LN(2)/2))/(LN(2)/2)*DW20*DZ20*VLOOKUP('Données projet'!$B$14,Paramètres!$A$1:$I$89,3,0)*0.475*44/12</f>
        <v>0.61819883444945056</v>
      </c>
      <c r="ED20" s="22">
        <f t="shared" si="18"/>
        <v>0.91168909711371215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7.9</v>
      </c>
      <c r="N21" s="13">
        <f>IF('Données projet'!$A$36&gt;35,N20+M21-V20,IF(A21&lt;'Données projet'!$A$36,$K$205^A21,IF(A21='Données projet'!$A$36,'Données projet'!$B$36,N20+M21-V20)))</f>
        <v>95.233857990035276</v>
      </c>
      <c r="O21" s="13">
        <f>N21*VLOOKUP('Données projet'!$B$9,Paramètres!$A$1:$I$89,3,0)*VLOOKUP('Données projet'!$B$9,Paramètres!$A$1:$I$89,5,0)</f>
        <v>44.569445539336513</v>
      </c>
      <c r="P21" s="13">
        <f t="shared" si="33"/>
        <v>13.202049673437019</v>
      </c>
      <c r="Q21" s="20">
        <f t="shared" si="2"/>
        <v>100.61868749558056</v>
      </c>
      <c r="R21" s="59">
        <f t="shared" si="0"/>
        <v>379.28535416224724</v>
      </c>
      <c r="S21" s="59">
        <f ca="1">AVERAGE(OFFSET($R$3,0,0,'Données projet'!$E$9+1,1))-AVERAGE(OFFSET($H$3,0,0,'Données projet'!$E$9+1,1))</f>
        <v>319.22903094674564</v>
      </c>
      <c r="T21" s="59">
        <f t="shared" si="34"/>
        <v>254.58690973142848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15.15</v>
      </c>
      <c r="AI21" s="13">
        <f>IF('Données projet'!$A$62&gt;35,AI20+AH21-AQ20,IF(A21&lt;'Données projet'!$A$62,$AF$205^A21,IF(A21='Données projet'!$A$62,'Données projet'!$B$62,AI20+AH21-AQ20)))</f>
        <v>171.11905202936001</v>
      </c>
      <c r="AJ21" s="13">
        <f>AI21*VLOOKUP('Données projet'!$B$10,Paramètres!$A$1:$I$89,3,0)*VLOOKUP('Données projet'!$B$10,Paramètres!$A$1:$I$89,5,0)</f>
        <v>95.655550084412241</v>
      </c>
      <c r="AK21" s="13">
        <f t="shared" si="35"/>
        <v>25.924331976030281</v>
      </c>
      <c r="AL21" s="20">
        <f t="shared" si="4"/>
        <v>211.75162792193737</v>
      </c>
      <c r="AM21" s="59">
        <f t="shared" si="5"/>
        <v>490.41829458860406</v>
      </c>
      <c r="AN21" s="59">
        <f ca="1">AVERAGE(OFFSET($AM$3,0,0,'Données projet'!$E$10+1,1))-AVERAGE(OFFSET($H$3,0,0,'Données projet'!$E$10+1,1))</f>
        <v>544.48194192356823</v>
      </c>
      <c r="AO21" s="59">
        <f t="shared" si="36"/>
        <v>668.20427590250733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3.65</v>
      </c>
      <c r="BD21" s="12">
        <f>IF('Données projet'!$A$88&gt;35,BD20+BC21-BL20,IF(A21&lt;'Données projet'!$A$88,$BA$205^A21,IF(A21='Données projet'!$A$88,'Données projet'!$B$88,BD20+BC21-BL20)))</f>
        <v>47.532490941824946</v>
      </c>
      <c r="BE21" s="13">
        <f>BD21*VLOOKUP('Données projet'!$B$11,Paramètres!$A$1:$I$89,3,0)*VLOOKUP('Données projet'!$B$11,Paramètres!$A$1:$I$89,5,0)</f>
        <v>43.007397804163212</v>
      </c>
      <c r="BF21" s="13">
        <f t="shared" si="37"/>
        <v>12.792363936215189</v>
      </c>
      <c r="BG21" s="20">
        <f t="shared" si="7"/>
        <v>97.184585031159045</v>
      </c>
      <c r="BH21" s="59">
        <f t="shared" si="8"/>
        <v>375.85125169782572</v>
      </c>
      <c r="BI21" s="59">
        <f ca="1">AVERAGE(OFFSET($BH$3,0,0,'Données projet'!$E$11+1,1))-AVERAGE(OFFSET($H$3,0,0,'Données projet'!$E$11+1,1))</f>
        <v>405.7176439604217</v>
      </c>
      <c r="BJ21" s="59">
        <f t="shared" si="38"/>
        <v>278.21741231699929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11.8</v>
      </c>
      <c r="BY21" s="12">
        <f>IF('Données projet'!$A$114&gt;35,BY20+BX21-CG20,IF(A21&lt;'Données projet'!$A$114,$BV$205^A21,IF(A21='Données projet'!$A$114,'Données projet'!$B$114,BY20+BX21-CG20)))</f>
        <v>93.399999999999977</v>
      </c>
      <c r="BZ21" s="13">
        <f>BY21*VLOOKUP('Données projet'!$B$12,Paramètres!$A$1:$I$89,3,0)*VLOOKUP('Données projet'!$B$12,Paramètres!$A$1:$I$89,5,0)</f>
        <v>81.594239999999999</v>
      </c>
      <c r="CA21" s="13">
        <f t="shared" si="39"/>
        <v>22.526535320646335</v>
      </c>
      <c r="CB21" s="20">
        <f t="shared" si="10"/>
        <v>181.34368368345903</v>
      </c>
      <c r="CC21" s="59">
        <f t="shared" si="11"/>
        <v>460.01035035012569</v>
      </c>
      <c r="CD21" s="59">
        <f ca="1">AVERAGE(OFFSET($CC$3,0,0,'Données projet'!$E$12+1,1))-AVERAGE(OFFSET($H$3,0,0,'Données projet'!$E$12+1,1))</f>
        <v>381.72225529388083</v>
      </c>
      <c r="CE21" s="59">
        <f t="shared" si="40"/>
        <v>360.05900046417361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1.1418590239909014</v>
      </c>
      <c r="CM21" s="21">
        <f>EXP(-LN(2)/2)*CM20+(1-EXP(-LN(2)/2))/(LN(2)/2)*CG21*CJ21*VLOOKUP('Données projet'!$B$12,Paramètres!$A$1:$I$89,3,0)*0.475*44/12</f>
        <v>4.3713258796082632</v>
      </c>
      <c r="CN21" s="22">
        <f t="shared" si="12"/>
        <v>5.5131849035991642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11.6</v>
      </c>
      <c r="CT21" s="12">
        <f>IF('Données projet'!$A$140&gt;35,CT20+CS21-DB20,IF(A21&lt;'Données projet'!$A$140,$CQ$205^A21,IF(A21='Données projet'!$A$140,'Données projet'!$B$140,CT20+CS21-DB20)))</f>
        <v>56.800000000000004</v>
      </c>
      <c r="CU21" s="17">
        <f>CT21*VLOOKUP('Données projet'!$B$13,Paramètres!$A$1:$I$89,3,0)*VLOOKUP('Données projet'!$B$13,Paramètres!$A$1:$I$89,5,0)</f>
        <v>45.190080000000009</v>
      </c>
      <c r="CV21" s="13">
        <f t="shared" si="41"/>
        <v>13.364359727915414</v>
      </c>
      <c r="CW21" s="20">
        <f t="shared" si="13"/>
        <v>101.98231585945268</v>
      </c>
      <c r="CX21" s="59">
        <f t="shared" si="14"/>
        <v>380.64898252611937</v>
      </c>
      <c r="CY21" s="59">
        <f ca="1">AVERAGE(OFFSET($CX$3,0,0,'Données projet'!$E$13+1,1))-AVERAGE(OFFSET($H$3,0,0,'Données projet'!$E$13+1,1))</f>
        <v>299.10536994156814</v>
      </c>
      <c r="CZ21" s="59">
        <f t="shared" si="42"/>
        <v>292.57799203101769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1.9226193574630843</v>
      </c>
      <c r="DH21" s="21">
        <f>EXP(-LN(2)/2)*DH20+(1-EXP(-LN(2)/2))/(LN(2)/2)*DB21*DE21*VLOOKUP('Données projet'!$B$13,Paramètres!$A$1:$I$89,3,0)*0.475*44/12</f>
        <v>2.7867202482502678</v>
      </c>
      <c r="DI21" s="22">
        <f t="shared" si="15"/>
        <v>4.7093396057133523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14</v>
      </c>
      <c r="DO21" s="12">
        <f>IF('Données projet'!$A$166&gt;35,DO20+DN21-DW20,IF(A21&lt;'Données projet'!$A$166,$DL$205^A21,IF(A21='Données projet'!$A$166,'Données projet'!$B$166,DO20+DN21-DW20)))</f>
        <v>89</v>
      </c>
      <c r="DP21" s="17">
        <f>DO21*VLOOKUP('Données projet'!$B$14,Paramètres!$A$1:$I$89,3,0)*VLOOKUP('Données projet'!$B$14,Paramètres!$A$1:$I$89,5,0)</f>
        <v>58.312799999999996</v>
      </c>
      <c r="DQ21" s="13">
        <f t="shared" si="43"/>
        <v>16.740986371230957</v>
      </c>
      <c r="DR21" s="20">
        <f t="shared" si="16"/>
        <v>130.71867792989391</v>
      </c>
      <c r="DS21" s="59">
        <f t="shared" si="17"/>
        <v>409.38534459656057</v>
      </c>
      <c r="DT21" s="59">
        <f ca="1">AVERAGE(OFFSET($DS$3,0,0,'Données projet'!$E$14+1,1))-AVERAGE(OFFSET($H$3,0,0,'Données projet'!$E$14+1,1))</f>
        <v>295.92103934364718</v>
      </c>
      <c r="DU21" s="59">
        <f t="shared" si="44"/>
        <v>304.84379909635476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0.28546475599772531</v>
      </c>
      <c r="EC21" s="21">
        <f>EXP(-LN(2)/2)*EC20+(1-EXP(-LN(2)/2))/(LN(2)/2)*DW21*DZ21*VLOOKUP('Données projet'!$B$14,Paramètres!$A$1:$I$89,3,0)*0.475*44/12</f>
        <v>0.43713258796082638</v>
      </c>
      <c r="ED21" s="22">
        <f t="shared" si="18"/>
        <v>0.72259734395855169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7.9</v>
      </c>
      <c r="N22" s="13">
        <f>IF('Données projet'!$A$36&gt;35,N21+M22-V21,IF(A22&lt;'Données projet'!$A$36,$K$205^A22,IF(A22='Données projet'!$A$36,'Données projet'!$B$36,N21+M22-V21)))</f>
        <v>122.66600817840934</v>
      </c>
      <c r="O22" s="13">
        <f>N22*VLOOKUP('Données projet'!$B$9,Paramètres!$A$1:$I$89,3,0)*VLOOKUP('Données projet'!$B$9,Paramètres!$A$1:$I$89,5,0)</f>
        <v>57.407691827495569</v>
      </c>
      <c r="P22" s="13">
        <f t="shared" si="33"/>
        <v>16.511176981334152</v>
      </c>
      <c r="Q22" s="20">
        <f t="shared" si="2"/>
        <v>128.7420298420451</v>
      </c>
      <c r="R22" s="59">
        <f t="shared" si="0"/>
        <v>408.63091873093396</v>
      </c>
      <c r="S22" s="59">
        <f ca="1">AVERAGE(OFFSET($R$3,0,0,'Données projet'!$E$9+1,1))-AVERAGE(OFFSET($H$3,0,0,'Données projet'!$E$9+1,1))</f>
        <v>319.22903094674564</v>
      </c>
      <c r="T22" s="59">
        <f t="shared" si="34"/>
        <v>254.58690973142848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15.15</v>
      </c>
      <c r="AI22" s="13">
        <f>IF('Données projet'!$A$62&gt;35,AI21+AH22-AQ21,IF(A22&lt;'Données projet'!$A$62,$AF$205^A22,IF(A22='Données projet'!$A$62,'Données projet'!$B$62,AI21+AH22-AQ21)))</f>
        <v>227.70391468944055</v>
      </c>
      <c r="AJ22" s="13">
        <f>AI22*VLOOKUP('Données projet'!$B$10,Paramètres!$A$1:$I$89,3,0)*VLOOKUP('Données projet'!$B$10,Paramètres!$A$1:$I$89,5,0)</f>
        <v>127.28648831139728</v>
      </c>
      <c r="AK22" s="13">
        <f t="shared" si="35"/>
        <v>33.368578762209985</v>
      </c>
      <c r="AL22" s="20">
        <f t="shared" si="4"/>
        <v>279.80757515319931</v>
      </c>
      <c r="AM22" s="59">
        <f t="shared" si="5"/>
        <v>559.69646404208811</v>
      </c>
      <c r="AN22" s="59">
        <f ca="1">AVERAGE(OFFSET($AM$3,0,0,'Données projet'!$E$10+1,1))-AVERAGE(OFFSET($H$3,0,0,'Données projet'!$E$10+1,1))</f>
        <v>544.48194192356823</v>
      </c>
      <c r="AO22" s="59">
        <f t="shared" si="36"/>
        <v>668.20427590250733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3.65</v>
      </c>
      <c r="BD22" s="12">
        <f>IF('Données projet'!$A$88&gt;35,BD21+BC22-BL21,IF(A22&lt;'Données projet'!$A$88,$BA$205^A22,IF(A22='Données projet'!$A$88,'Données projet'!$B$88,BD21+BC22-BL21)))</f>
        <v>58.90561805764559</v>
      </c>
      <c r="BE22" s="13">
        <f>BD22*VLOOKUP('Données projet'!$B$11,Paramètres!$A$1:$I$89,3,0)*VLOOKUP('Données projet'!$B$11,Paramètres!$A$1:$I$89,5,0)</f>
        <v>53.297803218557732</v>
      </c>
      <c r="BF22" s="13">
        <f t="shared" si="37"/>
        <v>15.462240012873817</v>
      </c>
      <c r="BG22" s="20">
        <f t="shared" si="7"/>
        <v>119.75707529474329</v>
      </c>
      <c r="BH22" s="59">
        <f t="shared" si="8"/>
        <v>399.64596418363215</v>
      </c>
      <c r="BI22" s="59">
        <f ca="1">AVERAGE(OFFSET($BH$3,0,0,'Données projet'!$E$11+1,1))-AVERAGE(OFFSET($H$3,0,0,'Données projet'!$E$11+1,1))</f>
        <v>405.7176439604217</v>
      </c>
      <c r="BJ22" s="59">
        <f t="shared" si="38"/>
        <v>278.21741231699929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11.8</v>
      </c>
      <c r="BY22" s="12">
        <f>IF('Données projet'!$A$114&gt;35,BY21+BX22-CG21,IF(A22&lt;'Données projet'!$A$114,$BV$205^A22,IF(A22='Données projet'!$A$114,'Données projet'!$B$114,BY21+BX22-CG21)))</f>
        <v>105.19999999999997</v>
      </c>
      <c r="BZ22" s="13">
        <f>BY22*VLOOKUP('Données projet'!$B$12,Paramètres!$A$1:$I$89,3,0)*VLOOKUP('Données projet'!$B$12,Paramètres!$A$1:$I$89,5,0)</f>
        <v>91.902719999999988</v>
      </c>
      <c r="CA22" s="13">
        <f t="shared" si="39"/>
        <v>25.023555003327861</v>
      </c>
      <c r="CB22" s="20">
        <f t="shared" si="10"/>
        <v>203.64659563079599</v>
      </c>
      <c r="CC22" s="59">
        <f t="shared" si="11"/>
        <v>483.53548451968481</v>
      </c>
      <c r="CD22" s="59">
        <f ca="1">AVERAGE(OFFSET($CC$3,0,0,'Données projet'!$E$12+1,1))-AVERAGE(OFFSET($H$3,0,0,'Données projet'!$E$12+1,1))</f>
        <v>381.72225529388083</v>
      </c>
      <c r="CE22" s="59">
        <f t="shared" si="40"/>
        <v>360.05900046417361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1.110634828932114</v>
      </c>
      <c r="CM22" s="21">
        <f>EXP(-LN(2)/2)*CM21+(1-EXP(-LN(2)/2))/(LN(2)/2)*CG22*CJ22*VLOOKUP('Données projet'!$B$12,Paramètres!$A$1:$I$89,3,0)*0.475*44/12</f>
        <v>3.0909941722472527</v>
      </c>
      <c r="CN22" s="22">
        <f t="shared" si="12"/>
        <v>4.2016290011793664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11.6</v>
      </c>
      <c r="CT22" s="12">
        <f>IF('Données projet'!$A$140&gt;35,CT21+CS22-DB21,IF(A22&lt;'Données projet'!$A$140,$CQ$205^A22,IF(A22='Données projet'!$A$140,'Données projet'!$B$140,CT21+CS22-DB21)))</f>
        <v>68.400000000000006</v>
      </c>
      <c r="CU22" s="17">
        <f>CT22*VLOOKUP('Données projet'!$B$13,Paramètres!$A$1:$I$89,3,0)*VLOOKUP('Données projet'!$B$13,Paramètres!$A$1:$I$89,5,0)</f>
        <v>54.419040000000003</v>
      </c>
      <c r="CV22" s="13">
        <f t="shared" si="41"/>
        <v>15.749310274925152</v>
      </c>
      <c r="CW22" s="20">
        <f t="shared" si="13"/>
        <v>122.20987672882796</v>
      </c>
      <c r="CX22" s="59">
        <f t="shared" si="14"/>
        <v>402.09876561771682</v>
      </c>
      <c r="CY22" s="59">
        <f ca="1">AVERAGE(OFFSET($CX$3,0,0,'Données projet'!$E$13+1,1))-AVERAGE(OFFSET($H$3,0,0,'Données projet'!$E$13+1,1))</f>
        <v>299.10536994156814</v>
      </c>
      <c r="CZ22" s="59">
        <f t="shared" si="42"/>
        <v>292.57799203101769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1.8700452300270984</v>
      </c>
      <c r="DH22" s="21">
        <f>EXP(-LN(2)/2)*DH21+(1-EXP(-LN(2)/2))/(LN(2)/2)*DB22*DE22*VLOOKUP('Données projet'!$B$13,Paramètres!$A$1:$I$89,3,0)*0.475*44/12</f>
        <v>1.9705087848076237</v>
      </c>
      <c r="DI22" s="22">
        <f t="shared" si="15"/>
        <v>3.8405540148347219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14</v>
      </c>
      <c r="DO22" s="12">
        <f>IF('Données projet'!$A$166&gt;35,DO21+DN22-DW21,IF(A22&lt;'Données projet'!$A$166,$DL$205^A22,IF(A22='Données projet'!$A$166,'Données projet'!$B$166,DO21+DN22-DW21)))</f>
        <v>103</v>
      </c>
      <c r="DP22" s="17">
        <f>DO22*VLOOKUP('Données projet'!$B$14,Paramètres!$A$1:$I$89,3,0)*VLOOKUP('Données projet'!$B$14,Paramètres!$A$1:$I$89,5,0)</f>
        <v>67.485600000000005</v>
      </c>
      <c r="DQ22" s="13">
        <f t="shared" si="43"/>
        <v>19.047720279466478</v>
      </c>
      <c r="DR22" s="20">
        <f t="shared" si="16"/>
        <v>150.71219948673746</v>
      </c>
      <c r="DS22" s="59">
        <f t="shared" si="17"/>
        <v>430.60108837562632</v>
      </c>
      <c r="DT22" s="59">
        <f ca="1">AVERAGE(OFFSET($DS$3,0,0,'Données projet'!$E$14+1,1))-AVERAGE(OFFSET($H$3,0,0,'Données projet'!$E$14+1,1))</f>
        <v>295.92103934364718</v>
      </c>
      <c r="DU22" s="59">
        <f t="shared" si="44"/>
        <v>304.84379909635476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0.27765870723302843</v>
      </c>
      <c r="EC22" s="21">
        <f>EXP(-LN(2)/2)*EC21+(1-EXP(-LN(2)/2))/(LN(2)/2)*DW22*DZ22*VLOOKUP('Données projet'!$B$14,Paramètres!$A$1:$I$89,3,0)*0.475*44/12</f>
        <v>0.30909941722472534</v>
      </c>
      <c r="ED22" s="22">
        <f t="shared" si="18"/>
        <v>0.58675812445775377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158</v>
      </c>
      <c r="L23" s="12">
        <f>VLOOKUP(A23,'Données projet'!$A$35:$I$55,9,0)</f>
        <v>7.9</v>
      </c>
      <c r="M23" s="12">
        <f t="array" ref="M23">INDEX(L:L,MIN(IF(ISNUMBER(L23:L219),ROW(L23:L219),"")))</f>
        <v>7.9</v>
      </c>
      <c r="N23" s="13">
        <f>IF('Données projet'!$A$36&gt;35,N22+M23-V22,IF(A23&lt;'Données projet'!$A$36,$K$205^A23,IF(A23='Données projet'!$A$36,'Données projet'!$B$36,N22+M23-V22)))</f>
        <v>158</v>
      </c>
      <c r="O23" s="13">
        <f>N23*VLOOKUP('Données projet'!$B$9,Paramètres!$A$1:$I$89,3,0)*VLOOKUP('Données projet'!$B$9,Paramètres!$A$1:$I$89,5,0)</f>
        <v>73.944000000000003</v>
      </c>
      <c r="P23" s="13">
        <f t="shared" si="33"/>
        <v>20.649745460165708</v>
      </c>
      <c r="Q23" s="20">
        <f t="shared" si="2"/>
        <v>164.75077334312192</v>
      </c>
      <c r="R23" s="59">
        <f t="shared" si="0"/>
        <v>445.86188445423306</v>
      </c>
      <c r="S23" s="59">
        <f ca="1">AVERAGE(OFFSET($R$3,0,0,'Données projet'!$E$9+1,1))-AVERAGE(OFFSET($H$3,0,0,'Données projet'!$E$9+1,1))</f>
        <v>319.22903094674564</v>
      </c>
      <c r="T23" s="59">
        <f t="shared" si="34"/>
        <v>254.58690973142848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39.5</v>
      </c>
      <c r="W23" s="16">
        <f>IF(ISNA(VLOOKUP(A23,'Données projet'!$A$35:$I$55,5,0)),0%,VLOOKUP(A23,'Données projet'!$A$35:$I$55,5,0)*VLOOKUP('Données projet'!$B$9,Paramètres!$A$1:$I$89,7,0))</f>
        <v>0.11000000000000001</v>
      </c>
      <c r="X23" s="16">
        <f>IF(ISNA(VLOOKUP(A23,'Données projet'!$A$35:$I$55,6,0)),0%,VLOOKUP(A23,'Données projet'!$A$35:$I$55,6,0)*VLOOKUP('Données projet'!$B$9,Paramètres!$A$1:$I$89,7,0))</f>
        <v>0.11000000000000001</v>
      </c>
      <c r="Y23" s="16">
        <f>IF(ISNA(VLOOKUP(A23,'Données projet'!$A$35:$I$55,7,0)),0%,VLOOKUP(A23,'Données projet'!$A$35:$I$55,7,0))</f>
        <v>0.6</v>
      </c>
      <c r="Z23" s="21">
        <f>EXP(-LN(2)/35)*Z22+(1-EXP(-LN(2)/35))/(LN(2)/35)*V23*W23*VLOOKUP('Données projet'!$B$9,Paramètres!$A$1:$I$89,3,0)*0.475*44/12</f>
        <v>2.6975157575580879</v>
      </c>
      <c r="AA23" s="21">
        <f>EXP(-LN(2)/25)*AA22+(1-EXP(-LN(2)/25))/(LN(2)/25)*Calculateur!V23*Calculateur!X23*VLOOKUP('Données projet'!$B$9,Paramètres!$A$1:$I$89,3,0)*0.475*44/12</f>
        <v>2.686894610186497</v>
      </c>
      <c r="AB23" s="21">
        <f>EXP(-LN(2)/2)*AB22+(1-EXP(-LN(2)/2))/(LN(2)/2)*V23*Y23*VLOOKUP('Données projet'!$B$9,Paramètres!$A$1:$I$89,3,0)*0.475*44/12</f>
        <v>12.558267751244545</v>
      </c>
      <c r="AC23" s="22">
        <f t="shared" si="3"/>
        <v>17.942678118989129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projet'!$A$61:$I$81,2,0)</f>
        <v>303</v>
      </c>
      <c r="AG23" s="12">
        <f>VLOOKUP(A23,'Données projet'!$A$61:$I$81,9,0)</f>
        <v>15.15</v>
      </c>
      <c r="AH23" s="12">
        <f t="array" ref="AH23">INDEX(AG:AG,MIN(IF(ISNUMBER(AG23:AG219),ROW(AG23:AG219),"")))</f>
        <v>15.15</v>
      </c>
      <c r="AI23" s="13">
        <f>IF('Données projet'!$A$62&gt;35,AI22+AH23-AQ22,IF(A23&lt;'Données projet'!$A$62,$AF$205^A23,IF(A23='Données projet'!$A$62,'Données projet'!$B$62,AI22+AH23-AQ22)))</f>
        <v>303</v>
      </c>
      <c r="AJ23" s="13">
        <f>AI23*VLOOKUP('Données projet'!$B$10,Paramètres!$A$1:$I$89,3,0)*VLOOKUP('Données projet'!$B$10,Paramètres!$A$1:$I$89,5,0)</f>
        <v>169.37700000000001</v>
      </c>
      <c r="AK23" s="13">
        <f t="shared" si="35"/>
        <v>42.950462509094685</v>
      </c>
      <c r="AL23" s="20">
        <f t="shared" si="4"/>
        <v>369.80366387000657</v>
      </c>
      <c r="AM23" s="59">
        <f t="shared" si="5"/>
        <v>650.91477498111772</v>
      </c>
      <c r="AN23" s="59">
        <f ca="1">AVERAGE(OFFSET($AM$3,0,0,'Données projet'!$E$10+1,1))-AVERAGE(OFFSET($H$3,0,0,'Données projet'!$E$10+1,1))</f>
        <v>544.48194192356823</v>
      </c>
      <c r="AO23" s="59">
        <f t="shared" si="36"/>
        <v>668.20427590250733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43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0.33</v>
      </c>
      <c r="AT23" s="16">
        <f>IF(ISNA(VLOOKUP(A23,'Données projet'!$A$61:$I$81,7,0)),0%,VLOOKUP(A23,'Données projet'!$A$61:$I$81,7,0))</f>
        <v>0.4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10.481156401339309</v>
      </c>
      <c r="AW23" s="21">
        <f>EXP(-LN(2)/2)*AW22+(1-EXP(-LN(2)/2))/(LN(2)/2)*AQ23*AT23*VLOOKUP('Données projet'!$B$10,Paramètres!$A$1:$I$89,3,0)*0.475*44/12</f>
        <v>10.886187094257464</v>
      </c>
      <c r="AX23" s="21">
        <f t="shared" si="6"/>
        <v>21.367343495596771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>
        <f>VLOOKUP(A23,'Données projet'!$A$87:$I$107,2,0)</f>
        <v>73</v>
      </c>
      <c r="BB23" s="12">
        <f>VLOOKUP(A23,'Données projet'!$A$87:$I$107,9,0)</f>
        <v>3.65</v>
      </c>
      <c r="BC23" s="12">
        <f t="array" ref="BC23">INDEX(BB:BB,MIN(IF(ISNUMBER(BB23:BB219),ROW(BB23:BB219),"")))</f>
        <v>3.65</v>
      </c>
      <c r="BD23" s="12">
        <f>IF('Données projet'!$A$88&gt;35,BD22+BC23-BL22,IF(A23&lt;'Données projet'!$A$88,$BA$205^A23,IF(A23='Données projet'!$A$88,'Données projet'!$B$88,BD22+BC23-BL22)))</f>
        <v>73</v>
      </c>
      <c r="BE23" s="13">
        <f>BD23*VLOOKUP('Données projet'!$B$11,Paramètres!$A$1:$I$89,3,0)*VLOOKUP('Données projet'!$B$11,Paramètres!$A$1:$I$89,5,0)</f>
        <v>66.050399999999996</v>
      </c>
      <c r="BF23" s="13">
        <f t="shared" si="37"/>
        <v>18.689342126897891</v>
      </c>
      <c r="BG23" s="20">
        <f t="shared" si="7"/>
        <v>147.58838420434714</v>
      </c>
      <c r="BH23" s="59">
        <f t="shared" si="8"/>
        <v>428.69949531545831</v>
      </c>
      <c r="BI23" s="59">
        <f ca="1">AVERAGE(OFFSET($BH$3,0,0,'Données projet'!$E$11+1,1))-AVERAGE(OFFSET($H$3,0,0,'Données projet'!$E$11+1,1))</f>
        <v>405.7176439604217</v>
      </c>
      <c r="BJ23" s="59">
        <f t="shared" si="38"/>
        <v>278.21741231699929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6</v>
      </c>
      <c r="BM23" s="16">
        <f>IF(ISNA(VLOOKUP(A23,'Données projet'!$A$87:$I$107,5,0)),0%,VLOOKUP(A23,'Données projet'!$A$87:$I$107,5,0)*VLOOKUP('Données projet'!$B$11,Paramètres!$A$1:$I$89,7,0))</f>
        <v>8.6000000000000007E-2</v>
      </c>
      <c r="BN23" s="16">
        <f>IF(ISNA(VLOOKUP(A23,'Données projet'!$A$87:$I$107,6,0)),0%,VLOOKUP(A23,'Données projet'!$A$87:$I$107,6,0)*VLOOKUP('Données projet'!$B$11,Paramètres!$A$1:$I$89,7,0))</f>
        <v>8.6000000000000007E-2</v>
      </c>
      <c r="BO23" s="16">
        <f>IF(ISNA(VLOOKUP(A23,'Données projet'!$A$87:$I$107,7,0)),0%,VLOOKUP(A23,'Données projet'!$A$87:$I$107,7,0))</f>
        <v>0.6</v>
      </c>
      <c r="BP23" s="21">
        <f>EXP(-LN(2)/35)*BP22+(1-EXP(-LN(2)/35))/(LN(2)/35)*BL23*BM23*VLOOKUP('Données projet'!$B$11,Paramètres!$A$1:$I$89,3,0)*0.475*44/12</f>
        <v>0.51611847329112925</v>
      </c>
      <c r="BQ23" s="21">
        <f>EXP(-LN(2)/25)*BQ22+(1-EXP(-LN(2)/25))/(LN(2)/25)*Calculateur!BL23*Calculateur!BN23*VLOOKUP('Données projet'!$B$11,Paramètres!$A$1:$I$89,3,0)*0.475*44/12</f>
        <v>0.51408631820522621</v>
      </c>
      <c r="BR23" s="21">
        <f>EXP(-LN(2)/2)*BR22+(1-EXP(-LN(2)/2))/(LN(2)/2)*BL23*BO23*VLOOKUP('Données projet'!$B$11,Paramètres!$A$1:$I$89,3,0)*0.475*44/12</f>
        <v>3.0733313484058384</v>
      </c>
      <c r="BS23" s="22">
        <f t="shared" si="9"/>
        <v>4.1035361399021939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>
        <f>VLOOKUP(A23,'Données projet'!$A$113:$I$133,2,0)</f>
        <v>117</v>
      </c>
      <c r="BW23" s="12">
        <f>VLOOKUP(A23,'Données projet'!$A$113:$I$133,9,0)</f>
        <v>11.8</v>
      </c>
      <c r="BX23" s="12">
        <f t="array" ref="BX23">INDEX(BW:BW,MIN(IF(ISNUMBER(BW23:BW219),ROW(BW23:BW219),"")))</f>
        <v>11.8</v>
      </c>
      <c r="BY23" s="12">
        <f>IF('Données projet'!$A$114&gt;35,BY22+BX23-CG22,IF(A23&lt;'Données projet'!$A$114,$BV$205^A23,IF(A23='Données projet'!$A$114,'Données projet'!$B$114,BY22+BX23-CG22)))</f>
        <v>116.99999999999997</v>
      </c>
      <c r="BZ23" s="13">
        <f>BY23*VLOOKUP('Données projet'!$B$12,Paramètres!$A$1:$I$89,3,0)*VLOOKUP('Données projet'!$B$12,Paramètres!$A$1:$I$89,5,0)</f>
        <v>102.21119999999999</v>
      </c>
      <c r="CA23" s="13">
        <f t="shared" si="39"/>
        <v>27.488113037666018</v>
      </c>
      <c r="CB23" s="20">
        <f t="shared" si="10"/>
        <v>225.89297020726829</v>
      </c>
      <c r="CC23" s="59">
        <f t="shared" si="11"/>
        <v>507.00408131837946</v>
      </c>
      <c r="CD23" s="59">
        <f ca="1">AVERAGE(OFFSET($CC$3,0,0,'Données projet'!$E$12+1,1))-AVERAGE(OFFSET($H$3,0,0,'Données projet'!$E$12+1,1))</f>
        <v>381.72225529388083</v>
      </c>
      <c r="CE23" s="59">
        <f t="shared" si="40"/>
        <v>360.05900046417361</v>
      </c>
      <c r="CF23" s="15">
        <f>IF(ISNA(VLOOKUP(A23,'Données projet'!$A$113:$I$133,3,0)),0,VLOOKUP(A23,'Données projet'!$A$113:$I$133,3,0))</f>
        <v>2</v>
      </c>
      <c r="CG23" s="15">
        <f>IF(ISNA(VLOOKUP(A23,'Données projet'!$A$113:$I$133,4,0)),0,VLOOKUP(A23,'Données projet'!$A$113:$I$133,4,0))</f>
        <v>29</v>
      </c>
      <c r="CH23" s="16">
        <f>IF(ISNA(VLOOKUP(A23,'Données projet'!$A$113:$I$133,5,0)),0%,VLOOKUP(A23,'Données projet'!$A$113:$I$133,5,0)*VLOOKUP('Données projet'!$B$12,Paramètres!$A$1:$I$89,7,0))</f>
        <v>4.3000000000000003E-2</v>
      </c>
      <c r="CI23" s="16">
        <f>IF(ISNA(VLOOKUP(A23,'Données projet'!$A$113:$I$133,6,0)),0%,VLOOKUP(A23,'Données projet'!$A$113:$I$133,6,0)*VLOOKUP('Données projet'!$B$12,Paramètres!$A$1:$I$89,7,0))</f>
        <v>8.6000000000000007E-2</v>
      </c>
      <c r="CJ23" s="16">
        <f>IF(ISNA(VLOOKUP(A23,'Données projet'!$A$113:$I$133,7,0)),0%,VLOOKUP(A23,'Données projet'!$A$113:$I$133,7,0))</f>
        <v>0.4</v>
      </c>
      <c r="CK23" s="21">
        <f>EXP(-LN(2)/35)*CK22+(1-EXP(-LN(2)/35))/(LN(2)/35)*CG23*CH23*VLOOKUP('Données projet'!$B$12,Paramètres!$A$1:$I$89,3,0)*0.475*44/12</f>
        <v>1.2042764376793018</v>
      </c>
      <c r="CL23" s="21">
        <f>EXP(-LN(2)/25)*CL22+(1-EXP(-LN(2)/25))/(LN(2)/25)*Calculateur!CG23*Calculateur!CI23*VLOOKUP('Données projet'!$B$12,Paramètres!$A$1:$I$89,3,0)*0.475*44/12</f>
        <v>3.4793339460869404</v>
      </c>
      <c r="CM23" s="21">
        <f>EXP(-LN(2)/2)*CM22+(1-EXP(-LN(2)/2))/(LN(2)/2)*CG23*CJ23*VLOOKUP('Données projet'!$B$12,Paramètres!$A$1:$I$89,3,0)*0.475*44/12</f>
        <v>11.747138245955634</v>
      </c>
      <c r="CN23" s="22">
        <f t="shared" si="12"/>
        <v>16.430748629721876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>
        <f>VLOOKUP(A23,'Données projet'!$A$139:$I$159,2,0)</f>
        <v>80</v>
      </c>
      <c r="CR23" s="12">
        <f>VLOOKUP(A23,'Données projet'!$A$139:$I$159,9,0)</f>
        <v>11.6</v>
      </c>
      <c r="CS23" s="12">
        <f t="array" ref="CS23">INDEX(CR:CR,MIN(IF(ISNUMBER(CR23:CR219),ROW(CR23:CR219),"")))</f>
        <v>11.6</v>
      </c>
      <c r="CT23" s="12">
        <f>IF('Données projet'!$A$140&gt;35,CT22+CS23-DB22,IF(A23&lt;'Données projet'!$A$140,$CQ$205^A23,IF(A23='Données projet'!$A$140,'Données projet'!$B$140,CT22+CS23-DB22)))</f>
        <v>80</v>
      </c>
      <c r="CU23" s="17">
        <f>CT23*VLOOKUP('Données projet'!$B$13,Paramètres!$A$1:$I$89,3,0)*VLOOKUP('Données projet'!$B$13,Paramètres!$A$1:$I$89,5,0)</f>
        <v>63.647999999999996</v>
      </c>
      <c r="CV23" s="13">
        <f t="shared" si="41"/>
        <v>18.087405707268363</v>
      </c>
      <c r="CW23" s="20">
        <f t="shared" si="13"/>
        <v>142.35583160682572</v>
      </c>
      <c r="CX23" s="59">
        <f t="shared" si="14"/>
        <v>423.46694271793683</v>
      </c>
      <c r="CY23" s="59">
        <f ca="1">AVERAGE(OFFSET($CX$3,0,0,'Données projet'!$E$13+1,1))-AVERAGE(OFFSET($H$3,0,0,'Données projet'!$E$13+1,1))</f>
        <v>299.10536994156814</v>
      </c>
      <c r="CZ23" s="59">
        <f t="shared" si="42"/>
        <v>292.57799203101769</v>
      </c>
      <c r="DA23" s="15">
        <f>IF(ISNA(VLOOKUP(A23,'Données projet'!$A$139:$I$159,3,0)),0,VLOOKUP(A23,'Données projet'!$A$139:$I$159,3,0))</f>
        <v>2</v>
      </c>
      <c r="DB23" s="15">
        <f>IF(ISNA(VLOOKUP(A23,'Données projet'!$A$139:$I$159,4,0)),0,VLOOKUP(A23,'Données projet'!$A$139:$I$159,4,0))</f>
        <v>28</v>
      </c>
      <c r="DC23" s="16">
        <f>IF(ISNA(VLOOKUP(A23,'Données projet'!$A$139:$I$159,5,0)),0%,VLOOKUP(A23,'Données projet'!$A$139:$I$159,5,0)*VLOOKUP('Données projet'!$B$13,Paramètres!$A$1:$I$89,7,0))</f>
        <v>0.10600000000000001</v>
      </c>
      <c r="DD23" s="16">
        <f>IF(ISNA(VLOOKUP(A23,'Données projet'!$A$139:$I$159,6,0)),0%,VLOOKUP(A23,'Données projet'!$A$139:$I$159,6,0)*VLOOKUP('Données projet'!$B$13,Paramètres!$A$1:$I$89,7,0))</f>
        <v>0.10600000000000001</v>
      </c>
      <c r="DE23" s="16">
        <f>IF(ISNA(VLOOKUP(A23,'Données projet'!$A$139:$I$159,7,0)),0%,VLOOKUP(A23,'Données projet'!$A$139:$I$159,7,0))</f>
        <v>0.6</v>
      </c>
      <c r="DF23" s="21">
        <f>EXP(-LN(2)/35)*DF22+(1-EXP(-LN(2)/35))/(LN(2)/35)*DB23*DC23*VLOOKUP('Données projet'!$B$13,Paramètres!$A$1:$I$89,3,0)*0.475*44/12</f>
        <v>2.6103923103826401</v>
      </c>
      <c r="DG23" s="21">
        <f>EXP(-LN(2)/25)*DG22+(1-EXP(-LN(2)/25))/(LN(2)/25)*Calculateur!DB23*Calculateur!DD23*VLOOKUP('Données projet'!$B$13,Paramètres!$A$1:$I$89,3,0)*0.475*44/12</f>
        <v>4.419022946089818</v>
      </c>
      <c r="DH23" s="21">
        <f>EXP(-LN(2)/2)*DH22+(1-EXP(-LN(2)/2))/(LN(2)/2)*DB23*DE23*VLOOKUP('Données projet'!$B$13,Paramètres!$A$1:$I$89,3,0)*0.475*44/12</f>
        <v>14.004616346893924</v>
      </c>
      <c r="DI23" s="22">
        <f t="shared" si="15"/>
        <v>21.03403160336638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>
        <f>VLOOKUP(A23,'Données projet'!$A$165:$I$185,2,0)</f>
        <v>117</v>
      </c>
      <c r="DM23" s="12">
        <f>VLOOKUP(A23,'Données projet'!$A$165:$I$185,9,0)</f>
        <v>14</v>
      </c>
      <c r="DN23" s="12">
        <f t="array" ref="DN23">INDEX(DM:DM,MIN(IF(ISNUMBER(DM23:DM219),ROW(DM23:DM219),"")))</f>
        <v>14</v>
      </c>
      <c r="DO23" s="12">
        <f>IF('Données projet'!$A$166&gt;35,DO22+DN23-DW22,IF(A23&lt;'Données projet'!$A$166,$DL$205^A23,IF(A23='Données projet'!$A$166,'Données projet'!$B$166,DO22+DN23-DW22)))</f>
        <v>117</v>
      </c>
      <c r="DP23" s="17">
        <f>DO23*VLOOKUP('Données projet'!$B$14,Paramètres!$A$1:$I$89,3,0)*VLOOKUP('Données projet'!$B$14,Paramètres!$A$1:$I$89,5,0)</f>
        <v>76.6584</v>
      </c>
      <c r="DQ23" s="13">
        <f t="shared" si="43"/>
        <v>21.318127749842347</v>
      </c>
      <c r="DR23" s="20">
        <f t="shared" si="16"/>
        <v>170.6424524976421</v>
      </c>
      <c r="DS23" s="59">
        <f t="shared" si="17"/>
        <v>451.75356360875321</v>
      </c>
      <c r="DT23" s="59">
        <f ca="1">AVERAGE(OFFSET($DS$3,0,0,'Données projet'!$E$14+1,1))-AVERAGE(OFFSET($H$3,0,0,'Données projet'!$E$14+1,1))</f>
        <v>295.92103934364718</v>
      </c>
      <c r="DU23" s="59">
        <f t="shared" si="44"/>
        <v>304.84379909635476</v>
      </c>
      <c r="DV23" s="15">
        <f>IF(ISNA(VLOOKUP(A23,'Données projet'!$A$165:$I$185,3,0)),0,VLOOKUP(A23,'Données projet'!$A$165:$I$185,3,0))</f>
        <v>3</v>
      </c>
      <c r="DW23" s="15">
        <f>IF(ISNA(VLOOKUP(A23,'Données projet'!$A$165:$I$185,4,0)),0,VLOOKUP(A23,'Données projet'!$A$165:$I$185,4,0))</f>
        <v>12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0.17200000000000001</v>
      </c>
      <c r="DZ23" s="16">
        <f>IF(ISNA(VLOOKUP(A23,'Données projet'!$A$165:$I$185,7,0)),0%,VLOOKUP(A23,'Données projet'!$A$165:$I$185,7,0))</f>
        <v>0.6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1.7591437266353738</v>
      </c>
      <c r="EC23" s="21">
        <f>EXP(-LN(2)/2)*EC22+(1-EXP(-LN(2)/2))/(LN(2)/2)*DW23*DZ23*VLOOKUP('Données projet'!$B$14,Paramètres!$A$1:$I$89,3,0)*0.475*44/12</f>
        <v>4.6695979020164557</v>
      </c>
      <c r="ED23" s="22">
        <f t="shared" si="18"/>
        <v>6.4287416286518297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9.1999999999999993</v>
      </c>
      <c r="N24" s="13">
        <f>IF('Données projet'!$A$36&gt;35,N23+M24-V23,IF(A24&lt;'Données projet'!$A$36,$K$205^A24,IF(A24='Données projet'!$A$36,'Données projet'!$B$36,N23+M24-V23)))</f>
        <v>127.69999999999999</v>
      </c>
      <c r="O24" s="13">
        <f>N24*VLOOKUP('Données projet'!$B$9,Paramètres!$A$1:$I$89,3,0)*VLOOKUP('Données projet'!$B$9,Paramètres!$A$1:$I$89,5,0)</f>
        <v>59.763599999999997</v>
      </c>
      <c r="P24" s="13">
        <f t="shared" si="33"/>
        <v>17.108485949725164</v>
      </c>
      <c r="Q24" s="20">
        <f t="shared" si="2"/>
        <v>133.88554969577129</v>
      </c>
      <c r="R24" s="59">
        <f t="shared" si="0"/>
        <v>416.21888302910463</v>
      </c>
      <c r="S24" s="59">
        <f ca="1">AVERAGE(OFFSET($R$3,0,0,'Données projet'!$E$9+1,1))-AVERAGE(OFFSET($H$3,0,0,'Données projet'!$E$9+1,1))</f>
        <v>319.22903094674564</v>
      </c>
      <c r="T24" s="59">
        <f t="shared" si="34"/>
        <v>254.58690973142848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2.6446191188745241</v>
      </c>
      <c r="AA24" s="21">
        <f>EXP(-LN(2)/25)*AA23+(1-EXP(-LN(2)/25))/(LN(2)/25)*Calculateur!V24*Calculateur!X24*VLOOKUP('Données projet'!$B$9,Paramètres!$A$1:$I$89,3,0)*0.475*44/12</f>
        <v>2.6134213357733005</v>
      </c>
      <c r="AB24" s="21">
        <f>EXP(-LN(2)/2)*AB23+(1-EXP(-LN(2)/2))/(LN(2)/2)*V24*Y24*VLOOKUP('Données projet'!$B$9,Paramètres!$A$1:$I$89,3,0)*0.475*44/12</f>
        <v>8.8800362868613529</v>
      </c>
      <c r="AC24" s="22">
        <f t="shared" si="3"/>
        <v>14.138076741509177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31.8</v>
      </c>
      <c r="AI24" s="13">
        <f>IF('Données projet'!$A$62&gt;35,AI23+AH24-AQ23,IF(A24&lt;'Données projet'!$A$62,$AF$205^A24,IF(A24='Données projet'!$A$62,'Données projet'!$B$62,AI23+AH24-AQ23)))</f>
        <v>291.8</v>
      </c>
      <c r="AJ24" s="13">
        <f>AI24*VLOOKUP('Données projet'!$B$10,Paramètres!$A$1:$I$89,3,0)*VLOOKUP('Données projet'!$B$10,Paramètres!$A$1:$I$89,5,0)</f>
        <v>163.11620000000002</v>
      </c>
      <c r="AK24" s="13">
        <f t="shared" si="35"/>
        <v>41.544592017733144</v>
      </c>
      <c r="AL24" s="20">
        <f t="shared" si="4"/>
        <v>356.45087943088532</v>
      </c>
      <c r="AM24" s="59">
        <f t="shared" si="5"/>
        <v>638.78421276421864</v>
      </c>
      <c r="AN24" s="59">
        <f ca="1">AVERAGE(OFFSET($AM$3,0,0,'Données projet'!$E$10+1,1))-AVERAGE(OFFSET($H$3,0,0,'Données projet'!$E$10+1,1))</f>
        <v>544.48194192356823</v>
      </c>
      <c r="AO24" s="59">
        <f t="shared" si="36"/>
        <v>668.20427590250733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10.194548628364625</v>
      </c>
      <c r="AW24" s="21">
        <f>EXP(-LN(2)/2)*AW23+(1-EXP(-LN(2)/2))/(LN(2)/2)*AQ24*AT24*VLOOKUP('Données projet'!$B$10,Paramètres!$A$1:$I$89,3,0)*0.475*44/12</f>
        <v>7.6976967156149305</v>
      </c>
      <c r="AX24" s="21">
        <f t="shared" si="6"/>
        <v>17.892245343979557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7.2</v>
      </c>
      <c r="BD24" s="12">
        <f>IF('Données projet'!$A$88&gt;35,BD23+BC24-BL23,IF(A24&lt;'Données projet'!$A$88,$BA$205^A24,IF(A24='Données projet'!$A$88,'Données projet'!$B$88,BD23+BC24-BL23)))</f>
        <v>74.2</v>
      </c>
      <c r="BE24" s="13">
        <f>BD24*VLOOKUP('Données projet'!$B$11,Paramètres!$A$1:$I$89,3,0)*VLOOKUP('Données projet'!$B$11,Paramètres!$A$1:$I$89,5,0)</f>
        <v>67.136160000000004</v>
      </c>
      <c r="BF24" s="13">
        <f t="shared" si="37"/>
        <v>18.960545405756019</v>
      </c>
      <c r="BG24" s="20">
        <f t="shared" si="7"/>
        <v>149.95176191502506</v>
      </c>
      <c r="BH24" s="59">
        <f t="shared" si="8"/>
        <v>432.2850952483584</v>
      </c>
      <c r="BI24" s="59">
        <f ca="1">AVERAGE(OFFSET($BH$3,0,0,'Données projet'!$E$11+1,1))-AVERAGE(OFFSET($H$3,0,0,'Données projet'!$E$11+1,1))</f>
        <v>405.7176439604217</v>
      </c>
      <c r="BJ24" s="59">
        <f t="shared" si="38"/>
        <v>278.21741231699929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0.50599770483107487</v>
      </c>
      <c r="BQ24" s="21">
        <f>EXP(-LN(2)/25)*BQ23+(1-EXP(-LN(2)/25))/(LN(2)/25)*Calculateur!BL24*Calculateur!BN24*VLOOKUP('Données projet'!$B$11,Paramètres!$A$1:$I$89,3,0)*0.475*44/12</f>
        <v>0.5000286007992798</v>
      </c>
      <c r="BR24" s="21">
        <f>EXP(-LN(2)/2)*BR23+(1-EXP(-LN(2)/2))/(LN(2)/2)*BL24*BO24*VLOOKUP('Données projet'!$B$11,Paramètres!$A$1:$I$89,3,0)*0.475*44/12</f>
        <v>2.1731734372909646</v>
      </c>
      <c r="BS24" s="22">
        <f t="shared" si="9"/>
        <v>3.1791997429213192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11.4</v>
      </c>
      <c r="BY24" s="12">
        <f>IF('Données projet'!$A$114&gt;35,BY23+BX24-CG23,IF(A24&lt;'Données projet'!$A$114,$BV$205^A24,IF(A24='Données projet'!$A$114,'Données projet'!$B$114,BY23+BX24-CG23)))</f>
        <v>99.399999999999977</v>
      </c>
      <c r="BZ24" s="13">
        <f>BY24*VLOOKUP('Données projet'!$B$12,Paramètres!$A$1:$I$89,3,0)*VLOOKUP('Données projet'!$B$12,Paramètres!$A$1:$I$89,5,0)</f>
        <v>86.83583999999999</v>
      </c>
      <c r="CA24" s="13">
        <f t="shared" si="39"/>
        <v>23.800523515695954</v>
      </c>
      <c r="CB24" s="20">
        <f t="shared" si="10"/>
        <v>192.69166645650375</v>
      </c>
      <c r="CC24" s="59">
        <f t="shared" si="11"/>
        <v>475.02499978983707</v>
      </c>
      <c r="CD24" s="59">
        <f ca="1">AVERAGE(OFFSET($CC$3,0,0,'Données projet'!$E$12+1,1))-AVERAGE(OFFSET($H$3,0,0,'Données projet'!$E$12+1,1))</f>
        <v>381.72225529388083</v>
      </c>
      <c r="CE24" s="59">
        <f t="shared" si="40"/>
        <v>360.05900046417361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1.1806613112725082</v>
      </c>
      <c r="CL24" s="21">
        <f>EXP(-LN(2)/25)*CL23+(1-EXP(-LN(2)/25))/(LN(2)/25)*Calculateur!CG24*Calculateur!CI24*VLOOKUP('Données projet'!$B$12,Paramètres!$A$1:$I$89,3,0)*0.475*44/12</f>
        <v>3.384191376360973</v>
      </c>
      <c r="CM24" s="21">
        <f>EXP(-LN(2)/2)*CM23+(1-EXP(-LN(2)/2))/(LN(2)/2)*CG24*CJ24*VLOOKUP('Données projet'!$B$12,Paramètres!$A$1:$I$89,3,0)*0.475*44/12</f>
        <v>8.3064811132510741</v>
      </c>
      <c r="CN24" s="22">
        <f t="shared" si="12"/>
        <v>12.871333800884555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12.6</v>
      </c>
      <c r="CT24" s="12">
        <f>IF('Données projet'!$A$140&gt;35,CT23+CS24-DB23,IF(A24&lt;'Données projet'!$A$140,$CQ$205^A24,IF(A24='Données projet'!$A$140,'Données projet'!$B$140,CT23+CS24-DB23)))</f>
        <v>64.599999999999994</v>
      </c>
      <c r="CU24" s="17">
        <f>CT24*VLOOKUP('Données projet'!$B$13,Paramètres!$A$1:$I$89,3,0)*VLOOKUP('Données projet'!$B$13,Paramètres!$A$1:$I$89,5,0)</f>
        <v>51.395759999999996</v>
      </c>
      <c r="CV24" s="13">
        <f t="shared" si="41"/>
        <v>14.973641136922506</v>
      </c>
      <c r="CW24" s="20">
        <f t="shared" si="13"/>
        <v>115.59337364680668</v>
      </c>
      <c r="CX24" s="59">
        <f t="shared" si="14"/>
        <v>397.92670698014001</v>
      </c>
      <c r="CY24" s="59">
        <f ca="1">AVERAGE(OFFSET($CX$3,0,0,'Données projet'!$E$13+1,1))-AVERAGE(OFFSET($H$3,0,0,'Données projet'!$E$13+1,1))</f>
        <v>299.10536994156814</v>
      </c>
      <c r="CZ24" s="59">
        <f t="shared" si="42"/>
        <v>292.57799203101769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2.5592041093581308</v>
      </c>
      <c r="DG24" s="21">
        <f>EXP(-LN(2)/25)*DG23+(1-EXP(-LN(2)/25))/(LN(2)/25)*Calculateur!DB24*Calculateur!DD24*VLOOKUP('Données projet'!$B$13,Paramètres!$A$1:$I$89,3,0)*0.475*44/12</f>
        <v>4.2981845312426747</v>
      </c>
      <c r="DH24" s="21">
        <f>EXP(-LN(2)/2)*DH23+(1-EXP(-LN(2)/2))/(LN(2)/2)*DB24*DE24*VLOOKUP('Données projet'!$B$13,Paramètres!$A$1:$I$89,3,0)*0.475*44/12</f>
        <v>9.9027591868046692</v>
      </c>
      <c r="DI24" s="22">
        <f t="shared" si="15"/>
        <v>16.760147827405476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11</v>
      </c>
      <c r="DO24" s="12">
        <f>IF('Données projet'!$A$166&gt;35,DO23+DN24-DW23,IF(A24&lt;'Données projet'!$A$166,$DL$205^A24,IF(A24='Données projet'!$A$166,'Données projet'!$B$166,DO23+DN24-DW23)))</f>
        <v>116</v>
      </c>
      <c r="DP24" s="17">
        <f>DO24*VLOOKUP('Données projet'!$B$14,Paramètres!$A$1:$I$89,3,0)*VLOOKUP('Données projet'!$B$14,Paramètres!$A$1:$I$89,5,0)</f>
        <v>76.003200000000007</v>
      </c>
      <c r="DQ24" s="13">
        <f t="shared" si="43"/>
        <v>21.157049992000456</v>
      </c>
      <c r="DR24" s="20">
        <f t="shared" si="16"/>
        <v>169.22076873606747</v>
      </c>
      <c r="DS24" s="59">
        <f t="shared" si="17"/>
        <v>451.55410206940076</v>
      </c>
      <c r="DT24" s="59">
        <f ca="1">AVERAGE(OFFSET($DS$3,0,0,'Données projet'!$E$14+1,1))-AVERAGE(OFFSET($H$3,0,0,'Données projet'!$E$14+1,1))</f>
        <v>295.92103934364718</v>
      </c>
      <c r="DU24" s="59">
        <f t="shared" si="44"/>
        <v>304.84379909635476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1.7110398489211815</v>
      </c>
      <c r="EC24" s="21">
        <f>EXP(-LN(2)/2)*EC23+(1-EXP(-LN(2)/2))/(LN(2)/2)*DW24*DZ24*VLOOKUP('Données projet'!$B$14,Paramètres!$A$1:$I$89,3,0)*0.475*44/12</f>
        <v>3.3019043419303116</v>
      </c>
      <c r="ED24" s="22">
        <f t="shared" si="18"/>
        <v>5.0129441908514929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9.1999999999999993</v>
      </c>
      <c r="N25" s="13">
        <f>IF('Données projet'!$A$36&gt;35,N24+M25-V24,IF(A25&lt;'Données projet'!$A$36,$K$205^A25,IF(A25='Données projet'!$A$36,'Données projet'!$B$36,N24+M25-V24)))</f>
        <v>136.89999999999998</v>
      </c>
      <c r="O25" s="13">
        <f>N25*VLOOKUP('Données projet'!$B$9,Paramètres!$A$1:$I$89,3,0)*VLOOKUP('Données projet'!$B$9,Paramètres!$A$1:$I$89,5,0)</f>
        <v>64.069199999999995</v>
      </c>
      <c r="P25" s="13">
        <f t="shared" si="33"/>
        <v>18.193128517714101</v>
      </c>
      <c r="Q25" s="20">
        <f t="shared" si="2"/>
        <v>143.27355550168537</v>
      </c>
      <c r="R25" s="59">
        <f t="shared" si="0"/>
        <v>426.82911105724088</v>
      </c>
      <c r="S25" s="59">
        <f ca="1">AVERAGE(OFFSET($R$3,0,0,'Données projet'!$E$9+1,1))-AVERAGE(OFFSET($H$3,0,0,'Données projet'!$E$9+1,1))</f>
        <v>319.22903094674564</v>
      </c>
      <c r="T25" s="59">
        <f t="shared" si="34"/>
        <v>254.58690973142848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2.5927597510117808</v>
      </c>
      <c r="AA25" s="21">
        <f>EXP(-LN(2)/25)*AA24+(1-EXP(-LN(2)/25))/(LN(2)/25)*Calculateur!V25*Calculateur!X25*VLOOKUP('Données projet'!$B$9,Paramètres!$A$1:$I$89,3,0)*0.475*44/12</f>
        <v>2.5419571919127244</v>
      </c>
      <c r="AB25" s="21">
        <f>EXP(-LN(2)/2)*AB24+(1-EXP(-LN(2)/2))/(LN(2)/2)*V25*Y25*VLOOKUP('Données projet'!$B$9,Paramètres!$A$1:$I$89,3,0)*0.475*44/12</f>
        <v>6.2791338756222732</v>
      </c>
      <c r="AC25" s="22">
        <f t="shared" si="3"/>
        <v>11.413850818546779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31.8</v>
      </c>
      <c r="AI25" s="13">
        <f>IF('Données projet'!$A$62&gt;35,AI24+AH25-AQ24,IF(A25&lt;'Données projet'!$A$62,$AF$205^A25,IF(A25='Données projet'!$A$62,'Données projet'!$B$62,AI24+AH25-AQ24)))</f>
        <v>323.60000000000002</v>
      </c>
      <c r="AJ25" s="13">
        <f>AI25*VLOOKUP('Données projet'!$B$10,Paramètres!$A$1:$I$89,3,0)*VLOOKUP('Données projet'!$B$10,Paramètres!$A$1:$I$89,5,0)</f>
        <v>180.89240000000001</v>
      </c>
      <c r="AK25" s="13">
        <f t="shared" si="35"/>
        <v>45.520671542487669</v>
      </c>
      <c r="AL25" s="20">
        <f t="shared" si="4"/>
        <v>394.33609960316602</v>
      </c>
      <c r="AM25" s="59">
        <f t="shared" si="5"/>
        <v>677.89165515872151</v>
      </c>
      <c r="AN25" s="59">
        <f ca="1">AVERAGE(OFFSET($AM$3,0,0,'Données projet'!$E$10+1,1))-AVERAGE(OFFSET($H$3,0,0,'Données projet'!$E$10+1,1))</f>
        <v>544.48194192356823</v>
      </c>
      <c r="AO25" s="59">
        <f t="shared" si="36"/>
        <v>668.20427590250733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9.915778160013982</v>
      </c>
      <c r="AW25" s="21">
        <f>EXP(-LN(2)/2)*AW24+(1-EXP(-LN(2)/2))/(LN(2)/2)*AQ25*AT25*VLOOKUP('Données projet'!$B$10,Paramètres!$A$1:$I$89,3,0)*0.475*44/12</f>
        <v>5.4430935471287327</v>
      </c>
      <c r="AX25" s="21">
        <f t="shared" si="6"/>
        <v>15.358871707142715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7.2</v>
      </c>
      <c r="BD25" s="12">
        <f>IF('Données projet'!$A$88&gt;35,BD24+BC25-BL24,IF(A25&lt;'Données projet'!$A$88,$BA$205^A25,IF(A25='Données projet'!$A$88,'Données projet'!$B$88,BD24+BC25-BL24)))</f>
        <v>81.400000000000006</v>
      </c>
      <c r="BE25" s="13">
        <f>BD25*VLOOKUP('Données projet'!$B$11,Paramètres!$A$1:$I$89,3,0)*VLOOKUP('Données projet'!$B$11,Paramètres!$A$1:$I$89,5,0)</f>
        <v>73.650720000000007</v>
      </c>
      <c r="BF25" s="13">
        <f t="shared" si="37"/>
        <v>20.577360172493922</v>
      </c>
      <c r="BG25" s="20">
        <f t="shared" si="7"/>
        <v>164.11390630042692</v>
      </c>
      <c r="BH25" s="59">
        <f t="shared" si="8"/>
        <v>447.66946185598249</v>
      </c>
      <c r="BI25" s="59">
        <f ca="1">AVERAGE(OFFSET($BH$3,0,0,'Données projet'!$E$11+1,1))-AVERAGE(OFFSET($H$3,0,0,'Données projet'!$E$11+1,1))</f>
        <v>405.7176439604217</v>
      </c>
      <c r="BJ25" s="59">
        <f t="shared" si="38"/>
        <v>278.21741231699929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0.49607539846746296</v>
      </c>
      <c r="BQ25" s="21">
        <f>EXP(-LN(2)/25)*BQ24+(1-EXP(-LN(2)/25))/(LN(2)/25)*Calculateur!BL25*Calculateur!BN25*VLOOKUP('Données projet'!$B$11,Paramètres!$A$1:$I$89,3,0)*0.475*44/12</f>
        <v>0.4863552924150622</v>
      </c>
      <c r="BR25" s="21">
        <f>EXP(-LN(2)/2)*BR24+(1-EXP(-LN(2)/2))/(LN(2)/2)*BL25*BO25*VLOOKUP('Données projet'!$B$11,Paramètres!$A$1:$I$89,3,0)*0.475*44/12</f>
        <v>1.5366656742029194</v>
      </c>
      <c r="BS25" s="22">
        <f t="shared" si="9"/>
        <v>2.5190963650854448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11.4</v>
      </c>
      <c r="BY25" s="12">
        <f>IF('Données projet'!$A$114&gt;35,BY24+BX25-CG24,IF(A25&lt;'Données projet'!$A$114,$BV$205^A25,IF(A25='Données projet'!$A$114,'Données projet'!$B$114,BY24+BX25-CG24)))</f>
        <v>110.79999999999998</v>
      </c>
      <c r="BZ25" s="13">
        <f>BY25*VLOOKUP('Données projet'!$B$12,Paramètres!$A$1:$I$89,3,0)*VLOOKUP('Données projet'!$B$12,Paramètres!$A$1:$I$89,5,0)</f>
        <v>96.794879999999992</v>
      </c>
      <c r="CA25" s="13">
        <f t="shared" si="39"/>
        <v>26.196980264498734</v>
      </c>
      <c r="CB25" s="20">
        <f t="shared" si="10"/>
        <v>214.21082329400193</v>
      </c>
      <c r="CC25" s="59">
        <f t="shared" si="11"/>
        <v>497.76637884955744</v>
      </c>
      <c r="CD25" s="59">
        <f ca="1">AVERAGE(OFFSET($CC$3,0,0,'Données projet'!$E$12+1,1))-AVERAGE(OFFSET($H$3,0,0,'Données projet'!$E$12+1,1))</f>
        <v>381.72225529388083</v>
      </c>
      <c r="CE25" s="59">
        <f t="shared" si="40"/>
        <v>360.05900046417361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1.1575092630907471</v>
      </c>
      <c r="CL25" s="21">
        <f>EXP(-LN(2)/25)*CL24+(1-EXP(-LN(2)/25))/(LN(2)/25)*Calculateur!CG25*Calculateur!CI25*VLOOKUP('Données projet'!$B$12,Paramètres!$A$1:$I$89,3,0)*0.475*44/12</f>
        <v>3.2916504852074926</v>
      </c>
      <c r="CM25" s="21">
        <f>EXP(-LN(2)/2)*CM24+(1-EXP(-LN(2)/2))/(LN(2)/2)*CG25*CJ25*VLOOKUP('Données projet'!$B$12,Paramètres!$A$1:$I$89,3,0)*0.475*44/12</f>
        <v>5.8735691229778171</v>
      </c>
      <c r="CN25" s="22">
        <f t="shared" si="12"/>
        <v>10.322728871276055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12.6</v>
      </c>
      <c r="CT25" s="12">
        <f>IF('Données projet'!$A$140&gt;35,CT24+CS25-DB24,IF(A25&lt;'Données projet'!$A$140,$CQ$205^A25,IF(A25='Données projet'!$A$140,'Données projet'!$B$140,CT24+CS25-DB24)))</f>
        <v>77.199999999999989</v>
      </c>
      <c r="CU25" s="17">
        <f>CT25*VLOOKUP('Données projet'!$B$13,Paramètres!$A$1:$I$89,3,0)*VLOOKUP('Données projet'!$B$13,Paramètres!$A$1:$I$89,5,0)</f>
        <v>61.42031999999999</v>
      </c>
      <c r="CV25" s="13">
        <f t="shared" si="41"/>
        <v>17.526880037631354</v>
      </c>
      <c r="CW25" s="20">
        <f t="shared" si="13"/>
        <v>137.4997067322079</v>
      </c>
      <c r="CX25" s="59">
        <f t="shared" si="14"/>
        <v>421.05526228776341</v>
      </c>
      <c r="CY25" s="59">
        <f ca="1">AVERAGE(OFFSET($CX$3,0,0,'Données projet'!$E$13+1,1))-AVERAGE(OFFSET($H$3,0,0,'Données projet'!$E$13+1,1))</f>
        <v>299.10536994156814</v>
      </c>
      <c r="CZ25" s="59">
        <f t="shared" si="42"/>
        <v>292.57799203101769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2.5090196777339924</v>
      </c>
      <c r="DG25" s="21">
        <f>EXP(-LN(2)/25)*DG24+(1-EXP(-LN(2)/25))/(LN(2)/25)*Calculateur!DB25*Calculateur!DD25*VLOOKUP('Données projet'!$B$13,Paramètres!$A$1:$I$89,3,0)*0.475*44/12</f>
        <v>4.1806504492041432</v>
      </c>
      <c r="DH25" s="21">
        <f>EXP(-LN(2)/2)*DH24+(1-EXP(-LN(2)/2))/(LN(2)/2)*DB25*DE25*VLOOKUP('Données projet'!$B$13,Paramètres!$A$1:$I$89,3,0)*0.475*44/12</f>
        <v>7.0023081734469628</v>
      </c>
      <c r="DI25" s="22">
        <f t="shared" si="15"/>
        <v>13.691978300385099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11</v>
      </c>
      <c r="DO25" s="12">
        <f>IF('Données projet'!$A$166&gt;35,DO24+DN25-DW24,IF(A25&lt;'Données projet'!$A$166,$DL$205^A25,IF(A25='Données projet'!$A$166,'Données projet'!$B$166,DO24+DN25-DW24)))</f>
        <v>127</v>
      </c>
      <c r="DP25" s="17">
        <f>DO25*VLOOKUP('Données projet'!$B$14,Paramètres!$A$1:$I$89,3,0)*VLOOKUP('Données projet'!$B$14,Paramètres!$A$1:$I$89,5,0)</f>
        <v>83.210399999999993</v>
      </c>
      <c r="DQ25" s="13">
        <f t="shared" si="43"/>
        <v>22.920337105048574</v>
      </c>
      <c r="DR25" s="20">
        <f t="shared" si="16"/>
        <v>184.84436712462625</v>
      </c>
      <c r="DS25" s="59">
        <f t="shared" si="17"/>
        <v>468.39992268018182</v>
      </c>
      <c r="DT25" s="59">
        <f ca="1">AVERAGE(OFFSET($DS$3,0,0,'Données projet'!$E$14+1,1))-AVERAGE(OFFSET($H$3,0,0,'Données projet'!$E$14+1,1))</f>
        <v>295.92103934364718</v>
      </c>
      <c r="DU25" s="59">
        <f t="shared" si="44"/>
        <v>304.84379909635476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1.6642513742727567</v>
      </c>
      <c r="EC25" s="21">
        <f>EXP(-LN(2)/2)*EC24+(1-EXP(-LN(2)/2))/(LN(2)/2)*DW25*DZ25*VLOOKUP('Données projet'!$B$14,Paramètres!$A$1:$I$89,3,0)*0.475*44/12</f>
        <v>2.3347989510082283</v>
      </c>
      <c r="ED25" s="22">
        <f t="shared" si="18"/>
        <v>3.9990503252809848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9.1999999999999993</v>
      </c>
      <c r="N26" s="13">
        <f>IF('Données projet'!$A$36&gt;35,N25+M26-V25,IF(A26&lt;'Données projet'!$A$36,$K$205^A26,IF(A26='Données projet'!$A$36,'Données projet'!$B$36,N25+M26-V25)))</f>
        <v>146.09999999999997</v>
      </c>
      <c r="O26" s="13">
        <f>N26*VLOOKUP('Données projet'!$B$9,Paramètres!$A$1:$I$89,3,0)*VLOOKUP('Données projet'!$B$9,Paramètres!$A$1:$I$89,5,0)</f>
        <v>68.374799999999979</v>
      </c>
      <c r="P26" s="13">
        <f t="shared" si="33"/>
        <v>19.269313009600907</v>
      </c>
      <c r="Q26" s="20">
        <f t="shared" si="2"/>
        <v>152.64683015838821</v>
      </c>
      <c r="R26" s="59">
        <f t="shared" si="0"/>
        <v>437.42460793616601</v>
      </c>
      <c r="S26" s="59">
        <f ca="1">AVERAGE(OFFSET($R$3,0,0,'Données projet'!$E$9+1,1))-AVERAGE(OFFSET($H$3,0,0,'Données projet'!$E$9+1,1))</f>
        <v>319.22903094674564</v>
      </c>
      <c r="T26" s="59">
        <f t="shared" si="34"/>
        <v>254.58690973142848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2.541917313721735</v>
      </c>
      <c r="AA26" s="21">
        <f>EXP(-LN(2)/25)*AA25+(1-EXP(-LN(2)/25))/(LN(2)/25)*Calculateur!V26*Calculateur!X26*VLOOKUP('Données projet'!$B$9,Paramètres!$A$1:$I$89,3,0)*0.475*44/12</f>
        <v>2.4724472388241518</v>
      </c>
      <c r="AB26" s="21">
        <f>EXP(-LN(2)/2)*AB25+(1-EXP(-LN(2)/2))/(LN(2)/2)*V26*Y26*VLOOKUP('Données projet'!$B$9,Paramètres!$A$1:$I$89,3,0)*0.475*44/12</f>
        <v>4.4400181434306774</v>
      </c>
      <c r="AC26" s="22">
        <f t="shared" si="3"/>
        <v>9.4543826959765642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31.8</v>
      </c>
      <c r="AI26" s="13">
        <f>IF('Données projet'!$A$62&gt;35,AI25+AH26-AQ25,IF(A26&lt;'Données projet'!$A$62,$AF$205^A26,IF(A26='Données projet'!$A$62,'Données projet'!$B$62,AI25+AH26-AQ25)))</f>
        <v>355.40000000000003</v>
      </c>
      <c r="AJ26" s="13">
        <f>AI26*VLOOKUP('Données projet'!$B$10,Paramètres!$A$1:$I$89,3,0)*VLOOKUP('Données projet'!$B$10,Paramètres!$A$1:$I$89,5,0)</f>
        <v>198.6686</v>
      </c>
      <c r="AK26" s="13">
        <f t="shared" si="35"/>
        <v>49.451452656287465</v>
      </c>
      <c r="AL26" s="20">
        <f t="shared" si="4"/>
        <v>432.14242504303394</v>
      </c>
      <c r="AM26" s="59">
        <f t="shared" si="5"/>
        <v>716.92020282081171</v>
      </c>
      <c r="AN26" s="59">
        <f ca="1">AVERAGE(OFFSET($AM$3,0,0,'Données projet'!$E$10+1,1))-AVERAGE(OFFSET($H$3,0,0,'Données projet'!$E$10+1,1))</f>
        <v>544.48194192356823</v>
      </c>
      <c r="AO26" s="59">
        <f t="shared" si="36"/>
        <v>668.20427590250733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9.6446306847802887</v>
      </c>
      <c r="AW26" s="21">
        <f>EXP(-LN(2)/2)*AW25+(1-EXP(-LN(2)/2))/(LN(2)/2)*AQ26*AT26*VLOOKUP('Données projet'!$B$10,Paramètres!$A$1:$I$89,3,0)*0.475*44/12</f>
        <v>3.8488483578074657</v>
      </c>
      <c r="AX26" s="21">
        <f t="shared" si="6"/>
        <v>13.493479042587754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7.2</v>
      </c>
      <c r="BD26" s="12">
        <f>IF('Données projet'!$A$88&gt;35,BD25+BC26-BL25,IF(A26&lt;'Données projet'!$A$88,$BA$205^A26,IF(A26='Données projet'!$A$88,'Données projet'!$B$88,BD25+BC26-BL25)))</f>
        <v>88.600000000000009</v>
      </c>
      <c r="BE26" s="13">
        <f>BD26*VLOOKUP('Données projet'!$B$11,Paramètres!$A$1:$I$89,3,0)*VLOOKUP('Données projet'!$B$11,Paramètres!$A$1:$I$89,5,0)</f>
        <v>80.165279999999996</v>
      </c>
      <c r="BF26" s="13">
        <f t="shared" si="37"/>
        <v>22.177591092468788</v>
      </c>
      <c r="BG26" s="20">
        <f t="shared" si="7"/>
        <v>178.24716715271646</v>
      </c>
      <c r="BH26" s="59">
        <f t="shared" si="8"/>
        <v>463.02494493049426</v>
      </c>
      <c r="BI26" s="59">
        <f ca="1">AVERAGE(OFFSET($BH$3,0,0,'Données projet'!$E$11+1,1))-AVERAGE(OFFSET($H$3,0,0,'Données projet'!$E$11+1,1))</f>
        <v>405.7176439604217</v>
      </c>
      <c r="BJ26" s="59">
        <f t="shared" si="38"/>
        <v>278.21741231699929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0.48634766247963218</v>
      </c>
      <c r="BQ26" s="21">
        <f>EXP(-LN(2)/25)*BQ25+(1-EXP(-LN(2)/25))/(LN(2)/25)*Calculateur!BL26*Calculateur!BN26*VLOOKUP('Données projet'!$B$11,Paramètres!$A$1:$I$89,3,0)*0.475*44/12</f>
        <v>0.47305588136765908</v>
      </c>
      <c r="BR26" s="21">
        <f>EXP(-LN(2)/2)*BR25+(1-EXP(-LN(2)/2))/(LN(2)/2)*BL26*BO26*VLOOKUP('Données projet'!$B$11,Paramètres!$A$1:$I$89,3,0)*0.475*44/12</f>
        <v>1.0865867186454823</v>
      </c>
      <c r="BS26" s="22">
        <f t="shared" si="9"/>
        <v>2.0459902624927735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11.4</v>
      </c>
      <c r="BY26" s="12">
        <f>IF('Données projet'!$A$114&gt;35,BY25+BX26-CG25,IF(A26&lt;'Données projet'!$A$114,$BV$205^A26,IF(A26='Données projet'!$A$114,'Données projet'!$B$114,BY25+BX26-CG25)))</f>
        <v>122.19999999999999</v>
      </c>
      <c r="BZ26" s="13">
        <f>BY26*VLOOKUP('Données projet'!$B$12,Paramètres!$A$1:$I$89,3,0)*VLOOKUP('Données projet'!$B$12,Paramètres!$A$1:$I$89,5,0)</f>
        <v>106.75392000000001</v>
      </c>
      <c r="CA26" s="13">
        <f t="shared" si="39"/>
        <v>28.564854626855976</v>
      </c>
      <c r="CB26" s="20">
        <f t="shared" si="10"/>
        <v>235.68019914177421</v>
      </c>
      <c r="CC26" s="59">
        <f t="shared" si="11"/>
        <v>520.45797691955204</v>
      </c>
      <c r="CD26" s="59">
        <f ca="1">AVERAGE(OFFSET($CC$3,0,0,'Données projet'!$E$12+1,1))-AVERAGE(OFFSET($H$3,0,0,'Données projet'!$E$12+1,1))</f>
        <v>381.72225529388083</v>
      </c>
      <c r="CE26" s="59">
        <f t="shared" si="40"/>
        <v>360.05900046417361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1.1348112124524752</v>
      </c>
      <c r="CL26" s="21">
        <f>EXP(-LN(2)/25)*CL25+(1-EXP(-LN(2)/25))/(LN(2)/25)*Calculateur!CG26*Calculateur!CI26*VLOOKUP('Données projet'!$B$12,Paramètres!$A$1:$I$89,3,0)*0.475*44/12</f>
        <v>3.2016401295891179</v>
      </c>
      <c r="CM26" s="21">
        <f>EXP(-LN(2)/2)*CM25+(1-EXP(-LN(2)/2))/(LN(2)/2)*CG26*CJ26*VLOOKUP('Données projet'!$B$12,Paramètres!$A$1:$I$89,3,0)*0.475*44/12</f>
        <v>4.153240556625537</v>
      </c>
      <c r="CN26" s="22">
        <f t="shared" si="12"/>
        <v>8.4896918986671306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12.6</v>
      </c>
      <c r="CT26" s="12">
        <f>IF('Données projet'!$A$140&gt;35,CT25+CS26-DB25,IF(A26&lt;'Données projet'!$A$140,$CQ$205^A26,IF(A26='Données projet'!$A$140,'Données projet'!$B$140,CT25+CS26-DB25)))</f>
        <v>89.799999999999983</v>
      </c>
      <c r="CU26" s="17">
        <f>CT26*VLOOKUP('Données projet'!$B$13,Paramètres!$A$1:$I$89,3,0)*VLOOKUP('Données projet'!$B$13,Paramètres!$A$1:$I$89,5,0)</f>
        <v>71.444879999999998</v>
      </c>
      <c r="CV26" s="13">
        <f t="shared" si="41"/>
        <v>20.03184442542841</v>
      </c>
      <c r="CW26" s="20">
        <f t="shared" si="13"/>
        <v>159.32196170762117</v>
      </c>
      <c r="CX26" s="59">
        <f t="shared" si="14"/>
        <v>444.09973948539891</v>
      </c>
      <c r="CY26" s="59">
        <f ca="1">AVERAGE(OFFSET($CX$3,0,0,'Données projet'!$E$13+1,1))-AVERAGE(OFFSET($H$3,0,0,'Données projet'!$E$13+1,1))</f>
        <v>299.10536994156814</v>
      </c>
      <c r="CZ26" s="59">
        <f t="shared" si="42"/>
        <v>292.57799203101769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2.4598193322045225</v>
      </c>
      <c r="DG26" s="21">
        <f>EXP(-LN(2)/25)*DG25+(1-EXP(-LN(2)/25))/(LN(2)/25)*Calculateur!DB26*Calculateur!DD26*VLOOKUP('Données projet'!$B$13,Paramètres!$A$1:$I$89,3,0)*0.475*44/12</f>
        <v>4.0663303428198034</v>
      </c>
      <c r="DH26" s="21">
        <f>EXP(-LN(2)/2)*DH25+(1-EXP(-LN(2)/2))/(LN(2)/2)*DB26*DE26*VLOOKUP('Données projet'!$B$13,Paramètres!$A$1:$I$89,3,0)*0.475*44/12</f>
        <v>4.9513795934023355</v>
      </c>
      <c r="DI26" s="22">
        <f t="shared" si="15"/>
        <v>11.477529268426661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11</v>
      </c>
      <c r="DO26" s="12">
        <f>IF('Données projet'!$A$166&gt;35,DO25+DN26-DW25,IF(A26&lt;'Données projet'!$A$166,$DL$205^A26,IF(A26='Données projet'!$A$166,'Données projet'!$B$166,DO25+DN26-DW25)))</f>
        <v>138</v>
      </c>
      <c r="DP26" s="17">
        <f>DO26*VLOOKUP('Données projet'!$B$14,Paramètres!$A$1:$I$89,3,0)*VLOOKUP('Données projet'!$B$14,Paramètres!$A$1:$I$89,5,0)</f>
        <v>90.417600000000007</v>
      </c>
      <c r="DQ26" s="13">
        <f t="shared" si="43"/>
        <v>24.665912907068826</v>
      </c>
      <c r="DR26" s="20">
        <f t="shared" si="16"/>
        <v>200.43711831314488</v>
      </c>
      <c r="DS26" s="59">
        <f t="shared" si="17"/>
        <v>485.21489609092265</v>
      </c>
      <c r="DT26" s="59">
        <f ca="1">AVERAGE(OFFSET($DS$3,0,0,'Données projet'!$E$14+1,1))-AVERAGE(OFFSET($H$3,0,0,'Données projet'!$E$14+1,1))</f>
        <v>295.92103934364718</v>
      </c>
      <c r="DU26" s="59">
        <f t="shared" si="44"/>
        <v>304.84379909635476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1.6187423329240922</v>
      </c>
      <c r="EC26" s="21">
        <f>EXP(-LN(2)/2)*EC25+(1-EXP(-LN(2)/2))/(LN(2)/2)*DW26*DZ26*VLOOKUP('Données projet'!$B$14,Paramètres!$A$1:$I$89,3,0)*0.475*44/12</f>
        <v>1.650952170965156</v>
      </c>
      <c r="ED26" s="22">
        <f t="shared" si="18"/>
        <v>3.269694503889248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9.1999999999999993</v>
      </c>
      <c r="N27" s="13">
        <f>IF('Données projet'!$A$36&gt;35,N26+M27-V26,IF(A27&lt;'Données projet'!$A$36,$K$205^A27,IF(A27='Données projet'!$A$36,'Données projet'!$B$36,N26+M27-V26)))</f>
        <v>155.29999999999995</v>
      </c>
      <c r="O27" s="13">
        <f>N27*VLOOKUP('Données projet'!$B$9,Paramètres!$A$1:$I$89,3,0)*VLOOKUP('Données projet'!$B$9,Paramètres!$A$1:$I$89,5,0)</f>
        <v>72.680399999999977</v>
      </c>
      <c r="P27" s="13">
        <f t="shared" si="33"/>
        <v>20.337632665681216</v>
      </c>
      <c r="Q27" s="20">
        <f t="shared" si="2"/>
        <v>162.00640689272805</v>
      </c>
      <c r="R27" s="59">
        <f t="shared" si="0"/>
        <v>448.00640689272802</v>
      </c>
      <c r="S27" s="59">
        <f ca="1">AVERAGE(OFFSET($R$3,0,0,'Données projet'!$E$9+1,1))-AVERAGE(OFFSET($H$3,0,0,'Données projet'!$E$9+1,1))</f>
        <v>319.22903094674564</v>
      </c>
      <c r="T27" s="59">
        <f t="shared" si="34"/>
        <v>254.58690973142848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2.492071865616122</v>
      </c>
      <c r="AA27" s="21">
        <f>EXP(-LN(2)/25)*AA26+(1-EXP(-LN(2)/25))/(LN(2)/25)*Calculateur!V27*Calculateur!X27*VLOOKUP('Données projet'!$B$9,Paramètres!$A$1:$I$89,3,0)*0.475*44/12</f>
        <v>2.4048380390581561</v>
      </c>
      <c r="AB27" s="21">
        <f>EXP(-LN(2)/2)*AB26+(1-EXP(-LN(2)/2))/(LN(2)/2)*V27*Y27*VLOOKUP('Données projet'!$B$9,Paramètres!$A$1:$I$89,3,0)*0.475*44/12</f>
        <v>3.139566937811137</v>
      </c>
      <c r="AC27" s="22">
        <f t="shared" si="3"/>
        <v>8.0364768424854152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31.8</v>
      </c>
      <c r="AI27" s="13">
        <f>IF('Données projet'!$A$62&gt;35,AI26+AH27-AQ26,IF(A27&lt;'Données projet'!$A$62,$AF$205^A27,IF(A27='Données projet'!$A$62,'Données projet'!$B$62,AI26+AH27-AQ26)))</f>
        <v>387.20000000000005</v>
      </c>
      <c r="AJ27" s="13">
        <f>AI27*VLOOKUP('Données projet'!$B$10,Paramètres!$A$1:$I$89,3,0)*VLOOKUP('Données projet'!$B$10,Paramètres!$A$1:$I$89,5,0)</f>
        <v>216.44480000000001</v>
      </c>
      <c r="AK27" s="13">
        <f t="shared" si="35"/>
        <v>53.341449419561528</v>
      </c>
      <c r="AL27" s="20">
        <f t="shared" si="4"/>
        <v>469.87771773906974</v>
      </c>
      <c r="AM27" s="59">
        <f t="shared" si="5"/>
        <v>755.87771773906979</v>
      </c>
      <c r="AN27" s="59">
        <f ca="1">AVERAGE(OFFSET($AM$3,0,0,'Données projet'!$E$10+1,1))-AVERAGE(OFFSET($H$3,0,0,'Données projet'!$E$10+1,1))</f>
        <v>544.48194192356823</v>
      </c>
      <c r="AO27" s="59">
        <f t="shared" si="36"/>
        <v>668.20427590250733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9.3808977515158869</v>
      </c>
      <c r="AW27" s="21">
        <f>EXP(-LN(2)/2)*AW26+(1-EXP(-LN(2)/2))/(LN(2)/2)*AQ27*AT27*VLOOKUP('Données projet'!$B$10,Paramètres!$A$1:$I$89,3,0)*0.475*44/12</f>
        <v>2.7215467735643668</v>
      </c>
      <c r="AX27" s="21">
        <f t="shared" si="6"/>
        <v>12.102444525080253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7.2</v>
      </c>
      <c r="BD27" s="12">
        <f>IF('Données projet'!$A$88&gt;35,BD26+BC27-BL26,IF(A27&lt;'Données projet'!$A$88,$BA$205^A27,IF(A27='Données projet'!$A$88,'Données projet'!$B$88,BD26+BC27-BL26)))</f>
        <v>95.800000000000011</v>
      </c>
      <c r="BE27" s="13">
        <f>BD27*VLOOKUP('Données projet'!$B$11,Paramètres!$A$1:$I$89,3,0)*VLOOKUP('Données projet'!$B$11,Paramètres!$A$1:$I$89,5,0)</f>
        <v>86.679839999999999</v>
      </c>
      <c r="BF27" s="13">
        <f t="shared" si="37"/>
        <v>23.762739053789723</v>
      </c>
      <c r="BG27" s="20">
        <f t="shared" si="7"/>
        <v>192.35415851868379</v>
      </c>
      <c r="BH27" s="59">
        <f t="shared" si="8"/>
        <v>478.35415851868379</v>
      </c>
      <c r="BI27" s="59">
        <f ca="1">AVERAGE(OFFSET($BH$3,0,0,'Données projet'!$E$11+1,1))-AVERAGE(OFFSET($H$3,0,0,'Données projet'!$E$11+1,1))</f>
        <v>405.7176439604217</v>
      </c>
      <c r="BJ27" s="59">
        <f t="shared" si="38"/>
        <v>278.21741231699929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0.47681068146118966</v>
      </c>
      <c r="BQ27" s="21">
        <f>EXP(-LN(2)/25)*BQ26+(1-EXP(-LN(2)/25))/(LN(2)/25)*Calculateur!BL27*Calculateur!BN27*VLOOKUP('Données projet'!$B$11,Paramètres!$A$1:$I$89,3,0)*0.475*44/12</f>
        <v>0.46012014341473284</v>
      </c>
      <c r="BR27" s="21">
        <f>EXP(-LN(2)/2)*BR26+(1-EXP(-LN(2)/2))/(LN(2)/2)*BL27*BO27*VLOOKUP('Données projet'!$B$11,Paramètres!$A$1:$I$89,3,0)*0.475*44/12</f>
        <v>0.76833283710145972</v>
      </c>
      <c r="BS27" s="22">
        <f t="shared" si="9"/>
        <v>1.7052636619773822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11.4</v>
      </c>
      <c r="BY27" s="12">
        <f>IF('Données projet'!$A$114&gt;35,BY26+BX27-CG26,IF(A27&lt;'Données projet'!$A$114,$BV$205^A27,IF(A27='Données projet'!$A$114,'Données projet'!$B$114,BY26+BX27-CG26)))</f>
        <v>133.6</v>
      </c>
      <c r="BZ27" s="13">
        <f>BY27*VLOOKUP('Données projet'!$B$12,Paramètres!$A$1:$I$89,3,0)*VLOOKUP('Données projet'!$B$12,Paramètres!$A$1:$I$89,5,0)</f>
        <v>116.71296000000001</v>
      </c>
      <c r="CA27" s="13">
        <f t="shared" si="39"/>
        <v>30.90711634982064</v>
      </c>
      <c r="CB27" s="20">
        <f t="shared" si="10"/>
        <v>257.10496630927094</v>
      </c>
      <c r="CC27" s="59">
        <f t="shared" si="11"/>
        <v>543.10496630927094</v>
      </c>
      <c r="CD27" s="59">
        <f ca="1">AVERAGE(OFFSET($CC$3,0,0,'Données projet'!$E$12+1,1))-AVERAGE(OFFSET($H$3,0,0,'Données projet'!$E$12+1,1))</f>
        <v>381.72225529388083</v>
      </c>
      <c r="CE27" s="59">
        <f t="shared" si="40"/>
        <v>360.05900046417361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1.1125582567427761</v>
      </c>
      <c r="CL27" s="21">
        <f>EXP(-LN(2)/25)*CL26+(1-EXP(-LN(2)/25))/(LN(2)/25)*Calculateur!CG27*Calculateur!CI27*VLOOKUP('Données projet'!$B$12,Paramètres!$A$1:$I$89,3,0)*0.475*44/12</f>
        <v>3.1140911118785666</v>
      </c>
      <c r="CM27" s="21">
        <f>EXP(-LN(2)/2)*CM26+(1-EXP(-LN(2)/2))/(LN(2)/2)*CG27*CJ27*VLOOKUP('Données projet'!$B$12,Paramètres!$A$1:$I$89,3,0)*0.475*44/12</f>
        <v>2.9367845614889085</v>
      </c>
      <c r="CN27" s="22">
        <f t="shared" si="12"/>
        <v>7.1634339301102514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12.6</v>
      </c>
      <c r="CT27" s="12">
        <f>IF('Données projet'!$A$140&gt;35,CT26+CS27-DB26,IF(A27&lt;'Données projet'!$A$140,$CQ$205^A27,IF(A27='Données projet'!$A$140,'Données projet'!$B$140,CT26+CS27-DB26)))</f>
        <v>102.39999999999998</v>
      </c>
      <c r="CU27" s="17">
        <f>CT27*VLOOKUP('Données projet'!$B$13,Paramètres!$A$1:$I$89,3,0)*VLOOKUP('Données projet'!$B$13,Paramètres!$A$1:$I$89,5,0)</f>
        <v>81.469439999999992</v>
      </c>
      <c r="CV27" s="13">
        <f t="shared" si="41"/>
        <v>22.496088365195678</v>
      </c>
      <c r="CW27" s="20">
        <f t="shared" si="13"/>
        <v>181.07329523604912</v>
      </c>
      <c r="CX27" s="59">
        <f t="shared" si="14"/>
        <v>467.07329523604915</v>
      </c>
      <c r="CY27" s="59">
        <f ca="1">AVERAGE(OFFSET($CX$3,0,0,'Données projet'!$E$13+1,1))-AVERAGE(OFFSET($H$3,0,0,'Données projet'!$E$13+1,1))</f>
        <v>299.10536994156814</v>
      </c>
      <c r="CZ27" s="59">
        <f t="shared" si="42"/>
        <v>292.57799203101769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2.4115837754416383</v>
      </c>
      <c r="DG27" s="21">
        <f>EXP(-LN(2)/25)*DG26+(1-EXP(-LN(2)/25))/(LN(2)/25)*Calculateur!DB27*Calculateur!DD27*VLOOKUP('Données projet'!$B$13,Paramètres!$A$1:$I$89,3,0)*0.475*44/12</f>
        <v>3.955136325756377</v>
      </c>
      <c r="DH27" s="21">
        <f>EXP(-LN(2)/2)*DH26+(1-EXP(-LN(2)/2))/(LN(2)/2)*DB27*DE27*VLOOKUP('Données projet'!$B$13,Paramètres!$A$1:$I$89,3,0)*0.475*44/12</f>
        <v>3.5011540867234823</v>
      </c>
      <c r="DI27" s="22">
        <f t="shared" si="15"/>
        <v>9.8678741879214975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11</v>
      </c>
      <c r="DO27" s="12">
        <f>IF('Données projet'!$A$166&gt;35,DO26+DN27-DW26,IF(A27&lt;'Données projet'!$A$166,$DL$205^A27,IF(A27='Données projet'!$A$166,'Données projet'!$B$166,DO26+DN27-DW26)))</f>
        <v>149</v>
      </c>
      <c r="DP27" s="17">
        <f>DO27*VLOOKUP('Données projet'!$B$14,Paramètres!$A$1:$I$89,3,0)*VLOOKUP('Données projet'!$B$14,Paramètres!$A$1:$I$89,5,0)</f>
        <v>97.624800000000008</v>
      </c>
      <c r="DQ27" s="13">
        <f t="shared" si="43"/>
        <v>26.395349675372152</v>
      </c>
      <c r="DR27" s="20">
        <f t="shared" si="16"/>
        <v>216.00176068460652</v>
      </c>
      <c r="DS27" s="59">
        <f t="shared" si="17"/>
        <v>502.00176068460655</v>
      </c>
      <c r="DT27" s="59">
        <f ca="1">AVERAGE(OFFSET($DS$3,0,0,'Données projet'!$E$14+1,1))-AVERAGE(OFFSET($H$3,0,0,'Données projet'!$E$14+1,1))</f>
        <v>295.92103934364718</v>
      </c>
      <c r="DU27" s="59">
        <f t="shared" si="44"/>
        <v>304.84379909635476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1.5744777387043234</v>
      </c>
      <c r="EC27" s="21">
        <f>EXP(-LN(2)/2)*EC26+(1-EXP(-LN(2)/2))/(LN(2)/2)*DW27*DZ27*VLOOKUP('Données projet'!$B$14,Paramètres!$A$1:$I$89,3,0)*0.475*44/12</f>
        <v>1.1673994755041142</v>
      </c>
      <c r="ED27" s="22">
        <f t="shared" si="18"/>
        <v>2.7418772142084373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9.1999999999999993</v>
      </c>
      <c r="N28" s="13">
        <f>IF('Données projet'!$A$36&gt;35,N27+M28-V27,IF(A28&lt;'Données projet'!$A$36,$K$205^A28,IF(A28='Données projet'!$A$36,'Données projet'!$B$36,N27+M28-V27)))</f>
        <v>164.49999999999994</v>
      </c>
      <c r="O28" s="13">
        <f>N28*VLOOKUP('Données projet'!$B$9,Paramètres!$A$1:$I$89,3,0)*VLOOKUP('Données projet'!$B$9,Paramètres!$A$1:$I$89,5,0)</f>
        <v>76.985999999999976</v>
      </c>
      <c r="P28" s="13">
        <f t="shared" si="33"/>
        <v>21.398606468170591</v>
      </c>
      <c r="Q28" s="20">
        <f t="shared" si="2"/>
        <v>171.35318959873041</v>
      </c>
      <c r="R28" s="59">
        <f t="shared" si="0"/>
        <v>458.57541182095264</v>
      </c>
      <c r="S28" s="59">
        <f ca="1">AVERAGE(OFFSET($R$3,0,0,'Données projet'!$E$9+1,1))-AVERAGE(OFFSET($H$3,0,0,'Données projet'!$E$9+1,1))</f>
        <v>319.22903094674564</v>
      </c>
      <c r="T28" s="59">
        <f t="shared" si="34"/>
        <v>254.58690973142848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2.4432038563451388</v>
      </c>
      <c r="AA28" s="21">
        <f>EXP(-LN(2)/25)*AA27+(1-EXP(-LN(2)/25))/(LN(2)/25)*Calculateur!V28*Calculateur!X28*VLOOKUP('Données projet'!$B$9,Paramètres!$A$1:$I$89,3,0)*0.475*44/12</f>
        <v>2.3390776164151745</v>
      </c>
      <c r="AB28" s="21">
        <f>EXP(-LN(2)/2)*AB27+(1-EXP(-LN(2)/2))/(LN(2)/2)*V28*Y28*VLOOKUP('Données projet'!$B$9,Paramètres!$A$1:$I$89,3,0)*0.475*44/12</f>
        <v>2.2200090717153387</v>
      </c>
      <c r="AC28" s="22">
        <f t="shared" si="3"/>
        <v>7.0022905444756525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projet'!$A$61:$I$81,2,0)</f>
        <v>419</v>
      </c>
      <c r="AG28" s="12">
        <f>VLOOKUP(A28,'Données projet'!$A$61:$I$81,9,0)</f>
        <v>31.8</v>
      </c>
      <c r="AH28" s="12">
        <f t="array" ref="AH28">INDEX(AG:AG,MIN(IF(ISNUMBER(AG28:AG224),ROW(AG28:AG224),"")))</f>
        <v>31.8</v>
      </c>
      <c r="AI28" s="13">
        <f>IF('Données projet'!$A$62&gt;35,AI27+AH28-AQ27,IF(A28&lt;'Données projet'!$A$62,$AF$205^A28,IF(A28='Données projet'!$A$62,'Données projet'!$B$62,AI27+AH28-AQ27)))</f>
        <v>419.00000000000006</v>
      </c>
      <c r="AJ28" s="13">
        <f>AI28*VLOOKUP('Données projet'!$B$10,Paramètres!$A$1:$I$89,3,0)*VLOOKUP('Données projet'!$B$10,Paramètres!$A$1:$I$89,5,0)</f>
        <v>234.22100000000003</v>
      </c>
      <c r="AK28" s="13">
        <f t="shared" si="35"/>
        <v>57.194392182630075</v>
      </c>
      <c r="AL28" s="20">
        <f t="shared" si="4"/>
        <v>507.5484747180808</v>
      </c>
      <c r="AM28" s="59">
        <f t="shared" si="5"/>
        <v>794.77069694030297</v>
      </c>
      <c r="AN28" s="59">
        <f ca="1">AVERAGE(OFFSET($AM$3,0,0,'Données projet'!$E$10+1,1))-AVERAGE(OFFSET($H$3,0,0,'Données projet'!$E$10+1,1))</f>
        <v>544.48194192356823</v>
      </c>
      <c r="AO28" s="59">
        <f t="shared" si="36"/>
        <v>668.20427590250733</v>
      </c>
      <c r="AP28" s="15">
        <f>IF(ISNA(VLOOKUP(A28,'Données projet'!$A$61:$I$81,3,0)),0,VLOOKUP(A28,'Données projet'!$A$61:$I$81,3,0))</f>
        <v>2</v>
      </c>
      <c r="AQ28" s="15">
        <f>IF(ISNA(VLOOKUP(A28,'Données projet'!$A$61:$I$81,4,0)),0,VLOOKUP(A28,'Données projet'!$A$61:$I$81,4,0))</f>
        <v>60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0.33</v>
      </c>
      <c r="AT28" s="16">
        <f>IF(ISNA(VLOOKUP(A28,'Données projet'!$A$61:$I$81,7,0)),0%,VLOOKUP(A28,'Données projet'!$A$61:$I$81,7,0))</f>
        <v>0.4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23.749246006398351</v>
      </c>
      <c r="AW28" s="21">
        <f>EXP(-LN(2)/2)*AW27+(1-EXP(-LN(2)/2))/(LN(2)/2)*AQ28*AT28*VLOOKUP('Données projet'!$B$10,Paramètres!$A$1:$I$89,3,0)*0.475*44/12</f>
        <v>17.114452682518802</v>
      </c>
      <c r="AX28" s="21">
        <f t="shared" si="6"/>
        <v>40.863698688917154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>
        <f>VLOOKUP(A28,'Données projet'!$A$87:$I$107,2,0)</f>
        <v>103</v>
      </c>
      <c r="BB28" s="12">
        <f>VLOOKUP(A28,'Données projet'!$A$87:$I$107,9,0)</f>
        <v>7.2</v>
      </c>
      <c r="BC28" s="12">
        <f t="array" ref="BC28">INDEX(BB:BB,MIN(IF(ISNUMBER(BB28:BB224),ROW(BB28:BB224),"")))</f>
        <v>7.2</v>
      </c>
      <c r="BD28" s="12">
        <f>IF('Données projet'!$A$88&gt;35,BD27+BC28-BL27,IF(A28&lt;'Données projet'!$A$88,$BA$205^A28,IF(A28='Données projet'!$A$88,'Données projet'!$B$88,BD27+BC28-BL27)))</f>
        <v>103.00000000000001</v>
      </c>
      <c r="BE28" s="13">
        <f>BD28*VLOOKUP('Données projet'!$B$11,Paramètres!$A$1:$I$89,3,0)*VLOOKUP('Données projet'!$B$11,Paramètres!$A$1:$I$89,5,0)</f>
        <v>93.194400000000002</v>
      </c>
      <c r="BF28" s="13">
        <f t="shared" si="37"/>
        <v>25.33406653691528</v>
      </c>
      <c r="BG28" s="20">
        <f t="shared" si="7"/>
        <v>206.43707921846078</v>
      </c>
      <c r="BH28" s="59">
        <f t="shared" si="8"/>
        <v>493.65930144068301</v>
      </c>
      <c r="BI28" s="59">
        <f ca="1">AVERAGE(OFFSET($BH$3,0,0,'Données projet'!$E$11+1,1))-AVERAGE(OFFSET($H$3,0,0,'Données projet'!$E$11+1,1))</f>
        <v>405.7176439604217</v>
      </c>
      <c r="BJ28" s="59">
        <f t="shared" si="38"/>
        <v>278.21741231699929</v>
      </c>
      <c r="BK28" s="15">
        <f>IF(ISNA(VLOOKUP(A28,'Données projet'!$A$87:$I$107,3,0)),0,VLOOKUP(A28,'Données projet'!$A$87:$I$107,3,0))</f>
        <v>2</v>
      </c>
      <c r="BL28" s="15">
        <f>IF(ISNA(VLOOKUP(A28,'Données projet'!$A$87:$I$107,4,0)),0,VLOOKUP(A28,'Données projet'!$A$87:$I$107,4,0))</f>
        <v>28</v>
      </c>
      <c r="BM28" s="16">
        <f>IF(ISNA(VLOOKUP(A28,'Données projet'!$A$87:$I$107,5,0)),0%,VLOOKUP(A28,'Données projet'!$A$87:$I$107,5,0)*VLOOKUP('Données projet'!$B$11,Paramètres!$A$1:$I$89,7,0))</f>
        <v>0.129</v>
      </c>
      <c r="BN28" s="16">
        <f>IF(ISNA(VLOOKUP(A28,'Données projet'!$A$87:$I$107,6,0)),0%,VLOOKUP(A28,'Données projet'!$A$87:$I$107,6,0)*VLOOKUP('Données projet'!$B$11,Paramètres!$A$1:$I$89,7,0))</f>
        <v>0.17200000000000001</v>
      </c>
      <c r="BO28" s="16">
        <f>IF(ISNA(VLOOKUP(A28,'Données projet'!$A$87:$I$107,7,0)),0%,VLOOKUP(A28,'Données projet'!$A$87:$I$107,7,0))</f>
        <v>0.3</v>
      </c>
      <c r="BP28" s="21">
        <f>EXP(-LN(2)/35)*BP27+(1-EXP(-LN(2)/35))/(LN(2)/35)*BL28*BM28*VLOOKUP('Données projet'!$B$11,Paramètres!$A$1:$I$89,3,0)*0.475*44/12</f>
        <v>4.0802900278614391</v>
      </c>
      <c r="BQ28" s="21">
        <f>EXP(-LN(2)/25)*BQ27+(1-EXP(-LN(2)/25))/(LN(2)/25)*Calculateur!BL28*Calculateur!BN28*VLOOKUP('Données projet'!$B$11,Paramètres!$A$1:$I$89,3,0)*0.475*44/12</f>
        <v>5.2456771038118353</v>
      </c>
      <c r="BR28" s="21">
        <f>EXP(-LN(2)/2)*BR27+(1-EXP(-LN(2)/2))/(LN(2)/2)*BL28*BO28*VLOOKUP('Données projet'!$B$11,Paramètres!$A$1:$I$89,3,0)*0.475*44/12</f>
        <v>7.7143998389363642</v>
      </c>
      <c r="BS28" s="22">
        <f t="shared" si="9"/>
        <v>17.040366970609639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>
        <f>VLOOKUP(A28,'Données projet'!$A$113:$I$133,2,0)</f>
        <v>145</v>
      </c>
      <c r="BW28" s="12">
        <f>VLOOKUP(A28,'Données projet'!$A$113:$I$133,9,0)</f>
        <v>11.4</v>
      </c>
      <c r="BX28" s="12">
        <f t="array" ref="BX28">INDEX(BW:BW,MIN(IF(ISNUMBER(BW28:BW224),ROW(BW28:BW224),"")))</f>
        <v>11.4</v>
      </c>
      <c r="BY28" s="12">
        <f>IF('Données projet'!$A$114&gt;35,BY27+BX28-CG27,IF(A28&lt;'Données projet'!$A$114,$BV$205^A28,IF(A28='Données projet'!$A$114,'Données projet'!$B$114,BY27+BX28-CG27)))</f>
        <v>145</v>
      </c>
      <c r="BZ28" s="13">
        <f>BY28*VLOOKUP('Données projet'!$B$12,Paramètres!$A$1:$I$89,3,0)*VLOOKUP('Données projet'!$B$12,Paramètres!$A$1:$I$89,5,0)</f>
        <v>126.67200000000001</v>
      </c>
      <c r="CA28" s="13">
        <f t="shared" si="39"/>
        <v>33.226199426361347</v>
      </c>
      <c r="CB28" s="20">
        <f t="shared" si="10"/>
        <v>278.48936400091276</v>
      </c>
      <c r="CC28" s="59">
        <f t="shared" si="11"/>
        <v>565.71158622313499</v>
      </c>
      <c r="CD28" s="59">
        <f ca="1">AVERAGE(OFFSET($CC$3,0,0,'Données projet'!$E$12+1,1))-AVERAGE(OFFSET($H$3,0,0,'Données projet'!$E$12+1,1))</f>
        <v>381.72225529388083</v>
      </c>
      <c r="CE28" s="59">
        <f t="shared" si="40"/>
        <v>360.05900046417361</v>
      </c>
      <c r="CF28" s="15">
        <f>IF(ISNA(VLOOKUP(A28,'Données projet'!$A$113:$I$133,3,0)),0,VLOOKUP(A28,'Données projet'!$A$113:$I$133,3,0))</f>
        <v>3</v>
      </c>
      <c r="CG28" s="15">
        <f>IF(ISNA(VLOOKUP(A28,'Données projet'!$A$113:$I$133,4,0)),0,VLOOKUP(A28,'Données projet'!$A$113:$I$133,4,0))</f>
        <v>31</v>
      </c>
      <c r="CH28" s="16">
        <f>IF(ISNA(VLOOKUP(A28,'Données projet'!$A$113:$I$133,5,0)),0%,VLOOKUP(A28,'Données projet'!$A$113:$I$133,5,0)*VLOOKUP('Données projet'!$B$12,Paramètres!$A$1:$I$89,7,0))</f>
        <v>4.3000000000000003E-2</v>
      </c>
      <c r="CI28" s="16">
        <f>IF(ISNA(VLOOKUP(A28,'Données projet'!$A$113:$I$133,6,0)),0%,VLOOKUP(A28,'Données projet'!$A$113:$I$133,6,0)*VLOOKUP('Données projet'!$B$12,Paramètres!$A$1:$I$89,7,0))</f>
        <v>0.129</v>
      </c>
      <c r="CJ28" s="16">
        <f>IF(ISNA(VLOOKUP(A28,'Données projet'!$A$113:$I$133,7,0)),0%,VLOOKUP(A28,'Données projet'!$A$113:$I$133,7,0))</f>
        <v>0.3</v>
      </c>
      <c r="CK28" s="21">
        <f>EXP(-LN(2)/35)*CK27+(1-EXP(-LN(2)/35))/(LN(2)/35)*CG28*CH28*VLOOKUP('Données projet'!$B$12,Paramètres!$A$1:$I$89,3,0)*0.475*44/12</f>
        <v>2.378071653027042</v>
      </c>
      <c r="CL28" s="21">
        <f>EXP(-LN(2)/25)*CL27+(1-EXP(-LN(2)/25))/(LN(2)/25)*Calculateur!CG28*Calculateur!CI28*VLOOKUP('Données projet'!$B$12,Paramètres!$A$1:$I$89,3,0)*0.475*44/12</f>
        <v>6.8757199559900748</v>
      </c>
      <c r="CM28" s="21">
        <f>EXP(-LN(2)/2)*CM27+(1-EXP(-LN(2)/2))/(LN(2)/2)*CG28*CJ28*VLOOKUP('Données projet'!$B$12,Paramètres!$A$1:$I$89,3,0)*0.475*44/12</f>
        <v>9.7422858254859541</v>
      </c>
      <c r="CN28" s="22">
        <f t="shared" si="12"/>
        <v>18.996077434503071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>
        <f>VLOOKUP(A28,'Données projet'!$A$139:$I$159,2,0)</f>
        <v>115</v>
      </c>
      <c r="CR28" s="12">
        <f>VLOOKUP(A28,'Données projet'!$A$139:$I$159,9,0)</f>
        <v>12.6</v>
      </c>
      <c r="CS28" s="12">
        <f t="array" ref="CS28">INDEX(CR:CR,MIN(IF(ISNUMBER(CR28:CR224),ROW(CR28:CR224),"")))</f>
        <v>12.6</v>
      </c>
      <c r="CT28" s="12">
        <f>IF('Données projet'!$A$140&gt;35,CT27+CS28-DB27,IF(A28&lt;'Données projet'!$A$140,$CQ$205^A28,IF(A28='Données projet'!$A$140,'Données projet'!$B$140,CT27+CS28-DB27)))</f>
        <v>114.99999999999997</v>
      </c>
      <c r="CU28" s="17">
        <f>CT28*VLOOKUP('Données projet'!$B$13,Paramètres!$A$1:$I$89,3,0)*VLOOKUP('Données projet'!$B$13,Paramètres!$A$1:$I$89,5,0)</f>
        <v>91.493999999999986</v>
      </c>
      <c r="CV28" s="13">
        <f t="shared" si="41"/>
        <v>24.925195840896517</v>
      </c>
      <c r="CW28" s="20">
        <f t="shared" si="13"/>
        <v>202.76343275622807</v>
      </c>
      <c r="CX28" s="59">
        <f t="shared" si="14"/>
        <v>489.98565497845027</v>
      </c>
      <c r="CY28" s="59">
        <f ca="1">AVERAGE(OFFSET($CX$3,0,0,'Données projet'!$E$13+1,1))-AVERAGE(OFFSET($H$3,0,0,'Données projet'!$E$13+1,1))</f>
        <v>299.10536994156814</v>
      </c>
      <c r="CZ28" s="59">
        <f t="shared" si="42"/>
        <v>292.57799203101769</v>
      </c>
      <c r="DA28" s="15">
        <f>IF(ISNA(VLOOKUP(A28,'Données projet'!$A$139:$I$159,3,0)),0,VLOOKUP(A28,'Données projet'!$A$139:$I$159,3,0))</f>
        <v>3</v>
      </c>
      <c r="DB28" s="15">
        <f>IF(ISNA(VLOOKUP(A28,'Données projet'!$A$139:$I$159,4,0)),0,VLOOKUP(A28,'Données projet'!$A$139:$I$159,4,0))</f>
        <v>28</v>
      </c>
      <c r="DC28" s="16">
        <f>IF(ISNA(VLOOKUP(A28,'Données projet'!$A$139:$I$159,5,0)),0%,VLOOKUP(A28,'Données projet'!$A$139:$I$159,5,0)*VLOOKUP('Données projet'!$B$13,Paramètres!$A$1:$I$89,7,0))</f>
        <v>0.10600000000000001</v>
      </c>
      <c r="DD28" s="16">
        <f>IF(ISNA(VLOOKUP(A28,'Données projet'!$A$139:$I$159,6,0)),0%,VLOOKUP(A28,'Données projet'!$A$139:$I$159,6,0)*VLOOKUP('Données projet'!$B$13,Paramètres!$A$1:$I$89,7,0))</f>
        <v>0.10600000000000001</v>
      </c>
      <c r="DE28" s="16">
        <f>IF(ISNA(VLOOKUP(A28,'Données projet'!$A$139:$I$159,7,0)),0%,VLOOKUP(A28,'Données projet'!$A$139:$I$159,7,0))</f>
        <v>0.6</v>
      </c>
      <c r="DF28" s="21">
        <f>EXP(-LN(2)/35)*DF27+(1-EXP(-LN(2)/35))/(LN(2)/35)*DB28*DC28*VLOOKUP('Données projet'!$B$13,Paramètres!$A$1:$I$89,3,0)*0.475*44/12</f>
        <v>4.9746863989087293</v>
      </c>
      <c r="DG28" s="21">
        <f>EXP(-LN(2)/25)*DG27+(1-EXP(-LN(2)/25))/(LN(2)/25)*Calculateur!DB28*Calculateur!DD28*VLOOKUP('Données projet'!$B$13,Paramètres!$A$1:$I$89,3,0)*0.475*44/12</f>
        <v>6.4470971161562041</v>
      </c>
      <c r="DH28" s="21">
        <f>EXP(-LN(2)/2)*DH27+(1-EXP(-LN(2)/2))/(LN(2)/2)*DB28*DE28*VLOOKUP('Données projet'!$B$13,Paramètres!$A$1:$I$89,3,0)*0.475*44/12</f>
        <v>15.086946019469957</v>
      </c>
      <c r="DI28" s="22">
        <f t="shared" si="15"/>
        <v>26.508729534534893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>
        <f>VLOOKUP(A28,'Données projet'!$A$165:$I$185,2,0)</f>
        <v>160</v>
      </c>
      <c r="DM28" s="12">
        <f>VLOOKUP(A28,'Données projet'!$A$165:$I$185,9,0)</f>
        <v>11</v>
      </c>
      <c r="DN28" s="12">
        <f t="array" ref="DN28">INDEX(DM:DM,MIN(IF(ISNUMBER(DM28:DM224),ROW(DM28:DM224),"")))</f>
        <v>11</v>
      </c>
      <c r="DO28" s="12">
        <f>IF('Données projet'!$A$166&gt;35,DO27+DN28-DW27,IF(A28&lt;'Données projet'!$A$166,$DL$205^A28,IF(A28='Données projet'!$A$166,'Données projet'!$B$166,DO27+DN28-DW27)))</f>
        <v>160</v>
      </c>
      <c r="DP28" s="17">
        <f>DO28*VLOOKUP('Données projet'!$B$14,Paramètres!$A$1:$I$89,3,0)*VLOOKUP('Données projet'!$B$14,Paramètres!$A$1:$I$89,5,0)</f>
        <v>104.83200000000001</v>
      </c>
      <c r="DQ28" s="13">
        <f t="shared" si="43"/>
        <v>28.109974371137717</v>
      </c>
      <c r="DR28" s="20">
        <f t="shared" si="16"/>
        <v>231.54060536306486</v>
      </c>
      <c r="DS28" s="59">
        <f t="shared" si="17"/>
        <v>518.76282758528714</v>
      </c>
      <c r="DT28" s="59">
        <f ca="1">AVERAGE(OFFSET($DS$3,0,0,'Données projet'!$E$14+1,1))-AVERAGE(OFFSET($H$3,0,0,'Données projet'!$E$14+1,1))</f>
        <v>295.92103934364718</v>
      </c>
      <c r="DU28" s="59">
        <f t="shared" si="44"/>
        <v>304.84379909635476</v>
      </c>
      <c r="DV28" s="15">
        <f>IF(ISNA(VLOOKUP(A28,'Données projet'!$A$165:$I$185,3,0)),0,VLOOKUP(A28,'Données projet'!$A$165:$I$185,3,0))</f>
        <v>4</v>
      </c>
      <c r="DW28" s="15">
        <f>IF(ISNA(VLOOKUP(A28,'Données projet'!$A$165:$I$185,4,0)),0,VLOOKUP(A28,'Données projet'!$A$165:$I$185,4,0))</f>
        <v>24</v>
      </c>
      <c r="DX28" s="16">
        <f>IF(ISNA(VLOOKUP(A28,'Données projet'!$A$165:$I$185,5,0)),0%,VLOOKUP(A28,'Données projet'!$A$165:$I$185,5,0)*VLOOKUP('Données projet'!$B$14,Paramètres!$A$1:$I$89,7,0))</f>
        <v>0.129</v>
      </c>
      <c r="DY28" s="16">
        <f>IF(ISNA(VLOOKUP(A28,'Données projet'!$A$165:$I$185,6,0)),0%,VLOOKUP(A28,'Données projet'!$A$165:$I$185,6,0)*VLOOKUP('Données projet'!$B$14,Paramètres!$A$1:$I$89,7,0))</f>
        <v>0.17200000000000001</v>
      </c>
      <c r="DZ28" s="16">
        <f>IF(ISNA(VLOOKUP(A28,'Données projet'!$A$165:$I$185,7,0)),0%,VLOOKUP(A28,'Données projet'!$A$165:$I$185,7,0))</f>
        <v>0.3</v>
      </c>
      <c r="EA28" s="21">
        <f>EXP(-LN(2)/35)*EA27+(1-EXP(-LN(2)/35))/(LN(2)/35)*DW28*DX28*VLOOKUP('Données projet'!$B$14,Paramètres!$A$1:$I$89,3,0)*0.475*44/12</f>
        <v>2.2424457805062858</v>
      </c>
      <c r="EB28" s="21">
        <f>EXP(-LN(2)/25)*EB27+(1-EXP(-LN(2)/25))/(LN(2)/25)*Calculateur!DW28*Calculateur!DY28*VLOOKUP('Données projet'!$B$14,Paramètres!$A$1:$I$89,3,0)*0.475*44/12</f>
        <v>4.509578784847406</v>
      </c>
      <c r="EC28" s="21">
        <f>EXP(-LN(2)/2)*EC27+(1-EXP(-LN(2)/2))/(LN(2)/2)*DW28*DZ28*VLOOKUP('Données projet'!$B$14,Paramètres!$A$1:$I$89,3,0)*0.475*44/12</f>
        <v>5.2765076935186208</v>
      </c>
      <c r="ED28" s="22">
        <f t="shared" si="18"/>
        <v>12.028532258872312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9.1999999999999993</v>
      </c>
      <c r="N29" s="13">
        <f>IF('Données projet'!$A$36&gt;35,N28+M29-V28,IF(A29&lt;'Données projet'!$A$36,$K$205^A29,IF(A29='Données projet'!$A$36,'Données projet'!$B$36,N28+M29-V28)))</f>
        <v>173.69999999999993</v>
      </c>
      <c r="O29" s="13">
        <f>N29*VLOOKUP('Données projet'!$B$9,Paramètres!$A$1:$I$89,3,0)*VLOOKUP('Données projet'!$B$9,Paramètres!$A$1:$I$89,5,0)</f>
        <v>81.291599999999974</v>
      </c>
      <c r="P29" s="13">
        <f t="shared" si="33"/>
        <v>22.452692070336486</v>
      </c>
      <c r="Q29" s="20">
        <f t="shared" si="2"/>
        <v>180.68797535583599</v>
      </c>
      <c r="R29" s="59">
        <f t="shared" si="0"/>
        <v>469.13241980028045</v>
      </c>
      <c r="S29" s="59">
        <f ca="1">AVERAGE(OFFSET($R$3,0,0,'Données projet'!$E$9+1,1))-AVERAGE(OFFSET($H$3,0,0,'Données projet'!$E$9+1,1))</f>
        <v>319.22903094674564</v>
      </c>
      <c r="T29" s="59">
        <f t="shared" si="34"/>
        <v>254.58690973142848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2.3952941189294172</v>
      </c>
      <c r="AA29" s="21">
        <f>EXP(-LN(2)/25)*AA28+(1-EXP(-LN(2)/25))/(LN(2)/25)*Calculateur!V29*Calculateur!X29*VLOOKUP('Données projet'!$B$9,Paramètres!$A$1:$I$89,3,0)*0.475*44/12</f>
        <v>2.275115415987556</v>
      </c>
      <c r="AB29" s="21">
        <f>EXP(-LN(2)/2)*AB28+(1-EXP(-LN(2)/2))/(LN(2)/2)*V29*Y29*VLOOKUP('Données projet'!$B$9,Paramètres!$A$1:$I$89,3,0)*0.475*44/12</f>
        <v>1.5697834689055685</v>
      </c>
      <c r="AC29" s="22">
        <f t="shared" si="3"/>
        <v>6.2401930038225419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33</v>
      </c>
      <c r="AI29" s="13">
        <f>IF('Données projet'!$A$62&gt;35,AI28+AH29-AQ28,IF(A29&lt;'Données projet'!$A$62,$AF$205^A29,IF(A29='Données projet'!$A$62,'Données projet'!$B$62,AI28+AH29-AQ28)))</f>
        <v>392.00000000000006</v>
      </c>
      <c r="AJ29" s="13">
        <f>AI29*VLOOKUP('Données projet'!$B$10,Paramètres!$A$1:$I$89,3,0)*VLOOKUP('Données projet'!$B$10,Paramètres!$A$1:$I$89,5,0)</f>
        <v>219.12800000000004</v>
      </c>
      <c r="AK29" s="13">
        <f t="shared" si="35"/>
        <v>53.925317044064428</v>
      </c>
      <c r="AL29" s="20">
        <f t="shared" si="4"/>
        <v>475.56786051841215</v>
      </c>
      <c r="AM29" s="59">
        <f t="shared" si="5"/>
        <v>764.01230496285666</v>
      </c>
      <c r="AN29" s="59">
        <f ca="1">AVERAGE(OFFSET($AM$3,0,0,'Données projet'!$E$10+1,1))-AVERAGE(OFFSET($H$3,0,0,'Données projet'!$E$10+1,1))</f>
        <v>544.48194192356823</v>
      </c>
      <c r="AO29" s="59">
        <f t="shared" si="36"/>
        <v>668.20427590250733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23.099821625434821</v>
      </c>
      <c r="AW29" s="21">
        <f>EXP(-LN(2)/2)*AW28+(1-EXP(-LN(2)/2))/(LN(2)/2)*AQ29*AT29*VLOOKUP('Données projet'!$B$10,Paramètres!$A$1:$I$89,3,0)*0.475*44/12</f>
        <v>12.101745548105345</v>
      </c>
      <c r="AX29" s="21">
        <f t="shared" si="6"/>
        <v>35.20156717354017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9.1999999999999993</v>
      </c>
      <c r="BD29" s="12">
        <f>IF('Données projet'!$A$88&gt;35,BD28+BC29-BL28,IF(A29&lt;'Données projet'!$A$88,$BA$205^A29,IF(A29='Données projet'!$A$88,'Données projet'!$B$88,BD28+BC29-BL28)))</f>
        <v>84.200000000000017</v>
      </c>
      <c r="BE29" s="13">
        <f>BD29*VLOOKUP('Données projet'!$B$11,Paramètres!$A$1:$I$89,3,0)*VLOOKUP('Données projet'!$B$11,Paramètres!$A$1:$I$89,5,0)</f>
        <v>76.184160000000006</v>
      </c>
      <c r="BF29" s="13">
        <f t="shared" si="37"/>
        <v>21.201554232857223</v>
      </c>
      <c r="BG29" s="20">
        <f t="shared" si="7"/>
        <v>169.613452288893</v>
      </c>
      <c r="BH29" s="59">
        <f t="shared" si="8"/>
        <v>458.05789673333743</v>
      </c>
      <c r="BI29" s="59">
        <f ca="1">AVERAGE(OFFSET($BH$3,0,0,'Données projet'!$E$11+1,1))-AVERAGE(OFFSET($H$3,0,0,'Données projet'!$E$11+1,1))</f>
        <v>405.7176439604217</v>
      </c>
      <c r="BJ29" s="59">
        <f t="shared" si="38"/>
        <v>278.21741231699929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4.0002780291462514</v>
      </c>
      <c r="BQ29" s="21">
        <f>EXP(-LN(2)/25)*BQ28+(1-EXP(-LN(2)/25))/(LN(2)/25)*Calculateur!BL29*Calculateur!BN29*VLOOKUP('Données projet'!$B$11,Paramètres!$A$1:$I$89,3,0)*0.475*44/12</f>
        <v>5.1022337875499311</v>
      </c>
      <c r="BR29" s="21">
        <f>EXP(-LN(2)/2)*BR28+(1-EXP(-LN(2)/2))/(LN(2)/2)*BL29*BO29*VLOOKUP('Données projet'!$B$11,Paramètres!$A$1:$I$89,3,0)*0.475*44/12</f>
        <v>5.4549044388963139</v>
      </c>
      <c r="BS29" s="22">
        <f t="shared" si="9"/>
        <v>14.557416255592496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11</v>
      </c>
      <c r="BY29" s="12">
        <f>IF('Données projet'!$A$114&gt;35,BY28+BX29-CG28,IF(A29&lt;'Données projet'!$A$114,$BV$205^A29,IF(A29='Données projet'!$A$114,'Données projet'!$B$114,BY28+BX29-CG28)))</f>
        <v>125</v>
      </c>
      <c r="BZ29" s="13">
        <f>BY29*VLOOKUP('Données projet'!$B$12,Paramètres!$A$1:$I$89,3,0)*VLOOKUP('Données projet'!$B$12,Paramètres!$A$1:$I$89,5,0)</f>
        <v>109.2</v>
      </c>
      <c r="CA29" s="13">
        <f t="shared" si="39"/>
        <v>29.142418334948612</v>
      </c>
      <c r="CB29" s="20">
        <f t="shared" si="10"/>
        <v>240.94637860003544</v>
      </c>
      <c r="CC29" s="59">
        <f t="shared" si="11"/>
        <v>529.39082304447993</v>
      </c>
      <c r="CD29" s="59">
        <f ca="1">AVERAGE(OFFSET($CC$3,0,0,'Données projet'!$E$12+1,1))-AVERAGE(OFFSET($H$3,0,0,'Données projet'!$E$12+1,1))</f>
        <v>381.72225529388083</v>
      </c>
      <c r="CE29" s="59">
        <f t="shared" si="40"/>
        <v>360.05900046417361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2.3314391183916672</v>
      </c>
      <c r="CL29" s="21">
        <f>EXP(-LN(2)/25)*CL28+(1-EXP(-LN(2)/25))/(LN(2)/25)*Calculateur!CG29*Calculateur!CI29*VLOOKUP('Données projet'!$B$12,Paramètres!$A$1:$I$89,3,0)*0.475*44/12</f>
        <v>6.6877030322151283</v>
      </c>
      <c r="CM29" s="21">
        <f>EXP(-LN(2)/2)*CM28+(1-EXP(-LN(2)/2))/(LN(2)/2)*CG29*CJ29*VLOOKUP('Données projet'!$B$12,Paramètres!$A$1:$I$89,3,0)*0.475*44/12</f>
        <v>6.8888363714587006</v>
      </c>
      <c r="CN29" s="22">
        <f t="shared" si="12"/>
        <v>15.907978522065495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11.8</v>
      </c>
      <c r="CT29" s="12">
        <f>IF('Données projet'!$A$140&gt;35,CT28+CS29-DB28,IF(A29&lt;'Données projet'!$A$140,$CQ$205^A29,IF(A29='Données projet'!$A$140,'Données projet'!$B$140,CT28+CS29-DB28)))</f>
        <v>98.799999999999969</v>
      </c>
      <c r="CU29" s="17">
        <f>CT29*VLOOKUP('Données projet'!$B$13,Paramètres!$A$1:$I$89,3,0)*VLOOKUP('Données projet'!$B$13,Paramètres!$A$1:$I$89,5,0)</f>
        <v>78.605279999999979</v>
      </c>
      <c r="CV29" s="13">
        <f t="shared" si="41"/>
        <v>21.795819556945734</v>
      </c>
      <c r="CW29" s="20">
        <f t="shared" si="13"/>
        <v>174.86524839501377</v>
      </c>
      <c r="CX29" s="59">
        <f t="shared" si="14"/>
        <v>463.30969283945819</v>
      </c>
      <c r="CY29" s="59">
        <f ca="1">AVERAGE(OFFSET($CX$3,0,0,'Données projet'!$E$13+1,1))-AVERAGE(OFFSET($H$3,0,0,'Données projet'!$E$13+1,1))</f>
        <v>299.10536994156814</v>
      </c>
      <c r="CZ29" s="59">
        <f t="shared" si="42"/>
        <v>292.57799203101769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4.8771358328852239</v>
      </c>
      <c r="DG29" s="21">
        <f>EXP(-LN(2)/25)*DG28+(1-EXP(-LN(2)/25))/(LN(2)/25)*Calculateur!DB29*Calculateur!DD29*VLOOKUP('Données projet'!$B$13,Paramètres!$A$1:$I$89,3,0)*0.475*44/12</f>
        <v>6.2708009064768104</v>
      </c>
      <c r="DH29" s="21">
        <f>EXP(-LN(2)/2)*DH28+(1-EXP(-LN(2)/2))/(LN(2)/2)*DB29*DE29*VLOOKUP('Données projet'!$B$13,Paramètres!$A$1:$I$89,3,0)*0.475*44/12</f>
        <v>10.668081837762598</v>
      </c>
      <c r="DI29" s="22">
        <f t="shared" si="15"/>
        <v>21.81601857712463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10</v>
      </c>
      <c r="DO29" s="12">
        <f>IF('Données projet'!$A$166&gt;35,DO28+DN29-DW28,IF(A29&lt;'Données projet'!$A$166,$DL$205^A29,IF(A29='Données projet'!$A$166,'Données projet'!$B$166,DO28+DN29-DW28)))</f>
        <v>146</v>
      </c>
      <c r="DP29" s="17">
        <f>DO29*VLOOKUP('Données projet'!$B$14,Paramètres!$A$1:$I$89,3,0)*VLOOKUP('Données projet'!$B$14,Paramètres!$A$1:$I$89,5,0)</f>
        <v>95.659199999999998</v>
      </c>
      <c r="DQ29" s="13">
        <f t="shared" si="43"/>
        <v>25.92520602338745</v>
      </c>
      <c r="DR29" s="20">
        <f t="shared" si="16"/>
        <v>211.75950715739978</v>
      </c>
      <c r="DS29" s="59">
        <f t="shared" si="17"/>
        <v>500.20395160184421</v>
      </c>
      <c r="DT29" s="59">
        <f ca="1">AVERAGE(OFFSET($DS$3,0,0,'Données projet'!$E$14+1,1))-AVERAGE(OFFSET($H$3,0,0,'Données projet'!$E$14+1,1))</f>
        <v>295.92103934364718</v>
      </c>
      <c r="DU29" s="59">
        <f t="shared" si="44"/>
        <v>304.84379909635476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2.1984727865074287</v>
      </c>
      <c r="EB29" s="21">
        <f>EXP(-LN(2)/25)*EB28+(1-EXP(-LN(2)/25))/(LN(2)/25)*Calculateur!DW29*Calculateur!DY29*VLOOKUP('Données projet'!$B$14,Paramètres!$A$1:$I$89,3,0)*0.475*44/12</f>
        <v>4.3862641158273119</v>
      </c>
      <c r="EC29" s="21">
        <f>EXP(-LN(2)/2)*EC28+(1-EXP(-LN(2)/2))/(LN(2)/2)*DW29*DZ29*VLOOKUP('Données projet'!$B$14,Paramètres!$A$1:$I$89,3,0)*0.475*44/12</f>
        <v>3.7310543710700061</v>
      </c>
      <c r="ED29" s="22">
        <f t="shared" si="18"/>
        <v>10.315791273404747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9.1999999999999993</v>
      </c>
      <c r="N30" s="13">
        <f>IF('Données projet'!$A$36&gt;35,N29+M30-V29,IF(A30&lt;'Données projet'!$A$36,$K$205^A30,IF(A30='Données projet'!$A$36,'Données projet'!$B$36,N29+M30-V29)))</f>
        <v>182.89999999999992</v>
      </c>
      <c r="O30" s="13">
        <f>N30*VLOOKUP('Données projet'!$B$9,Paramètres!$A$1:$I$89,3,0)*VLOOKUP('Données projet'!$B$9,Paramètres!$A$1:$I$89,5,0)</f>
        <v>85.597199999999958</v>
      </c>
      <c r="P30" s="13">
        <f t="shared" si="33"/>
        <v>23.500295908287228</v>
      </c>
      <c r="Q30" s="20">
        <f t="shared" si="2"/>
        <v>190.01147204026685</v>
      </c>
      <c r="R30" s="59">
        <f t="shared" si="0"/>
        <v>479.67813870693351</v>
      </c>
      <c r="S30" s="59">
        <f ca="1">AVERAGE(OFFSET($R$3,0,0,'Données projet'!$E$9+1,1))-AVERAGE(OFFSET($H$3,0,0,'Données projet'!$E$9+1,1))</f>
        <v>319.22903094674564</v>
      </c>
      <c r="T30" s="59">
        <f t="shared" si="34"/>
        <v>254.58690973142848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2.3483238622423634</v>
      </c>
      <c r="AA30" s="21">
        <f>EXP(-LN(2)/25)*AA29+(1-EXP(-LN(2)/25))/(LN(2)/25)*Calculateur!V30*Calculateur!X30*VLOOKUP('Données projet'!$B$9,Paramètres!$A$1:$I$89,3,0)*0.475*44/12</f>
        <v>2.2129022652942565</v>
      </c>
      <c r="AB30" s="21">
        <f>EXP(-LN(2)/2)*AB29+(1-EXP(-LN(2)/2))/(LN(2)/2)*V30*Y30*VLOOKUP('Données projet'!$B$9,Paramètres!$A$1:$I$89,3,0)*0.475*44/12</f>
        <v>1.1100045358576693</v>
      </c>
      <c r="AC30" s="22">
        <f t="shared" si="3"/>
        <v>5.6712306633942893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33</v>
      </c>
      <c r="AI30" s="13">
        <f>IF('Données projet'!$A$62&gt;35,AI29+AH30-AQ29,IF(A30&lt;'Données projet'!$A$62,$AF$205^A30,IF(A30='Données projet'!$A$62,'Données projet'!$B$62,AI29+AH30-AQ29)))</f>
        <v>425.00000000000006</v>
      </c>
      <c r="AJ30" s="13">
        <f>AI30*VLOOKUP('Données projet'!$B$10,Paramètres!$A$1:$I$89,3,0)*VLOOKUP('Données projet'!$B$10,Paramètres!$A$1:$I$89,5,0)</f>
        <v>237.57500000000005</v>
      </c>
      <c r="AK30" s="13">
        <f t="shared" si="35"/>
        <v>57.917471937261212</v>
      </c>
      <c r="AL30" s="20">
        <f t="shared" si="4"/>
        <v>514.64938862406336</v>
      </c>
      <c r="AM30" s="59">
        <f t="shared" si="5"/>
        <v>804.31605529072999</v>
      </c>
      <c r="AN30" s="59">
        <f ca="1">AVERAGE(OFFSET($AM$3,0,0,'Données projet'!$E$10+1,1))-AVERAGE(OFFSET($H$3,0,0,'Données projet'!$E$10+1,1))</f>
        <v>544.48194192356823</v>
      </c>
      <c r="AO30" s="59">
        <f t="shared" si="36"/>
        <v>668.20427590250733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22.46815578832048</v>
      </c>
      <c r="AW30" s="21">
        <f>EXP(-LN(2)/2)*AW29+(1-EXP(-LN(2)/2))/(LN(2)/2)*AQ30*AT30*VLOOKUP('Données projet'!$B$10,Paramètres!$A$1:$I$89,3,0)*0.475*44/12</f>
        <v>8.557226341259403</v>
      </c>
      <c r="AX30" s="21">
        <f t="shared" si="6"/>
        <v>31.025382129579882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9.1999999999999993</v>
      </c>
      <c r="BD30" s="12">
        <f>IF('Données projet'!$A$88&gt;35,BD29+BC30-BL29,IF(A30&lt;'Données projet'!$A$88,$BA$205^A30,IF(A30='Données projet'!$A$88,'Données projet'!$B$88,BD29+BC30-BL29)))</f>
        <v>93.40000000000002</v>
      </c>
      <c r="BE30" s="13">
        <f>BD30*VLOOKUP('Données projet'!$B$11,Paramètres!$A$1:$I$89,3,0)*VLOOKUP('Données projet'!$B$11,Paramètres!$A$1:$I$89,5,0)</f>
        <v>84.508320000000026</v>
      </c>
      <c r="BF30" s="13">
        <f t="shared" si="37"/>
        <v>23.235950088324714</v>
      </c>
      <c r="BG30" s="20">
        <f t="shared" si="7"/>
        <v>187.65460373716556</v>
      </c>
      <c r="BH30" s="59">
        <f t="shared" si="8"/>
        <v>477.32127040383227</v>
      </c>
      <c r="BI30" s="59">
        <f ca="1">AVERAGE(OFFSET($BH$3,0,0,'Données projet'!$E$11+1,1))-AVERAGE(OFFSET($H$3,0,0,'Données projet'!$E$11+1,1))</f>
        <v>405.7176439604217</v>
      </c>
      <c r="BJ30" s="59">
        <f t="shared" si="38"/>
        <v>278.21741231699929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3.9218350169233682</v>
      </c>
      <c r="BQ30" s="21">
        <f>EXP(-LN(2)/25)*BQ29+(1-EXP(-LN(2)/25))/(LN(2)/25)*Calculateur!BL30*Calculateur!BN30*VLOOKUP('Données projet'!$B$11,Paramètres!$A$1:$I$89,3,0)*0.475*44/12</f>
        <v>4.9627129363145643</v>
      </c>
      <c r="BR30" s="21">
        <f>EXP(-LN(2)/2)*BR29+(1-EXP(-LN(2)/2))/(LN(2)/2)*BL30*BO30*VLOOKUP('Données projet'!$B$11,Paramètres!$A$1:$I$89,3,0)*0.475*44/12</f>
        <v>3.857199919468183</v>
      </c>
      <c r="BS30" s="22">
        <f t="shared" si="9"/>
        <v>12.741747872706116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11</v>
      </c>
      <c r="BY30" s="12">
        <f>IF('Données projet'!$A$114&gt;35,BY29+BX30-CG29,IF(A30&lt;'Données projet'!$A$114,$BV$205^A30,IF(A30='Données projet'!$A$114,'Données projet'!$B$114,BY29+BX30-CG29)))</f>
        <v>136</v>
      </c>
      <c r="BZ30" s="13">
        <f>BY30*VLOOKUP('Données projet'!$B$12,Paramètres!$A$1:$I$89,3,0)*VLOOKUP('Données projet'!$B$12,Paramètres!$A$1:$I$89,5,0)</f>
        <v>118.80960000000002</v>
      </c>
      <c r="CA30" s="13">
        <f t="shared" si="39"/>
        <v>31.39719715333722</v>
      </c>
      <c r="CB30" s="20">
        <f t="shared" si="10"/>
        <v>261.61017170872901</v>
      </c>
      <c r="CC30" s="59">
        <f t="shared" si="11"/>
        <v>551.27683837539576</v>
      </c>
      <c r="CD30" s="59">
        <f ca="1">AVERAGE(OFFSET($CC$3,0,0,'Données projet'!$E$12+1,1))-AVERAGE(OFFSET($H$3,0,0,'Données projet'!$E$12+1,1))</f>
        <v>381.72225529388083</v>
      </c>
      <c r="CE30" s="59">
        <f t="shared" si="40"/>
        <v>360.05900046417361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2.2857210193174544</v>
      </c>
      <c r="CL30" s="21">
        <f>EXP(-LN(2)/25)*CL29+(1-EXP(-LN(2)/25))/(LN(2)/25)*Calculateur!CG30*Calculateur!CI30*VLOOKUP('Données projet'!$B$12,Paramètres!$A$1:$I$89,3,0)*0.475*44/12</f>
        <v>6.5048274411081879</v>
      </c>
      <c r="CM30" s="21">
        <f>EXP(-LN(2)/2)*CM29+(1-EXP(-LN(2)/2))/(LN(2)/2)*CG30*CJ30*VLOOKUP('Données projet'!$B$12,Paramètres!$A$1:$I$89,3,0)*0.475*44/12</f>
        <v>4.8711429127429779</v>
      </c>
      <c r="CN30" s="22">
        <f t="shared" si="12"/>
        <v>13.661691373168619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11.8</v>
      </c>
      <c r="CT30" s="12">
        <f>IF('Données projet'!$A$140&gt;35,CT29+CS30-DB29,IF(A30&lt;'Données projet'!$A$140,$CQ$205^A30,IF(A30='Données projet'!$A$140,'Données projet'!$B$140,CT29+CS30-DB29)))</f>
        <v>110.59999999999997</v>
      </c>
      <c r="CU30" s="17">
        <f>CT30*VLOOKUP('Données projet'!$B$13,Paramètres!$A$1:$I$89,3,0)*VLOOKUP('Données projet'!$B$13,Paramètres!$A$1:$I$89,5,0)</f>
        <v>87.993359999999981</v>
      </c>
      <c r="CV30" s="13">
        <f t="shared" si="41"/>
        <v>24.080638481970816</v>
      </c>
      <c r="CW30" s="20">
        <f t="shared" si="13"/>
        <v>195.19554735609913</v>
      </c>
      <c r="CX30" s="59">
        <f t="shared" si="14"/>
        <v>484.86221402276578</v>
      </c>
      <c r="CY30" s="59">
        <f ca="1">AVERAGE(OFFSET($CX$3,0,0,'Données projet'!$E$13+1,1))-AVERAGE(OFFSET($H$3,0,0,'Données projet'!$E$13+1,1))</f>
        <v>299.10536994156814</v>
      </c>
      <c r="CZ30" s="59">
        <f t="shared" si="42"/>
        <v>292.57799203101769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4.7814981739614693</v>
      </c>
      <c r="DG30" s="21">
        <f>EXP(-LN(2)/25)*DG29+(1-EXP(-LN(2)/25))/(LN(2)/25)*Calculateur!DB30*Calculateur!DD30*VLOOKUP('Données projet'!$B$13,Paramètres!$A$1:$I$89,3,0)*0.475*44/12</f>
        <v>6.0993255259221142</v>
      </c>
      <c r="DH30" s="21">
        <f>EXP(-LN(2)/2)*DH29+(1-EXP(-LN(2)/2))/(LN(2)/2)*DB30*DE30*VLOOKUP('Données projet'!$B$13,Paramètres!$A$1:$I$89,3,0)*0.475*44/12</f>
        <v>7.5434730097349796</v>
      </c>
      <c r="DI30" s="22">
        <f t="shared" si="15"/>
        <v>18.424296709618563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10</v>
      </c>
      <c r="DO30" s="12">
        <f>IF('Données projet'!$A$166&gt;35,DO29+DN30-DW29,IF(A30&lt;'Données projet'!$A$166,$DL$205^A30,IF(A30='Données projet'!$A$166,'Données projet'!$B$166,DO29+DN30-DW29)))</f>
        <v>156</v>
      </c>
      <c r="DP30" s="17">
        <f>DO30*VLOOKUP('Données projet'!$B$14,Paramètres!$A$1:$I$89,3,0)*VLOOKUP('Données projet'!$B$14,Paramètres!$A$1:$I$89,5,0)</f>
        <v>102.21119999999999</v>
      </c>
      <c r="DQ30" s="13">
        <f t="shared" si="43"/>
        <v>27.488113037666018</v>
      </c>
      <c r="DR30" s="20">
        <f t="shared" si="16"/>
        <v>225.89297020726829</v>
      </c>
      <c r="DS30" s="59">
        <f t="shared" si="17"/>
        <v>515.55963687393501</v>
      </c>
      <c r="DT30" s="59">
        <f ca="1">AVERAGE(OFFSET($DS$3,0,0,'Données projet'!$E$14+1,1))-AVERAGE(OFFSET($H$3,0,0,'Données projet'!$E$14+1,1))</f>
        <v>295.92103934364718</v>
      </c>
      <c r="DU30" s="59">
        <f t="shared" si="44"/>
        <v>304.84379909635476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2.1553620761000114</v>
      </c>
      <c r="EB30" s="21">
        <f>EXP(-LN(2)/25)*EB29+(1-EXP(-LN(2)/25))/(LN(2)/25)*Calculateur!DW30*Calculateur!DY30*VLOOKUP('Données projet'!$B$14,Paramètres!$A$1:$I$89,3,0)*0.475*44/12</f>
        <v>4.2663214929164095</v>
      </c>
      <c r="EC30" s="21">
        <f>EXP(-LN(2)/2)*EC29+(1-EXP(-LN(2)/2))/(LN(2)/2)*DW30*DZ30*VLOOKUP('Données projet'!$B$14,Paramètres!$A$1:$I$89,3,0)*0.475*44/12</f>
        <v>2.6382538467593108</v>
      </c>
      <c r="ED30" s="22">
        <f t="shared" si="18"/>
        <v>9.0599374157757318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9.1999999999999993</v>
      </c>
      <c r="N31" s="13">
        <f>IF('Données projet'!$A$36&gt;35,N30+M31-V30,IF(A31&lt;'Données projet'!$A$36,$K$205^A31,IF(A31='Données projet'!$A$36,'Données projet'!$B$36,N30+M31-V30)))</f>
        <v>192.09999999999991</v>
      </c>
      <c r="O31" s="13">
        <f>N31*VLOOKUP('Données projet'!$B$9,Paramètres!$A$1:$I$89,3,0)*VLOOKUP('Données projet'!$B$9,Paramètres!$A$1:$I$89,5,0)</f>
        <v>89.902799999999957</v>
      </c>
      <c r="P31" s="13">
        <f t="shared" si="33"/>
        <v>24.541781220398729</v>
      </c>
      <c r="Q31" s="20">
        <f t="shared" si="2"/>
        <v>199.32431229219435</v>
      </c>
      <c r="R31" s="59">
        <f t="shared" si="0"/>
        <v>490.21320118108321</v>
      </c>
      <c r="S31" s="59">
        <f ca="1">AVERAGE(OFFSET($R$3,0,0,'Données projet'!$E$9+1,1))-AVERAGE(OFFSET($H$3,0,0,'Données projet'!$E$9+1,1))</f>
        <v>319.22903094674564</v>
      </c>
      <c r="T31" s="59">
        <f t="shared" si="34"/>
        <v>254.58690973142848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2.3022746636399152</v>
      </c>
      <c r="AA31" s="21">
        <f>EXP(-LN(2)/25)*AA30+(1-EXP(-LN(2)/25))/(LN(2)/25)*Calculateur!V31*Calculateur!X31*VLOOKUP('Données projet'!$B$9,Paramètres!$A$1:$I$89,3,0)*0.475*44/12</f>
        <v>2.1523903364783123</v>
      </c>
      <c r="AB31" s="21">
        <f>EXP(-LN(2)/2)*AB30+(1-EXP(-LN(2)/2))/(LN(2)/2)*V31*Y31*VLOOKUP('Données projet'!$B$9,Paramètres!$A$1:$I$89,3,0)*0.475*44/12</f>
        <v>0.78489173445278426</v>
      </c>
      <c r="AC31" s="22">
        <f t="shared" si="3"/>
        <v>5.2395567345710115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33</v>
      </c>
      <c r="AI31" s="13">
        <f>IF('Données projet'!$A$62&gt;35,AI30+AH31-AQ30,IF(A31&lt;'Données projet'!$A$62,$AF$205^A31,IF(A31='Données projet'!$A$62,'Données projet'!$B$62,AI30+AH31-AQ30)))</f>
        <v>458.00000000000006</v>
      </c>
      <c r="AJ31" s="13">
        <f>AI31*VLOOKUP('Données projet'!$B$10,Paramètres!$A$1:$I$89,3,0)*VLOOKUP('Données projet'!$B$10,Paramètres!$A$1:$I$89,5,0)</f>
        <v>256.02200000000005</v>
      </c>
      <c r="AK31" s="13">
        <f t="shared" si="35"/>
        <v>61.87366971205131</v>
      </c>
      <c r="AL31" s="20">
        <f t="shared" si="4"/>
        <v>553.66829141515609</v>
      </c>
      <c r="AM31" s="59">
        <f t="shared" si="5"/>
        <v>844.557180304045</v>
      </c>
      <c r="AN31" s="59">
        <f ca="1">AVERAGE(OFFSET($AM$3,0,0,'Données projet'!$E$10+1,1))-AVERAGE(OFFSET($H$3,0,0,'Données projet'!$E$10+1,1))</f>
        <v>544.48194192356823</v>
      </c>
      <c r="AO31" s="59">
        <f t="shared" si="36"/>
        <v>668.20427590250733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21.853762886739897</v>
      </c>
      <c r="AW31" s="21">
        <f>EXP(-LN(2)/2)*AW30+(1-EXP(-LN(2)/2))/(LN(2)/2)*AQ31*AT31*VLOOKUP('Données projet'!$B$10,Paramètres!$A$1:$I$89,3,0)*0.475*44/12</f>
        <v>6.0508727740526735</v>
      </c>
      <c r="AX31" s="21">
        <f t="shared" si="6"/>
        <v>27.904635660792572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9.1999999999999993</v>
      </c>
      <c r="BD31" s="12">
        <f>IF('Données projet'!$A$88&gt;35,BD30+BC31-BL30,IF(A31&lt;'Données projet'!$A$88,$BA$205^A31,IF(A31='Données projet'!$A$88,'Données projet'!$B$88,BD30+BC31-BL30)))</f>
        <v>102.60000000000002</v>
      </c>
      <c r="BE31" s="13">
        <f>BD31*VLOOKUP('Données projet'!$B$11,Paramètres!$A$1:$I$89,3,0)*VLOOKUP('Données projet'!$B$11,Paramètres!$A$1:$I$89,5,0)</f>
        <v>92.832480000000018</v>
      </c>
      <c r="BF31" s="13">
        <f t="shared" si="37"/>
        <v>25.247114117480137</v>
      </c>
      <c r="BG31" s="20">
        <f t="shared" si="7"/>
        <v>205.65529308794461</v>
      </c>
      <c r="BH31" s="59">
        <f t="shared" si="8"/>
        <v>496.54418197683344</v>
      </c>
      <c r="BI31" s="59">
        <f ca="1">AVERAGE(OFFSET($BH$3,0,0,'Données projet'!$E$11+1,1))-AVERAGE(OFFSET($H$3,0,0,'Données projet'!$E$11+1,1))</f>
        <v>405.7176439604217</v>
      </c>
      <c r="BJ31" s="59">
        <f t="shared" si="38"/>
        <v>278.21741231699929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3.8449302243246626</v>
      </c>
      <c r="BQ31" s="21">
        <f>EXP(-LN(2)/25)*BQ30+(1-EXP(-LN(2)/25))/(LN(2)/25)*Calculateur!BL31*Calculateur!BN31*VLOOKUP('Données projet'!$B$11,Paramètres!$A$1:$I$89,3,0)*0.475*44/12</f>
        <v>4.8270072900933121</v>
      </c>
      <c r="BR31" s="21">
        <f>EXP(-LN(2)/2)*BR30+(1-EXP(-LN(2)/2))/(LN(2)/2)*BL31*BO31*VLOOKUP('Données projet'!$B$11,Paramètres!$A$1:$I$89,3,0)*0.475*44/12</f>
        <v>2.7274522194481574</v>
      </c>
      <c r="BS31" s="22">
        <f t="shared" si="9"/>
        <v>11.399389733866132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11</v>
      </c>
      <c r="BY31" s="12">
        <f>IF('Données projet'!$A$114&gt;35,BY30+BX31-CG30,IF(A31&lt;'Données projet'!$A$114,$BV$205^A31,IF(A31='Données projet'!$A$114,'Données projet'!$B$114,BY30+BX31-CG30)))</f>
        <v>147</v>
      </c>
      <c r="BZ31" s="13">
        <f>BY31*VLOOKUP('Données projet'!$B$12,Paramètres!$A$1:$I$89,3,0)*VLOOKUP('Données projet'!$B$12,Paramètres!$A$1:$I$89,5,0)</f>
        <v>128.41920000000002</v>
      </c>
      <c r="CA31" s="13">
        <f t="shared" si="39"/>
        <v>33.630823177860762</v>
      </c>
      <c r="CB31" s="20">
        <f t="shared" si="10"/>
        <v>282.23712370144091</v>
      </c>
      <c r="CC31" s="59">
        <f t="shared" si="11"/>
        <v>573.12601259032976</v>
      </c>
      <c r="CD31" s="59">
        <f ca="1">AVERAGE(OFFSET($CC$3,0,0,'Données projet'!$E$12+1,1))-AVERAGE(OFFSET($H$3,0,0,'Données projet'!$E$12+1,1))</f>
        <v>381.72225529388083</v>
      </c>
      <c r="CE31" s="59">
        <f t="shared" si="40"/>
        <v>360.05900046417361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2.2408994242808</v>
      </c>
      <c r="CL31" s="21">
        <f>EXP(-LN(2)/25)*CL30+(1-EXP(-LN(2)/25))/(LN(2)/25)*Calculateur!CG31*Calculateur!CI31*VLOOKUP('Données projet'!$B$12,Paramètres!$A$1:$I$89,3,0)*0.475*44/12</f>
        <v>6.3269525926570767</v>
      </c>
      <c r="CM31" s="21">
        <f>EXP(-LN(2)/2)*CM30+(1-EXP(-LN(2)/2))/(LN(2)/2)*CG31*CJ31*VLOOKUP('Données projet'!$B$12,Paramètres!$A$1:$I$89,3,0)*0.475*44/12</f>
        <v>3.4444181857293508</v>
      </c>
      <c r="CN31" s="22">
        <f t="shared" si="12"/>
        <v>12.012270202667228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11.8</v>
      </c>
      <c r="CT31" s="12">
        <f>IF('Données projet'!$A$140&gt;35,CT30+CS31-DB30,IF(A31&lt;'Données projet'!$A$140,$CQ$205^A31,IF(A31='Données projet'!$A$140,'Données projet'!$B$140,CT30+CS31-DB30)))</f>
        <v>122.39999999999996</v>
      </c>
      <c r="CU31" s="17">
        <f>CT31*VLOOKUP('Données projet'!$B$13,Paramètres!$A$1:$I$89,3,0)*VLOOKUP('Données projet'!$B$13,Paramètres!$A$1:$I$89,5,0)</f>
        <v>97.381439999999984</v>
      </c>
      <c r="CV31" s="13">
        <f t="shared" si="41"/>
        <v>26.337201615555198</v>
      </c>
      <c r="CW31" s="20">
        <f t="shared" si="13"/>
        <v>215.47663414709197</v>
      </c>
      <c r="CX31" s="59">
        <f t="shared" si="14"/>
        <v>506.3655230359808</v>
      </c>
      <c r="CY31" s="59">
        <f ca="1">AVERAGE(OFFSET($CX$3,0,0,'Données projet'!$E$13+1,1))-AVERAGE(OFFSET($H$3,0,0,'Données projet'!$E$13+1,1))</f>
        <v>299.10536994156814</v>
      </c>
      <c r="CZ31" s="59">
        <f t="shared" si="42"/>
        <v>292.57799203101769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4.6877359111959978</v>
      </c>
      <c r="DG31" s="21">
        <f>EXP(-LN(2)/25)*DG30+(1-EXP(-LN(2)/25))/(LN(2)/25)*Calculateur!DB31*Calculateur!DD31*VLOOKUP('Données projet'!$B$13,Paramètres!$A$1:$I$89,3,0)*0.475*44/12</f>
        <v>5.9325391486661845</v>
      </c>
      <c r="DH31" s="21">
        <f>EXP(-LN(2)/2)*DH30+(1-EXP(-LN(2)/2))/(LN(2)/2)*DB31*DE31*VLOOKUP('Données projet'!$B$13,Paramètres!$A$1:$I$89,3,0)*0.475*44/12</f>
        <v>5.3340409188812998</v>
      </c>
      <c r="DI31" s="22">
        <f t="shared" si="15"/>
        <v>15.954315978743482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10</v>
      </c>
      <c r="DO31" s="12">
        <f>IF('Données projet'!$A$166&gt;35,DO30+DN31-DW30,IF(A31&lt;'Données projet'!$A$166,$DL$205^A31,IF(A31='Données projet'!$A$166,'Données projet'!$B$166,DO30+DN31-DW30)))</f>
        <v>166</v>
      </c>
      <c r="DP31" s="17">
        <f>DO31*VLOOKUP('Données projet'!$B$14,Paramètres!$A$1:$I$89,3,0)*VLOOKUP('Données projet'!$B$14,Paramètres!$A$1:$I$89,5,0)</f>
        <v>108.7632</v>
      </c>
      <c r="DQ31" s="13">
        <f t="shared" si="43"/>
        <v>29.039393357192587</v>
      </c>
      <c r="DR31" s="20">
        <f t="shared" si="16"/>
        <v>240.00618343044377</v>
      </c>
      <c r="DS31" s="59">
        <f t="shared" si="17"/>
        <v>530.8950723193326</v>
      </c>
      <c r="DT31" s="59">
        <f ca="1">AVERAGE(OFFSET($DS$3,0,0,'Données projet'!$E$14+1,1))-AVERAGE(OFFSET($H$3,0,0,'Données projet'!$E$14+1,1))</f>
        <v>295.92103934364718</v>
      </c>
      <c r="DU31" s="59">
        <f t="shared" si="44"/>
        <v>304.84379909635476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2.1130967404287464</v>
      </c>
      <c r="EB31" s="21">
        <f>EXP(-LN(2)/25)*EB30+(1-EXP(-LN(2)/25))/(LN(2)/25)*Calculateur!DW31*Calculateur!DY31*VLOOKUP('Données projet'!$B$14,Paramètres!$A$1:$I$89,3,0)*0.475*44/12</f>
        <v>4.1496587073365134</v>
      </c>
      <c r="EC31" s="21">
        <f>EXP(-LN(2)/2)*EC30+(1-EXP(-LN(2)/2))/(LN(2)/2)*DW31*DZ31*VLOOKUP('Données projet'!$B$14,Paramètres!$A$1:$I$89,3,0)*0.475*44/12</f>
        <v>1.8655271855350035</v>
      </c>
      <c r="ED31" s="22">
        <f t="shared" si="18"/>
        <v>8.1282826333002625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9.1999999999999993</v>
      </c>
      <c r="N32" s="13">
        <f>IF('Données projet'!$A$36&gt;35,N31+M32-V31,IF(A32&lt;'Données projet'!$A$36,$K$205^A32,IF(A32='Données projet'!$A$36,'Données projet'!$B$36,N31+M32-V31)))</f>
        <v>201.2999999999999</v>
      </c>
      <c r="O32" s="13">
        <f>N32*VLOOKUP('Données projet'!$B$9,Paramètres!$A$1:$I$89,3,0)*VLOOKUP('Données projet'!$B$9,Paramètres!$A$1:$I$89,5,0)</f>
        <v>94.208399999999955</v>
      </c>
      <c r="P32" s="13">
        <f t="shared" si="33"/>
        <v>25.577474486943441</v>
      </c>
      <c r="Q32" s="20">
        <f t="shared" si="2"/>
        <v>208.62706473142643</v>
      </c>
      <c r="R32" s="59">
        <f t="shared" si="0"/>
        <v>500.73817584253754</v>
      </c>
      <c r="S32" s="59">
        <f ca="1">AVERAGE(OFFSET($R$3,0,0,'Données projet'!$E$9+1,1))-AVERAGE(OFFSET($H$3,0,0,'Données projet'!$E$9+1,1))</f>
        <v>319.22903094674564</v>
      </c>
      <c r="T32" s="59">
        <f t="shared" si="34"/>
        <v>254.58690973142848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2.2571284617348231</v>
      </c>
      <c r="AA32" s="21">
        <f>EXP(-LN(2)/25)*AA31+(1-EXP(-LN(2)/25))/(LN(2)/25)*Calculateur!V32*Calculateur!X32*VLOOKUP('Données projet'!$B$9,Paramètres!$A$1:$I$89,3,0)*0.475*44/12</f>
        <v>2.0935331095380243</v>
      </c>
      <c r="AB32" s="21">
        <f>EXP(-LN(2)/2)*AB31+(1-EXP(-LN(2)/2))/(LN(2)/2)*V32*Y32*VLOOKUP('Données projet'!$B$9,Paramètres!$A$1:$I$89,3,0)*0.475*44/12</f>
        <v>0.55500226792883467</v>
      </c>
      <c r="AC32" s="22">
        <f t="shared" si="3"/>
        <v>4.905663839201682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33</v>
      </c>
      <c r="AI32" s="13">
        <f>IF('Données projet'!$A$62&gt;35,AI31+AH32-AQ31,IF(A32&lt;'Données projet'!$A$62,$AF$205^A32,IF(A32='Données projet'!$A$62,'Données projet'!$B$62,AI31+AH32-AQ31)))</f>
        <v>491.00000000000006</v>
      </c>
      <c r="AJ32" s="13">
        <f>AI32*VLOOKUP('Données projet'!$B$10,Paramètres!$A$1:$I$89,3,0)*VLOOKUP('Données projet'!$B$10,Paramètres!$A$1:$I$89,5,0)</f>
        <v>274.46900000000005</v>
      </c>
      <c r="AK32" s="13">
        <f t="shared" si="35"/>
        <v>65.796795812732981</v>
      </c>
      <c r="AL32" s="20">
        <f t="shared" si="4"/>
        <v>592.62959437384325</v>
      </c>
      <c r="AM32" s="59">
        <f t="shared" si="5"/>
        <v>884.74070548495433</v>
      </c>
      <c r="AN32" s="59">
        <f ca="1">AVERAGE(OFFSET($AM$3,0,0,'Données projet'!$E$10+1,1))-AVERAGE(OFFSET($H$3,0,0,'Données projet'!$E$10+1,1))</f>
        <v>544.48194192356823</v>
      </c>
      <c r="AO32" s="59">
        <f t="shared" si="36"/>
        <v>668.20427590250733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21.256170591362551</v>
      </c>
      <c r="AW32" s="21">
        <f>EXP(-LN(2)/2)*AW31+(1-EXP(-LN(2)/2))/(LN(2)/2)*AQ32*AT32*VLOOKUP('Données projet'!$B$10,Paramètres!$A$1:$I$89,3,0)*0.475*44/12</f>
        <v>4.2786131706297024</v>
      </c>
      <c r="AX32" s="21">
        <f t="shared" si="6"/>
        <v>25.534783761992252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9.1999999999999993</v>
      </c>
      <c r="BD32" s="12">
        <f>IF('Données projet'!$A$88&gt;35,BD31+BC32-BL31,IF(A32&lt;'Données projet'!$A$88,$BA$205^A32,IF(A32='Données projet'!$A$88,'Données projet'!$B$88,BD31+BC32-BL31)))</f>
        <v>111.80000000000003</v>
      </c>
      <c r="BE32" s="13">
        <f>BD32*VLOOKUP('Données projet'!$B$11,Paramètres!$A$1:$I$89,3,0)*VLOOKUP('Données projet'!$B$11,Paramètres!$A$1:$I$89,5,0)</f>
        <v>101.15664000000001</v>
      </c>
      <c r="BF32" s="13">
        <f t="shared" si="37"/>
        <v>27.237366379381644</v>
      </c>
      <c r="BG32" s="20">
        <f t="shared" si="7"/>
        <v>223.61956111075639</v>
      </c>
      <c r="BH32" s="59">
        <f t="shared" si="8"/>
        <v>515.73067222186751</v>
      </c>
      <c r="BI32" s="59">
        <f ca="1">AVERAGE(OFFSET($BH$3,0,0,'Données projet'!$E$11+1,1))-AVERAGE(OFFSET($H$3,0,0,'Données projet'!$E$11+1,1))</f>
        <v>405.7176439604217</v>
      </c>
      <c r="BJ32" s="59">
        <f t="shared" si="38"/>
        <v>278.21741231699929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3.7695334878015259</v>
      </c>
      <c r="BQ32" s="21">
        <f>EXP(-LN(2)/25)*BQ31+(1-EXP(-LN(2)/25))/(LN(2)/25)*Calculateur!BL32*Calculateur!BN32*VLOOKUP('Données projet'!$B$11,Paramètres!$A$1:$I$89,3,0)*0.475*44/12</f>
        <v>4.6950125219044292</v>
      </c>
      <c r="BR32" s="21">
        <f>EXP(-LN(2)/2)*BR31+(1-EXP(-LN(2)/2))/(LN(2)/2)*BL32*BO32*VLOOKUP('Données projet'!$B$11,Paramètres!$A$1:$I$89,3,0)*0.475*44/12</f>
        <v>1.9285999597340917</v>
      </c>
      <c r="BS32" s="22">
        <f t="shared" si="9"/>
        <v>10.393145969440047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11</v>
      </c>
      <c r="BY32" s="12">
        <f>IF('Données projet'!$A$114&gt;35,BY31+BX32-CG31,IF(A32&lt;'Données projet'!$A$114,$BV$205^A32,IF(A32='Données projet'!$A$114,'Données projet'!$B$114,BY31+BX32-CG31)))</f>
        <v>158</v>
      </c>
      <c r="BZ32" s="13">
        <f>BY32*VLOOKUP('Données projet'!$B$12,Paramètres!$A$1:$I$89,3,0)*VLOOKUP('Données projet'!$B$12,Paramètres!$A$1:$I$89,5,0)</f>
        <v>138.02880000000002</v>
      </c>
      <c r="CA32" s="13">
        <f t="shared" si="39"/>
        <v>35.845059256813073</v>
      </c>
      <c r="CB32" s="20">
        <f t="shared" si="10"/>
        <v>302.8303048722828</v>
      </c>
      <c r="CC32" s="59">
        <f t="shared" si="11"/>
        <v>594.94141598339388</v>
      </c>
      <c r="CD32" s="59">
        <f ca="1">AVERAGE(OFFSET($CC$3,0,0,'Données projet'!$E$12+1,1))-AVERAGE(OFFSET($H$3,0,0,'Données projet'!$E$12+1,1))</f>
        <v>381.72225529388083</v>
      </c>
      <c r="CE32" s="59">
        <f t="shared" si="40"/>
        <v>360.05900046417361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2.1969567533843408</v>
      </c>
      <c r="CL32" s="21">
        <f>EXP(-LN(2)/25)*CL31+(1-EXP(-LN(2)/25))/(LN(2)/25)*Calculateur!CG32*Calculateur!CI32*VLOOKUP('Données projet'!$B$12,Paramètres!$A$1:$I$89,3,0)*0.475*44/12</f>
        <v>6.1539417412908923</v>
      </c>
      <c r="CM32" s="21">
        <f>EXP(-LN(2)/2)*CM31+(1-EXP(-LN(2)/2))/(LN(2)/2)*CG32*CJ32*VLOOKUP('Données projet'!$B$12,Paramètres!$A$1:$I$89,3,0)*0.475*44/12</f>
        <v>2.4355714563714894</v>
      </c>
      <c r="CN32" s="22">
        <f t="shared" si="12"/>
        <v>10.786469951046723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11.8</v>
      </c>
      <c r="CT32" s="12">
        <f>IF('Données projet'!$A$140&gt;35,CT31+CS32-DB31,IF(A32&lt;'Données projet'!$A$140,$CQ$205^A32,IF(A32='Données projet'!$A$140,'Données projet'!$B$140,CT31+CS32-DB31)))</f>
        <v>134.19999999999996</v>
      </c>
      <c r="CU32" s="17">
        <f>CT32*VLOOKUP('Données projet'!$B$13,Paramètres!$A$1:$I$89,3,0)*VLOOKUP('Données projet'!$B$13,Paramètres!$A$1:$I$89,5,0)</f>
        <v>106.76951999999997</v>
      </c>
      <c r="CV32" s="13">
        <f t="shared" si="41"/>
        <v>28.568542914630683</v>
      </c>
      <c r="CW32" s="20">
        <f t="shared" si="13"/>
        <v>235.71379290964839</v>
      </c>
      <c r="CX32" s="59">
        <f t="shared" si="14"/>
        <v>527.8249040207595</v>
      </c>
      <c r="CY32" s="59">
        <f ca="1">AVERAGE(OFFSET($CX$3,0,0,'Données projet'!$E$13+1,1))-AVERAGE(OFFSET($H$3,0,0,'Données projet'!$E$13+1,1))</f>
        <v>299.10536994156814</v>
      </c>
      <c r="CZ32" s="59">
        <f t="shared" si="42"/>
        <v>292.57799203101769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4.595812269214024</v>
      </c>
      <c r="DG32" s="21">
        <f>EXP(-LN(2)/25)*DG31+(1-EXP(-LN(2)/25))/(LN(2)/25)*Calculateur!DB32*Calculateur!DD32*VLOOKUP('Données projet'!$B$13,Paramètres!$A$1:$I$89,3,0)*0.475*44/12</f>
        <v>5.7703135536672328</v>
      </c>
      <c r="DH32" s="21">
        <f>EXP(-LN(2)/2)*DH31+(1-EXP(-LN(2)/2))/(LN(2)/2)*DB32*DE32*VLOOKUP('Données projet'!$B$13,Paramètres!$A$1:$I$89,3,0)*0.475*44/12</f>
        <v>3.7717365048674902</v>
      </c>
      <c r="DI32" s="22">
        <f t="shared" si="15"/>
        <v>14.137862327748747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10</v>
      </c>
      <c r="DO32" s="12">
        <f>IF('Données projet'!$A$166&gt;35,DO31+DN32-DW31,IF(A32&lt;'Données projet'!$A$166,$DL$205^A32,IF(A32='Données projet'!$A$166,'Données projet'!$B$166,DO31+DN32-DW31)))</f>
        <v>176</v>
      </c>
      <c r="DP32" s="17">
        <f>DO32*VLOOKUP('Données projet'!$B$14,Paramètres!$A$1:$I$89,3,0)*VLOOKUP('Données projet'!$B$14,Paramètres!$A$1:$I$89,5,0)</f>
        <v>115.3152</v>
      </c>
      <c r="DQ32" s="13">
        <f t="shared" si="43"/>
        <v>30.579827148797317</v>
      </c>
      <c r="DR32" s="20">
        <f t="shared" si="16"/>
        <v>254.10050561748861</v>
      </c>
      <c r="DS32" s="59">
        <f t="shared" si="17"/>
        <v>546.21161672859978</v>
      </c>
      <c r="DT32" s="59">
        <f ca="1">AVERAGE(OFFSET($DS$3,0,0,'Données projet'!$E$14+1,1))-AVERAGE(OFFSET($H$3,0,0,'Données projet'!$E$14+1,1))</f>
        <v>295.92103934364718</v>
      </c>
      <c r="DU32" s="59">
        <f t="shared" si="44"/>
        <v>304.84379909635476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2.071660202210686</v>
      </c>
      <c r="EB32" s="21">
        <f>EXP(-LN(2)/25)*EB31+(1-EXP(-LN(2)/25))/(LN(2)/25)*Calculateur!DW32*Calculateur!DY32*VLOOKUP('Données projet'!$B$14,Paramètres!$A$1:$I$89,3,0)*0.475*44/12</f>
        <v>4.0361860717633293</v>
      </c>
      <c r="EC32" s="21">
        <f>EXP(-LN(2)/2)*EC31+(1-EXP(-LN(2)/2))/(LN(2)/2)*DW32*DZ32*VLOOKUP('Données projet'!$B$14,Paramètres!$A$1:$I$89,3,0)*0.475*44/12</f>
        <v>1.3191269233796556</v>
      </c>
      <c r="ED32" s="22">
        <f t="shared" si="18"/>
        <v>7.4269731973536715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210.5</v>
      </c>
      <c r="L33" s="12">
        <f>VLOOKUP(A33,'Données projet'!$A$35:$I$55,9,0)</f>
        <v>9.1999999999999993</v>
      </c>
      <c r="M33" s="12">
        <f t="array" ref="M33">INDEX(L:L,MIN(IF(ISNUMBER(L33:L229),ROW(L33:L229),"")))</f>
        <v>9.1999999999999993</v>
      </c>
      <c r="N33" s="13">
        <f>IF('Données projet'!$A$36&gt;35,N32+M33-V32,IF(A33&lt;'Données projet'!$A$36,$K$205^A33,IF(A33='Données projet'!$A$36,'Données projet'!$B$36,N32+M33-V32)))</f>
        <v>210.49999999999989</v>
      </c>
      <c r="O33" s="13">
        <f>N33*VLOOKUP('Données projet'!$B$9,Paramètres!$A$1:$I$89,3,0)*VLOOKUP('Données projet'!$B$9,Paramètres!$A$1:$I$89,5,0)</f>
        <v>98.513999999999953</v>
      </c>
      <c r="P33" s="13">
        <f t="shared" si="33"/>
        <v>26.607670659193456</v>
      </c>
      <c r="Q33" s="20">
        <f t="shared" si="2"/>
        <v>217.92024306476185</v>
      </c>
      <c r="R33" s="59">
        <f t="shared" si="0"/>
        <v>511.25357639809516</v>
      </c>
      <c r="S33" s="59">
        <f ca="1">AVERAGE(OFFSET($R$3,0,0,'Données projet'!$E$9+1,1))-AVERAGE(OFFSET($H$3,0,0,'Données projet'!$E$9+1,1))</f>
        <v>319.22903094674564</v>
      </c>
      <c r="T33" s="59">
        <f t="shared" si="34"/>
        <v>254.58690973142848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67</v>
      </c>
      <c r="W33" s="16">
        <f>IF(ISNA(VLOOKUP(A33,'Données projet'!$A$35:$I$55,5,0)),0%,VLOOKUP(A33,'Données projet'!$A$35:$I$55,5,0)*VLOOKUP('Données projet'!$B$9,Paramètres!$A$1:$I$89,7,0))</f>
        <v>0.16500000000000001</v>
      </c>
      <c r="X33" s="16">
        <f>IF(ISNA(VLOOKUP(A33,'Données projet'!$A$35:$I$55,6,0)),0%,VLOOKUP(A33,'Données projet'!$A$35:$I$55,6,0)*VLOOKUP('Données projet'!$B$9,Paramètres!$A$1:$I$89,7,0))</f>
        <v>0.22000000000000003</v>
      </c>
      <c r="Y33" s="16">
        <f>IF(ISNA(VLOOKUP(A33,'Données projet'!$A$35:$I$55,7,0)),0%,VLOOKUP(A33,'Données projet'!$A$35:$I$55,7,0))</f>
        <v>0.3</v>
      </c>
      <c r="Z33" s="21">
        <f>EXP(-LN(2)/35)*Z32+(1-EXP(-LN(2)/35))/(LN(2)/35)*V33*W33*VLOOKUP('Données projet'!$B$9,Paramètres!$A$1:$I$89,3,0)*0.475*44/12</f>
        <v>9.0761671349983928</v>
      </c>
      <c r="AA33" s="21">
        <f>EXP(-LN(2)/25)*AA32+(1-EXP(-LN(2)/25))/(LN(2)/25)*Calculateur!V33*Calculateur!X33*VLOOKUP('Données projet'!$B$9,Paramètres!$A$1:$I$89,3,0)*0.475*44/12</f>
        <v>11.151320216689932</v>
      </c>
      <c r="AB33" s="21">
        <f>EXP(-LN(2)/2)*AB32+(1-EXP(-LN(2)/2))/(LN(2)/2)*V33*Y33*VLOOKUP('Données projet'!$B$9,Paramètres!$A$1:$I$89,3,0)*0.475*44/12</f>
        <v>11.043128643598349</v>
      </c>
      <c r="AC33" s="22">
        <f t="shared" si="3"/>
        <v>31.270615995286676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524</v>
      </c>
      <c r="AG33" s="12">
        <f>VLOOKUP(A33,'Données projet'!$A$61:$I$81,9,0)</f>
        <v>33</v>
      </c>
      <c r="AH33" s="12">
        <f t="array" ref="AH33">INDEX(AG:AG,MIN(IF(ISNUMBER(AG33:AG229),ROW(AG33:AG229),"")))</f>
        <v>33</v>
      </c>
      <c r="AI33" s="13">
        <f>IF('Données projet'!$A$62&gt;35,AI32+AH33-AQ32,IF(A33&lt;'Données projet'!$A$62,$AF$205^A33,IF(A33='Données projet'!$A$62,'Données projet'!$B$62,AI32+AH33-AQ32)))</f>
        <v>524</v>
      </c>
      <c r="AJ33" s="13">
        <f>AI33*VLOOKUP('Données projet'!$B$10,Paramètres!$A$1:$I$89,3,0)*VLOOKUP('Données projet'!$B$10,Paramètres!$A$1:$I$89,5,0)</f>
        <v>292.916</v>
      </c>
      <c r="AK33" s="13">
        <f t="shared" si="35"/>
        <v>69.68932587703776</v>
      </c>
      <c r="AL33" s="20">
        <f t="shared" si="4"/>
        <v>631.53760923584082</v>
      </c>
      <c r="AM33" s="59">
        <f t="shared" si="5"/>
        <v>924.87094256917408</v>
      </c>
      <c r="AN33" s="59">
        <f ca="1">AVERAGE(OFFSET($AM$3,0,0,'Données projet'!$E$10+1,1))-AVERAGE(OFFSET($H$3,0,0,'Données projet'!$E$10+1,1))</f>
        <v>544.48194192356823</v>
      </c>
      <c r="AO33" s="59">
        <f t="shared" si="36"/>
        <v>668.20427590250733</v>
      </c>
      <c r="AP33" s="15">
        <f>IF(ISNA(VLOOKUP(A33,'Données projet'!$A$61:$I$81,3,0)),0,VLOOKUP(A33,'Données projet'!$A$61:$I$81,3,0))</f>
        <v>3</v>
      </c>
      <c r="AQ33" s="15">
        <f>IF(ISNA(VLOOKUP(A33,'Données projet'!$A$61:$I$81,4,0)),0,VLOOKUP(A33,'Données projet'!$A$61:$I$81,4,0))</f>
        <v>90</v>
      </c>
      <c r="AR33" s="16">
        <f>IF(ISNA(VLOOKUP(A33,'Données projet'!$A$61:$I$81,5,0)),0%,VLOOKUP(A33,'Données projet'!$A$61:$I$81,5,0)*VLOOKUP('Données projet'!$B$10,Paramètres!$A$1:$I$89,7,0))</f>
        <v>0.11000000000000001</v>
      </c>
      <c r="AS33" s="16">
        <f>IF(ISNA(VLOOKUP(A33,'Données projet'!$A$61:$I$81,6,0)),0%,VLOOKUP(A33,'Données projet'!$A$61:$I$81,6,0)*VLOOKUP('Données projet'!$B$10,Paramètres!$A$1:$I$89,7,0))</f>
        <v>0.33</v>
      </c>
      <c r="AT33" s="16">
        <f>IF(ISNA(VLOOKUP(A33,'Données projet'!$A$61:$I$81,7,0)),0%,VLOOKUP(A33,'Données projet'!$A$61:$I$81,7,0))</f>
        <v>0.2</v>
      </c>
      <c r="AU33" s="21">
        <f>EXP(-LN(2)/35)*AU32+(1-EXP(-LN(2)/35))/(LN(2)/35)*AQ33*AR33*VLOOKUP('Données projet'!$B$10,Paramètres!$A$1:$I$89,3,0)*0.475*44/12</f>
        <v>7.3413403528479604</v>
      </c>
      <c r="AV33" s="21">
        <f>EXP(-LN(2)/25)*AV32+(1-EXP(-LN(2)/25))/(LN(2)/25)*Calculateur!AQ33*Calculateur!AS33*VLOOKUP('Données projet'!$B$10,Paramètres!$A$1:$I$89,3,0)*0.475*44/12</f>
        <v>42.612223584554776</v>
      </c>
      <c r="AW33" s="21">
        <f>EXP(-LN(2)/2)*AW32+(1-EXP(-LN(2)/2))/(LN(2)/2)*AQ33*AT33*VLOOKUP('Données projet'!$B$10,Paramètres!$A$1:$I$89,3,0)*0.475*44/12</f>
        <v>14.417957764737636</v>
      </c>
      <c r="AX33" s="21">
        <f t="shared" si="6"/>
        <v>64.37152170214037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121</v>
      </c>
      <c r="BB33" s="12">
        <f>VLOOKUP(A33,'Données projet'!$A$87:$I$107,9,0)</f>
        <v>9.1999999999999993</v>
      </c>
      <c r="BC33" s="12">
        <f t="array" ref="BC33">INDEX(BB:BB,MIN(IF(ISNUMBER(BB33:BB229),ROW(BB33:BB229),"")))</f>
        <v>9.1999999999999993</v>
      </c>
      <c r="BD33" s="12">
        <f>IF('Données projet'!$A$88&gt;35,BD32+BC33-BL32,IF(A33&lt;'Données projet'!$A$88,$BA$205^A33,IF(A33='Données projet'!$A$88,'Données projet'!$B$88,BD32+BC33-BL32)))</f>
        <v>121.00000000000003</v>
      </c>
      <c r="BE33" s="13">
        <f>BD33*VLOOKUP('Données projet'!$B$11,Paramètres!$A$1:$I$89,3,0)*VLOOKUP('Données projet'!$B$11,Paramètres!$A$1:$I$89,5,0)</f>
        <v>109.48080000000002</v>
      </c>
      <c r="BF33" s="13">
        <f t="shared" si="37"/>
        <v>29.208623339903898</v>
      </c>
      <c r="BG33" s="20">
        <f t="shared" si="7"/>
        <v>241.55074565033269</v>
      </c>
      <c r="BH33" s="59">
        <f t="shared" si="8"/>
        <v>534.88407898366597</v>
      </c>
      <c r="BI33" s="59">
        <f ca="1">AVERAGE(OFFSET($BH$3,0,0,'Données projet'!$E$11+1,1))-AVERAGE(OFFSET($H$3,0,0,'Données projet'!$E$11+1,1))</f>
        <v>405.7176439604217</v>
      </c>
      <c r="BJ33" s="59">
        <f t="shared" si="38"/>
        <v>278.21741231699929</v>
      </c>
      <c r="BK33" s="15">
        <f>IF(ISNA(VLOOKUP(A33,'Données projet'!$A$87:$I$107,3,0)),0,VLOOKUP(A33,'Données projet'!$A$87:$I$107,3,0))</f>
        <v>3</v>
      </c>
      <c r="BL33" s="15">
        <f>IF(ISNA(VLOOKUP(A33,'Données projet'!$A$87:$I$107,4,0)),0,VLOOKUP(A33,'Données projet'!$A$87:$I$107,4,0))</f>
        <v>28</v>
      </c>
      <c r="BM33" s="16">
        <f>IF(ISNA(VLOOKUP(A33,'Données projet'!$A$87:$I$107,5,0)),0%,VLOOKUP(A33,'Données projet'!$A$87:$I$107,5,0)*VLOOKUP('Données projet'!$B$11,Paramètres!$A$1:$I$89,7,0))</f>
        <v>0.129</v>
      </c>
      <c r="BN33" s="16">
        <f>IF(ISNA(VLOOKUP(A33,'Données projet'!$A$87:$I$107,6,0)),0%,VLOOKUP(A33,'Données projet'!$A$87:$I$107,6,0)*VLOOKUP('Données projet'!$B$11,Paramètres!$A$1:$I$89,7,0))</f>
        <v>0.17200000000000001</v>
      </c>
      <c r="BO33" s="16">
        <f>IF(ISNA(VLOOKUP(A33,'Données projet'!$A$87:$I$107,7,0)),0%,VLOOKUP(A33,'Données projet'!$A$87:$I$107,7,0))</f>
        <v>0.3</v>
      </c>
      <c r="BP33" s="21">
        <f>EXP(-LN(2)/35)*BP32+(1-EXP(-LN(2)/35))/(LN(2)/35)*BL33*BM33*VLOOKUP('Données projet'!$B$11,Paramètres!$A$1:$I$89,3,0)*0.475*44/12</f>
        <v>7.3084445483320444</v>
      </c>
      <c r="BQ33" s="21">
        <f>EXP(-LN(2)/25)*BQ32+(1-EXP(-LN(2)/25))/(LN(2)/25)*Calculateur!BL33*Calculateur!BN33*VLOOKUP('Données projet'!$B$11,Paramètres!$A$1:$I$89,3,0)*0.475*44/12</f>
        <v>9.3647661275084193</v>
      </c>
      <c r="BR33" s="21">
        <f>EXP(-LN(2)/2)*BR32+(1-EXP(-LN(2)/2))/(LN(2)/2)*BL33*BO33*VLOOKUP('Données projet'!$B$11,Paramètres!$A$1:$I$89,3,0)*0.475*44/12</f>
        <v>8.5348325893377019</v>
      </c>
      <c r="BS33" s="22">
        <f t="shared" si="9"/>
        <v>25.208043265178169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169</v>
      </c>
      <c r="BW33" s="12">
        <f>VLOOKUP(A33,'Données projet'!$A$113:$I$133,9,0)</f>
        <v>11</v>
      </c>
      <c r="BX33" s="12">
        <f t="array" ref="BX33">INDEX(BW:BW,MIN(IF(ISNUMBER(BW33:BW229),ROW(BW33:BW229),"")))</f>
        <v>11</v>
      </c>
      <c r="BY33" s="12">
        <f>IF('Données projet'!$A$114&gt;35,BY32+BX33-CG32,IF(A33&lt;'Données projet'!$A$114,$BV$205^A33,IF(A33='Données projet'!$A$114,'Données projet'!$B$114,BY32+BX33-CG32)))</f>
        <v>169</v>
      </c>
      <c r="BZ33" s="13">
        <f>BY33*VLOOKUP('Données projet'!$B$12,Paramètres!$A$1:$I$89,3,0)*VLOOKUP('Données projet'!$B$12,Paramètres!$A$1:$I$89,5,0)</f>
        <v>147.63840000000002</v>
      </c>
      <c r="CA33" s="13">
        <f t="shared" si="39"/>
        <v>38.04140887895133</v>
      </c>
      <c r="CB33" s="20">
        <f t="shared" si="10"/>
        <v>323.39233379750692</v>
      </c>
      <c r="CC33" s="59">
        <f t="shared" si="11"/>
        <v>616.72566713084029</v>
      </c>
      <c r="CD33" s="59">
        <f ca="1">AVERAGE(OFFSET($CC$3,0,0,'Données projet'!$E$12+1,1))-AVERAGE(OFFSET($H$3,0,0,'Données projet'!$E$12+1,1))</f>
        <v>381.72225529388083</v>
      </c>
      <c r="CE33" s="59">
        <f t="shared" si="40"/>
        <v>360.05900046417361</v>
      </c>
      <c r="CF33" s="15">
        <f>IF(ISNA(VLOOKUP(A33,'Données projet'!$A$113:$I$133,3,0)),0,VLOOKUP(A33,'Données projet'!$A$113:$I$133,3,0))</f>
        <v>4</v>
      </c>
      <c r="CG33" s="15">
        <f>IF(ISNA(VLOOKUP(A33,'Données projet'!$A$113:$I$133,4,0)),0,VLOOKUP(A33,'Données projet'!$A$113:$I$133,4,0))</f>
        <v>32</v>
      </c>
      <c r="CH33" s="16">
        <f>IF(ISNA(VLOOKUP(A33,'Données projet'!$A$113:$I$133,5,0)),0%,VLOOKUP(A33,'Données projet'!$A$113:$I$133,5,0)*VLOOKUP('Données projet'!$B$12,Paramètres!$A$1:$I$89,7,0))</f>
        <v>8.6000000000000007E-2</v>
      </c>
      <c r="CI33" s="16">
        <f>IF(ISNA(VLOOKUP(A33,'Données projet'!$A$113:$I$133,6,0)),0%,VLOOKUP(A33,'Données projet'!$A$113:$I$133,6,0)*VLOOKUP('Données projet'!$B$12,Paramètres!$A$1:$I$89,7,0))</f>
        <v>0.17200000000000001</v>
      </c>
      <c r="CJ33" s="16">
        <f>IF(ISNA(VLOOKUP(A33,'Données projet'!$A$113:$I$133,7,0)),0%,VLOOKUP(A33,'Données projet'!$A$113:$I$133,7,0))</f>
        <v>0.2</v>
      </c>
      <c r="CK33" s="21">
        <f>EXP(-LN(2)/35)*CK32+(1-EXP(-LN(2)/35))/(LN(2)/35)*CG33*CH33*VLOOKUP('Données projet'!$B$12,Paramètres!$A$1:$I$89,3,0)*0.475*44/12</f>
        <v>4.8115892890988583</v>
      </c>
      <c r="CL33" s="21">
        <f>EXP(-LN(2)/25)*CL32+(1-EXP(-LN(2)/25))/(LN(2)/25)*Calculateur!CG33*Calculateur!CI33*VLOOKUP('Données projet'!$B$12,Paramètres!$A$1:$I$89,3,0)*0.475*44/12</f>
        <v>11.280160054453363</v>
      </c>
      <c r="CM33" s="21">
        <f>EXP(-LN(2)/2)*CM32+(1-EXP(-LN(2)/2))/(LN(2)/2)*CG33*CJ33*VLOOKUP('Données projet'!$B$12,Paramètres!$A$1:$I$89,3,0)*0.475*44/12</f>
        <v>6.9975058134999859</v>
      </c>
      <c r="CN33" s="22">
        <f t="shared" si="12"/>
        <v>23.089255157052207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146</v>
      </c>
      <c r="CR33" s="12">
        <f>VLOOKUP(A33,'Données projet'!$A$139:$I$159,9,0)</f>
        <v>11.8</v>
      </c>
      <c r="CS33" s="12">
        <f t="array" ref="CS33">INDEX(CR:CR,MIN(IF(ISNUMBER(CR33:CR229),ROW(CR33:CR229),"")))</f>
        <v>11.8</v>
      </c>
      <c r="CT33" s="12">
        <f>IF('Données projet'!$A$140&gt;35,CT32+CS33-DB32,IF(A33&lt;'Données projet'!$A$140,$CQ$205^A33,IF(A33='Données projet'!$A$140,'Données projet'!$B$140,CT32+CS33-DB32)))</f>
        <v>145.99999999999997</v>
      </c>
      <c r="CU33" s="17">
        <f>CT33*VLOOKUP('Données projet'!$B$13,Paramètres!$A$1:$I$89,3,0)*VLOOKUP('Données projet'!$B$13,Paramètres!$A$1:$I$89,5,0)</f>
        <v>116.15759999999999</v>
      </c>
      <c r="CV33" s="13">
        <f t="shared" si="41"/>
        <v>30.777132266613055</v>
      </c>
      <c r="CW33" s="20">
        <f t="shared" si="13"/>
        <v>255.91132536435109</v>
      </c>
      <c r="CX33" s="59">
        <f t="shared" si="14"/>
        <v>549.24465869768437</v>
      </c>
      <c r="CY33" s="59">
        <f ca="1">AVERAGE(OFFSET($CX$3,0,0,'Données projet'!$E$13+1,1))-AVERAGE(OFFSET($H$3,0,0,'Données projet'!$E$13+1,1))</f>
        <v>299.10536994156814</v>
      </c>
      <c r="CZ33" s="59">
        <f t="shared" si="42"/>
        <v>292.57799203101769</v>
      </c>
      <c r="DA33" s="15">
        <f>IF(ISNA(VLOOKUP(A33,'Données projet'!$A$139:$I$159,3,0)),0,VLOOKUP(A33,'Données projet'!$A$139:$I$159,3,0))</f>
        <v>4</v>
      </c>
      <c r="DB33" s="15">
        <f>IF(ISNA(VLOOKUP(A33,'Données projet'!$A$139:$I$159,4,0)),0,VLOOKUP(A33,'Données projet'!$A$139:$I$159,4,0))</f>
        <v>28</v>
      </c>
      <c r="DC33" s="16">
        <f>IF(ISNA(VLOOKUP(A33,'Données projet'!$A$139:$I$159,5,0)),0%,VLOOKUP(A33,'Données projet'!$A$139:$I$159,5,0)*VLOOKUP('Données projet'!$B$13,Paramètres!$A$1:$I$89,7,0))</f>
        <v>0.159</v>
      </c>
      <c r="DD33" s="16">
        <f>IF(ISNA(VLOOKUP(A33,'Données projet'!$A$139:$I$159,6,0)),0%,VLOOKUP(A33,'Données projet'!$A$139:$I$159,6,0)*VLOOKUP('Données projet'!$B$13,Paramètres!$A$1:$I$89,7,0))</f>
        <v>0.21200000000000002</v>
      </c>
      <c r="DE33" s="16">
        <f>IF(ISNA(VLOOKUP(A33,'Données projet'!$A$139:$I$159,7,0)),0%,VLOOKUP(A33,'Données projet'!$A$139:$I$159,7,0))</f>
        <v>0.3</v>
      </c>
      <c r="DF33" s="21">
        <f>EXP(-LN(2)/35)*DF32+(1-EXP(-LN(2)/35))/(LN(2)/35)*DB33*DC33*VLOOKUP('Données projet'!$B$13,Paramètres!$A$1:$I$89,3,0)*0.475*44/12</f>
        <v>8.421279659357392</v>
      </c>
      <c r="DG33" s="21">
        <f>EXP(-LN(2)/25)*DG32+(1-EXP(-LN(2)/25))/(LN(2)/25)*Calculateur!DB33*Calculateur!DD33*VLOOKUP('Données projet'!$B$13,Paramètres!$A$1:$I$89,3,0)*0.475*44/12</f>
        <v>10.812752428533031</v>
      </c>
      <c r="DH33" s="21">
        <f>EXP(-LN(2)/2)*DH32+(1-EXP(-LN(2)/2))/(LN(2)/2)*DB33*DE33*VLOOKUP('Données projet'!$B$13,Paramètres!$A$1:$I$89,3,0)*0.475*44/12</f>
        <v>8.9726485708250454</v>
      </c>
      <c r="DI33" s="22">
        <f t="shared" si="15"/>
        <v>28.20668065871547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>
        <f>VLOOKUP(A33,'Données projet'!$A$165:$I$185,2,0)</f>
        <v>186</v>
      </c>
      <c r="DM33" s="12">
        <f>VLOOKUP(A33,'Données projet'!$A$165:$I$185,9,0)</f>
        <v>10</v>
      </c>
      <c r="DN33" s="12">
        <f t="array" ref="DN33">INDEX(DM:DM,MIN(IF(ISNUMBER(DM33:DM229),ROW(DM33:DM229),"")))</f>
        <v>10</v>
      </c>
      <c r="DO33" s="12">
        <f>IF('Données projet'!$A$166&gt;35,DO32+DN33-DW32,IF(A33&lt;'Données projet'!$A$166,$DL$205^A33,IF(A33='Données projet'!$A$166,'Données projet'!$B$166,DO32+DN33-DW32)))</f>
        <v>186</v>
      </c>
      <c r="DP33" s="17">
        <f>DO33*VLOOKUP('Données projet'!$B$14,Paramètres!$A$1:$I$89,3,0)*VLOOKUP('Données projet'!$B$14,Paramètres!$A$1:$I$89,5,0)</f>
        <v>121.86719999999998</v>
      </c>
      <c r="DQ33" s="13">
        <f t="shared" si="43"/>
        <v>32.110100916567376</v>
      </c>
      <c r="DR33" s="20">
        <f t="shared" si="16"/>
        <v>268.17713242968813</v>
      </c>
      <c r="DS33" s="59">
        <f t="shared" si="17"/>
        <v>561.51046576302144</v>
      </c>
      <c r="DT33" s="59">
        <f ca="1">AVERAGE(OFFSET($DS$3,0,0,'Données projet'!$E$14+1,1))-AVERAGE(OFFSET($H$3,0,0,'Données projet'!$E$14+1,1))</f>
        <v>295.92103934364718</v>
      </c>
      <c r="DU33" s="59">
        <f t="shared" si="44"/>
        <v>304.84379909635476</v>
      </c>
      <c r="DV33" s="15">
        <f>IF(ISNA(VLOOKUP(A33,'Données projet'!$A$165:$I$185,3,0)),0,VLOOKUP(A33,'Données projet'!$A$165:$I$185,3,0))</f>
        <v>5</v>
      </c>
      <c r="DW33" s="15">
        <f>IF(ISNA(VLOOKUP(A33,'Données projet'!$A$165:$I$185,4,0)),0,VLOOKUP(A33,'Données projet'!$A$165:$I$185,4,0))</f>
        <v>26</v>
      </c>
      <c r="DX33" s="16">
        <f>IF(ISNA(VLOOKUP(A33,'Données projet'!$A$165:$I$185,5,0)),0%,VLOOKUP(A33,'Données projet'!$A$165:$I$185,5,0)*VLOOKUP('Données projet'!$B$14,Paramètres!$A$1:$I$89,7,0))</f>
        <v>0.129</v>
      </c>
      <c r="DY33" s="16">
        <f>IF(ISNA(VLOOKUP(A33,'Données projet'!$A$165:$I$185,6,0)),0%,VLOOKUP(A33,'Données projet'!$A$165:$I$185,6,0)*VLOOKUP('Données projet'!$B$14,Paramètres!$A$1:$I$89,7,0))</f>
        <v>0.17200000000000001</v>
      </c>
      <c r="DZ33" s="16">
        <f>IF(ISNA(VLOOKUP(A33,'Données projet'!$A$165:$I$185,7,0)),0%,VLOOKUP(A33,'Données projet'!$A$165:$I$185,7,0))</f>
        <v>0.3</v>
      </c>
      <c r="EA33" s="21">
        <f>EXP(-LN(2)/35)*EA32+(1-EXP(-LN(2)/35))/(LN(2)/35)*DW33*DX33*VLOOKUP('Données projet'!$B$14,Paramètres!$A$1:$I$89,3,0)*0.475*44/12</f>
        <v>4.4603524714484317</v>
      </c>
      <c r="EB33" s="21">
        <f>EXP(-LN(2)/25)*EB32+(1-EXP(-LN(2)/25))/(LN(2)/25)*Calculateur!DW33*Calculateur!DY33*VLOOKUP('Données projet'!$B$14,Paramètres!$A$1:$I$89,3,0)*0.475*44/12</f>
        <v>7.1521511759754759</v>
      </c>
      <c r="EC33" s="21">
        <f>EXP(-LN(2)/2)*EC32+(1-EXP(-LN(2)/2))/(LN(2)/2)*DW33*DZ33*VLOOKUP('Données projet'!$B$14,Paramètres!$A$1:$I$89,3,0)*0.475*44/12</f>
        <v>5.7547145014732148</v>
      </c>
      <c r="ED33" s="22">
        <f t="shared" si="18"/>
        <v>17.367218148897123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10</v>
      </c>
      <c r="N34" s="13">
        <f>IF('Données projet'!$A$36&gt;35,N33+M34-V33,IF(A34&lt;'Données projet'!$A$36,$K$205^A34,IF(A34='Données projet'!$A$36,'Données projet'!$B$36,N33+M34-V33)))</f>
        <v>153.49999999999989</v>
      </c>
      <c r="O34" s="13">
        <f>N34*VLOOKUP('Données projet'!$B$9,Paramètres!$A$1:$I$89,3,0)*VLOOKUP('Données projet'!$B$9,Paramètres!$A$1:$I$89,5,0)</f>
        <v>71.837999999999951</v>
      </c>
      <c r="P34" s="13">
        <f t="shared" si="33"/>
        <v>20.129206956785634</v>
      </c>
      <c r="Q34" s="20">
        <f t="shared" si="2"/>
        <v>160.17621878306821</v>
      </c>
      <c r="R34" s="59">
        <f t="shared" si="0"/>
        <v>453.50955211640155</v>
      </c>
      <c r="S34" s="59">
        <f ca="1">AVERAGE(OFFSET($R$3,0,0,'Données projet'!$E$9+1,1))-AVERAGE(OFFSET($H$3,0,0,'Données projet'!$E$9+1,1))</f>
        <v>319.22903094674564</v>
      </c>
      <c r="T34" s="59">
        <f t="shared" si="34"/>
        <v>254.58690973142848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8.8981890333964007</v>
      </c>
      <c r="AA34" s="21">
        <f>EXP(-LN(2)/25)*AA33+(1-EXP(-LN(2)/25))/(LN(2)/25)*Calculateur!V34*Calculateur!X34*VLOOKUP('Données projet'!$B$9,Paramètres!$A$1:$I$89,3,0)*0.475*44/12</f>
        <v>10.846386778942103</v>
      </c>
      <c r="AB34" s="21">
        <f>EXP(-LN(2)/2)*AB33+(1-EXP(-LN(2)/2))/(LN(2)/2)*V34*Y34*VLOOKUP('Données projet'!$B$9,Paramètres!$A$1:$I$89,3,0)*0.475*44/12</f>
        <v>7.8086711494037937</v>
      </c>
      <c r="AC34" s="22">
        <f t="shared" si="3"/>
        <v>27.553246961742296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28.4</v>
      </c>
      <c r="AI34" s="13">
        <f>IF('Données projet'!$A$62&gt;35,AI33+AH34-AQ33,IF(A34&lt;'Données projet'!$A$62,$AF$205^A34,IF(A34='Données projet'!$A$62,'Données projet'!$B$62,AI33+AH34-AQ33)))</f>
        <v>462.4</v>
      </c>
      <c r="AJ34" s="13">
        <f>AI34*VLOOKUP('Données projet'!$B$10,Paramètres!$A$1:$I$89,3,0)*VLOOKUP('Données projet'!$B$10,Paramètres!$A$1:$I$89,5,0)</f>
        <v>258.48160000000001</v>
      </c>
      <c r="AK34" s="13">
        <f t="shared" si="35"/>
        <v>62.398606187610767</v>
      </c>
      <c r="AL34" s="20">
        <f t="shared" si="4"/>
        <v>558.86635911008875</v>
      </c>
      <c r="AM34" s="59">
        <f t="shared" si="5"/>
        <v>852.19969244342201</v>
      </c>
      <c r="AN34" s="59">
        <f ca="1">AVERAGE(OFFSET($AM$3,0,0,'Données projet'!$E$10+1,1))-AVERAGE(OFFSET($H$3,0,0,'Données projet'!$E$10+1,1))</f>
        <v>544.48194192356823</v>
      </c>
      <c r="AO34" s="59">
        <f t="shared" si="36"/>
        <v>668.20427590250733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7.1973811463040835</v>
      </c>
      <c r="AV34" s="21">
        <f>EXP(-LN(2)/25)*AV33+(1-EXP(-LN(2)/25))/(LN(2)/25)*Calculateur!AQ34*Calculateur!AS34*VLOOKUP('Données projet'!$B$10,Paramètres!$A$1:$I$89,3,0)*0.475*44/12</f>
        <v>41.44699008975568</v>
      </c>
      <c r="AW34" s="21">
        <f>EXP(-LN(2)/2)*AW33+(1-EXP(-LN(2)/2))/(LN(2)/2)*AQ34*AT34*VLOOKUP('Données projet'!$B$10,Paramètres!$A$1:$I$89,3,0)*0.475*44/12</f>
        <v>10.19503570630722</v>
      </c>
      <c r="AX34" s="21">
        <f t="shared" si="6"/>
        <v>58.839406942366978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10.8</v>
      </c>
      <c r="BD34" s="12">
        <f>IF('Données projet'!$A$88&gt;35,BD33+BC34-BL33,IF(A34&lt;'Données projet'!$A$88,$BA$205^A34,IF(A34='Données projet'!$A$88,'Données projet'!$B$88,BD33+BC34-BL33)))</f>
        <v>103.80000000000004</v>
      </c>
      <c r="BE34" s="13">
        <f>BD34*VLOOKUP('Données projet'!$B$11,Paramètres!$A$1:$I$89,3,0)*VLOOKUP('Données projet'!$B$11,Paramètres!$A$1:$I$89,5,0)</f>
        <v>93.91824000000004</v>
      </c>
      <c r="BF34" s="13">
        <f t="shared" si="37"/>
        <v>25.507853654186022</v>
      </c>
      <c r="BG34" s="20">
        <f t="shared" si="7"/>
        <v>208.00044644770739</v>
      </c>
      <c r="BH34" s="59">
        <f t="shared" si="8"/>
        <v>501.33377978104068</v>
      </c>
      <c r="BI34" s="59">
        <f ca="1">AVERAGE(OFFSET($BH$3,0,0,'Données projet'!$E$11+1,1))-AVERAGE(OFFSET($H$3,0,0,'Données projet'!$E$11+1,1))</f>
        <v>405.7176439604217</v>
      </c>
      <c r="BJ34" s="59">
        <f t="shared" si="38"/>
        <v>278.21741231699929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7.1651304084502652</v>
      </c>
      <c r="BQ34" s="21">
        <f>EXP(-LN(2)/25)*BQ33+(1-EXP(-LN(2)/25))/(LN(2)/25)*Calculateur!BL34*Calculateur!BN34*VLOOKUP('Données projet'!$B$11,Paramètres!$A$1:$I$89,3,0)*0.475*44/12</f>
        <v>9.1086861052800536</v>
      </c>
      <c r="BR34" s="21">
        <f>EXP(-LN(2)/2)*BR33+(1-EXP(-LN(2)/2))/(LN(2)/2)*BL34*BO34*VLOOKUP('Données projet'!$B$11,Paramètres!$A$1:$I$89,3,0)*0.475*44/12</f>
        <v>6.03503800021263</v>
      </c>
      <c r="BS34" s="22">
        <f t="shared" si="9"/>
        <v>22.308854513942947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10.4</v>
      </c>
      <c r="BY34" s="12">
        <f>IF('Données projet'!$A$114&gt;35,BY33+BX34-CG33,IF(A34&lt;'Données projet'!$A$114,$BV$205^A34,IF(A34='Données projet'!$A$114,'Données projet'!$B$114,BY33+BX34-CG33)))</f>
        <v>147.4</v>
      </c>
      <c r="BZ34" s="13">
        <f>BY34*VLOOKUP('Données projet'!$B$12,Paramètres!$A$1:$I$89,3,0)*VLOOKUP('Données projet'!$B$12,Paramètres!$A$1:$I$89,5,0)</f>
        <v>128.76864000000003</v>
      </c>
      <c r="CA34" s="13">
        <f t="shared" si="39"/>
        <v>33.711670780700224</v>
      </c>
      <c r="CB34" s="20">
        <f t="shared" si="10"/>
        <v>282.98654127638628</v>
      </c>
      <c r="CC34" s="59">
        <f t="shared" si="11"/>
        <v>576.31987460971959</v>
      </c>
      <c r="CD34" s="59">
        <f ca="1">AVERAGE(OFFSET($CC$3,0,0,'Données projet'!$E$12+1,1))-AVERAGE(OFFSET($H$3,0,0,'Données projet'!$E$12+1,1))</f>
        <v>381.72225529388083</v>
      </c>
      <c r="CE34" s="59">
        <f t="shared" si="40"/>
        <v>360.05900046417361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4.7172369579193107</v>
      </c>
      <c r="CL34" s="21">
        <f>EXP(-LN(2)/25)*CL33+(1-EXP(-LN(2)/25))/(LN(2)/25)*Calculateur!CG34*Calculateur!CI34*VLOOKUP('Données projet'!$B$12,Paramètres!$A$1:$I$89,3,0)*0.475*44/12</f>
        <v>10.9717034845665</v>
      </c>
      <c r="CM34" s="21">
        <f>EXP(-LN(2)/2)*CM33+(1-EXP(-LN(2)/2))/(LN(2)/2)*CG34*CJ34*VLOOKUP('Données projet'!$B$12,Paramètres!$A$1:$I$89,3,0)*0.475*44/12</f>
        <v>4.947983812118129</v>
      </c>
      <c r="CN34" s="22">
        <f t="shared" si="12"/>
        <v>20.63692425460394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10.8</v>
      </c>
      <c r="CT34" s="12">
        <f>IF('Données projet'!$A$140&gt;35,CT33+CS34-DB33,IF(A34&lt;'Données projet'!$A$140,$CQ$205^A34,IF(A34='Données projet'!$A$140,'Données projet'!$B$140,CT33+CS34-DB33)))</f>
        <v>128.79999999999998</v>
      </c>
      <c r="CU34" s="17">
        <f>CT34*VLOOKUP('Données projet'!$B$13,Paramètres!$A$1:$I$89,3,0)*VLOOKUP('Données projet'!$B$13,Paramètres!$A$1:$I$89,5,0)</f>
        <v>102.47327999999999</v>
      </c>
      <c r="CV34" s="13">
        <f t="shared" si="41"/>
        <v>27.550381949314474</v>
      </c>
      <c r="CW34" s="20">
        <f t="shared" si="13"/>
        <v>226.45787789505599</v>
      </c>
      <c r="CX34" s="59">
        <f t="shared" si="14"/>
        <v>519.79121122838933</v>
      </c>
      <c r="CY34" s="59">
        <f ca="1">AVERAGE(OFFSET($CX$3,0,0,'Données projet'!$E$13+1,1))-AVERAGE(OFFSET($H$3,0,0,'Données projet'!$E$13+1,1))</f>
        <v>299.10536994156814</v>
      </c>
      <c r="CZ34" s="59">
        <f t="shared" si="42"/>
        <v>292.57799203101769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8.2561435017108007</v>
      </c>
      <c r="DG34" s="21">
        <f>EXP(-LN(2)/25)*DG33+(1-EXP(-LN(2)/25))/(LN(2)/25)*Calculateur!DB34*Calculateur!DD34*VLOOKUP('Données projet'!$B$13,Paramètres!$A$1:$I$89,3,0)*0.475*44/12</f>
        <v>10.517077144756858</v>
      </c>
      <c r="DH34" s="21">
        <f>EXP(-LN(2)/2)*DH33+(1-EXP(-LN(2)/2))/(LN(2)/2)*DB34*DE34*VLOOKUP('Données projet'!$B$13,Paramètres!$A$1:$I$89,3,0)*0.475*44/12</f>
        <v>6.3446206496341739</v>
      </c>
      <c r="DI34" s="22">
        <f t="shared" si="15"/>
        <v>25.11784129610183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9.6</v>
      </c>
      <c r="DO34" s="12">
        <f>IF('Données projet'!$A$166&gt;35,DO33+DN34-DW33,IF(A34&lt;'Données projet'!$A$166,$DL$205^A34,IF(A34='Données projet'!$A$166,'Données projet'!$B$166,DO33+DN34-DW33)))</f>
        <v>169.6</v>
      </c>
      <c r="DP34" s="17">
        <f>DO34*VLOOKUP('Données projet'!$B$14,Paramètres!$A$1:$I$89,3,0)*VLOOKUP('Données projet'!$B$14,Paramètres!$A$1:$I$89,5,0)</f>
        <v>111.12192</v>
      </c>
      <c r="DQ34" s="13">
        <f t="shared" si="43"/>
        <v>29.595161360044589</v>
      </c>
      <c r="DR34" s="20">
        <f t="shared" si="16"/>
        <v>245.08225003541099</v>
      </c>
      <c r="DS34" s="59">
        <f t="shared" si="17"/>
        <v>538.41558336874436</v>
      </c>
      <c r="DT34" s="59">
        <f ca="1">AVERAGE(OFFSET($DS$3,0,0,'Données projet'!$E$14+1,1))-AVERAGE(OFFSET($H$3,0,0,'Données projet'!$E$14+1,1))</f>
        <v>295.92103934364718</v>
      </c>
      <c r="DU34" s="59">
        <f t="shared" si="44"/>
        <v>304.84379909635476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4.3728876800297041</v>
      </c>
      <c r="EB34" s="21">
        <f>EXP(-LN(2)/25)*EB33+(1-EXP(-LN(2)/25))/(LN(2)/25)*Calculateur!DW34*Calculateur!DY34*VLOOKUP('Données projet'!$B$14,Paramètres!$A$1:$I$89,3,0)*0.475*44/12</f>
        <v>6.9565752259531424</v>
      </c>
      <c r="EC34" s="21">
        <f>EXP(-LN(2)/2)*EC33+(1-EXP(-LN(2)/2))/(LN(2)/2)*DW34*DZ34*VLOOKUP('Données projet'!$B$14,Paramètres!$A$1:$I$89,3,0)*0.475*44/12</f>
        <v>4.0691976477842724</v>
      </c>
      <c r="ED34" s="22">
        <f t="shared" si="18"/>
        <v>15.398660553767119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10</v>
      </c>
      <c r="N35" s="13">
        <f>IF('Données projet'!$A$36&gt;35,N34+M35-V34,IF(A35&lt;'Données projet'!$A$36,$K$205^A35,IF(A35='Données projet'!$A$36,'Données projet'!$B$36,N34+M35-V34)))</f>
        <v>163.49999999999989</v>
      </c>
      <c r="O35" s="13">
        <f>N35*VLOOKUP('Données projet'!$B$9,Paramètres!$A$1:$I$89,3,0)*VLOOKUP('Données projet'!$B$9,Paramètres!$A$1:$I$89,5,0)</f>
        <v>76.517999999999944</v>
      </c>
      <c r="P35" s="13">
        <f t="shared" si="33"/>
        <v>21.283624623620089</v>
      </c>
      <c r="Q35" s="20">
        <f t="shared" ref="Q35:Q66" si="53">(O35+P35)*0.475*44/12</f>
        <v>170.33782955280489</v>
      </c>
      <c r="R35" s="59">
        <f t="shared" si="0"/>
        <v>463.67116288613818</v>
      </c>
      <c r="S35" s="59">
        <f ca="1">AVERAGE(OFFSET($R$3,0,0,'Données projet'!$E$9+1,1))-AVERAGE(OFFSET($H$3,0,0,'Données projet'!$E$9+1,1))</f>
        <v>319.22903094674564</v>
      </c>
      <c r="T35" s="59">
        <f t="shared" si="34"/>
        <v>254.58690973142848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8.7237009738109013</v>
      </c>
      <c r="AA35" s="21">
        <f>EXP(-LN(2)/25)*AA34+(1-EXP(-LN(2)/25))/(LN(2)/25)*Calculateur!V35*Calculateur!X35*VLOOKUP('Données projet'!$B$9,Paramètres!$A$1:$I$89,3,0)*0.475*44/12</f>
        <v>10.54979176208524</v>
      </c>
      <c r="AB35" s="21">
        <f>EXP(-LN(2)/2)*AB34+(1-EXP(-LN(2)/2))/(LN(2)/2)*V35*Y35*VLOOKUP('Données projet'!$B$9,Paramètres!$A$1:$I$89,3,0)*0.475*44/12</f>
        <v>5.5215643217991754</v>
      </c>
      <c r="AC35" s="22">
        <f t="shared" si="3"/>
        <v>24.795057057695317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28.4</v>
      </c>
      <c r="AI35" s="13">
        <f>IF('Données projet'!$A$62&gt;35,AI34+AH35-AQ34,IF(A35&lt;'Données projet'!$A$62,$AF$205^A35,IF(A35='Données projet'!$A$62,'Données projet'!$B$62,AI34+AH35-AQ34)))</f>
        <v>490.79999999999995</v>
      </c>
      <c r="AJ35" s="13">
        <f>AI35*VLOOKUP('Données projet'!$B$10,Paramètres!$A$1:$I$89,3,0)*VLOOKUP('Données projet'!$B$10,Paramètres!$A$1:$I$89,5,0)</f>
        <v>274.35719999999998</v>
      </c>
      <c r="AK35" s="13">
        <f t="shared" si="35"/>
        <v>65.773113764972635</v>
      </c>
      <c r="AL35" s="20">
        <f t="shared" si="4"/>
        <v>592.39362980732722</v>
      </c>
      <c r="AM35" s="59">
        <f t="shared" si="5"/>
        <v>885.72696314066047</v>
      </c>
      <c r="AN35" s="59">
        <f ca="1">AVERAGE(OFFSET($AM$3,0,0,'Données projet'!$E$10+1,1))-AVERAGE(OFFSET($H$3,0,0,'Données projet'!$E$10+1,1))</f>
        <v>544.48194192356823</v>
      </c>
      <c r="AO35" s="59">
        <f t="shared" si="36"/>
        <v>668.20427590250733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7.0562448919940861</v>
      </c>
      <c r="AV35" s="21">
        <f>EXP(-LN(2)/25)*AV34+(1-EXP(-LN(2)/25))/(LN(2)/25)*Calculateur!AQ35*Calculateur!AS35*VLOOKUP('Données projet'!$B$10,Paramètres!$A$1:$I$89,3,0)*0.475*44/12</f>
        <v>40.313619966148828</v>
      </c>
      <c r="AW35" s="21">
        <f>EXP(-LN(2)/2)*AW34+(1-EXP(-LN(2)/2))/(LN(2)/2)*AQ35*AT35*VLOOKUP('Données projet'!$B$10,Paramètres!$A$1:$I$89,3,0)*0.475*44/12</f>
        <v>7.208978882368819</v>
      </c>
      <c r="AX35" s="21">
        <f t="shared" si="6"/>
        <v>54.578843740511729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10.8</v>
      </c>
      <c r="BD35" s="12">
        <f>IF('Données projet'!$A$88&gt;35,BD34+BC35-BL34,IF(A35&lt;'Données projet'!$A$88,$BA$205^A35,IF(A35='Données projet'!$A$88,'Données projet'!$B$88,BD34+BC35-BL34)))</f>
        <v>114.60000000000004</v>
      </c>
      <c r="BE35" s="13">
        <f>BD35*VLOOKUP('Données projet'!$B$11,Paramètres!$A$1:$I$89,3,0)*VLOOKUP('Données projet'!$B$11,Paramètres!$A$1:$I$89,5,0)</f>
        <v>103.69008000000004</v>
      </c>
      <c r="BF35" s="13">
        <f t="shared" si="37"/>
        <v>27.83924565319537</v>
      </c>
      <c r="BG35" s="20">
        <f t="shared" si="7"/>
        <v>229.08024217931529</v>
      </c>
      <c r="BH35" s="59">
        <f t="shared" si="8"/>
        <v>522.41357551264855</v>
      </c>
      <c r="BI35" s="59">
        <f ca="1">AVERAGE(OFFSET($BH$3,0,0,'Données projet'!$E$11+1,1))-AVERAGE(OFFSET($H$3,0,0,'Données projet'!$E$11+1,1))</f>
        <v>405.7176439604217</v>
      </c>
      <c r="BJ35" s="59">
        <f t="shared" si="38"/>
        <v>278.21741231699929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7.0246265714385734</v>
      </c>
      <c r="BQ35" s="21">
        <f>EXP(-LN(2)/25)*BQ34+(1-EXP(-LN(2)/25))/(LN(2)/25)*Calculateur!BL35*Calculateur!BN35*VLOOKUP('Données projet'!$B$11,Paramètres!$A$1:$I$89,3,0)*0.475*44/12</f>
        <v>8.8596086047261871</v>
      </c>
      <c r="BR35" s="21">
        <f>EXP(-LN(2)/2)*BR34+(1-EXP(-LN(2)/2))/(LN(2)/2)*BL35*BO35*VLOOKUP('Données projet'!$B$11,Paramètres!$A$1:$I$89,3,0)*0.475*44/12</f>
        <v>4.2674162946688519</v>
      </c>
      <c r="BS35" s="22">
        <f t="shared" si="9"/>
        <v>20.151651470833613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10.4</v>
      </c>
      <c r="BY35" s="12">
        <f>IF('Données projet'!$A$114&gt;35,BY34+BX35-CG34,IF(A35&lt;'Données projet'!$A$114,$BV$205^A35,IF(A35='Données projet'!$A$114,'Données projet'!$B$114,BY34+BX35-CG34)))</f>
        <v>157.80000000000001</v>
      </c>
      <c r="BZ35" s="13">
        <f>BY35*VLOOKUP('Données projet'!$B$12,Paramètres!$A$1:$I$89,3,0)*VLOOKUP('Données projet'!$B$12,Paramètres!$A$1:$I$89,5,0)</f>
        <v>137.85408000000001</v>
      </c>
      <c r="CA35" s="13">
        <f t="shared" si="39"/>
        <v>35.804964283629964</v>
      </c>
      <c r="CB35" s="20">
        <f t="shared" si="10"/>
        <v>302.45616879398887</v>
      </c>
      <c r="CC35" s="59">
        <f t="shared" si="11"/>
        <v>595.78950212732218</v>
      </c>
      <c r="CD35" s="59">
        <f ca="1">AVERAGE(OFFSET($CC$3,0,0,'Données projet'!$E$12+1,1))-AVERAGE(OFFSET($H$3,0,0,'Données projet'!$E$12+1,1))</f>
        <v>381.72225529388083</v>
      </c>
      <c r="CE35" s="59">
        <f t="shared" si="40"/>
        <v>360.05900046417361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4.6247348184049546</v>
      </c>
      <c r="CL35" s="21">
        <f>EXP(-LN(2)/25)*CL34+(1-EXP(-LN(2)/25))/(LN(2)/25)*Calculateur!CG35*Calculateur!CI35*VLOOKUP('Données projet'!$B$12,Paramètres!$A$1:$I$89,3,0)*0.475*44/12</f>
        <v>10.671681675804219</v>
      </c>
      <c r="CM35" s="21">
        <f>EXP(-LN(2)/2)*CM34+(1-EXP(-LN(2)/2))/(LN(2)/2)*CG35*CJ35*VLOOKUP('Données projet'!$B$12,Paramètres!$A$1:$I$89,3,0)*0.475*44/12</f>
        <v>3.4987529067499934</v>
      </c>
      <c r="CN35" s="22">
        <f t="shared" si="12"/>
        <v>18.795169400959168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10.8</v>
      </c>
      <c r="CT35" s="12">
        <f>IF('Données projet'!$A$140&gt;35,CT34+CS35-DB34,IF(A35&lt;'Données projet'!$A$140,$CQ$205^A35,IF(A35='Données projet'!$A$140,'Données projet'!$B$140,CT34+CS35-DB34)))</f>
        <v>139.6</v>
      </c>
      <c r="CU35" s="17">
        <f>CT35*VLOOKUP('Données projet'!$B$13,Paramètres!$A$1:$I$89,3,0)*VLOOKUP('Données projet'!$B$13,Paramètres!$A$1:$I$89,5,0)</f>
        <v>111.06576</v>
      </c>
      <c r="CV35" s="13">
        <f t="shared" si="41"/>
        <v>29.581944857062648</v>
      </c>
      <c r="CW35" s="20">
        <f t="shared" si="13"/>
        <v>244.96141929271744</v>
      </c>
      <c r="CX35" s="59">
        <f t="shared" si="14"/>
        <v>538.29475262605069</v>
      </c>
      <c r="CY35" s="59">
        <f ca="1">AVERAGE(OFFSET($CX$3,0,0,'Données projet'!$E$13+1,1))-AVERAGE(OFFSET($H$3,0,0,'Données projet'!$E$13+1,1))</f>
        <v>299.10536994156814</v>
      </c>
      <c r="CZ35" s="59">
        <f t="shared" si="42"/>
        <v>292.57799203101769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8.0942455633925494</v>
      </c>
      <c r="DG35" s="21">
        <f>EXP(-LN(2)/25)*DG34+(1-EXP(-LN(2)/25))/(LN(2)/25)*Calculateur!DB35*Calculateur!DD35*VLOOKUP('Données projet'!$B$13,Paramètres!$A$1:$I$89,3,0)*0.475*44/12</f>
        <v>10.229487117164432</v>
      </c>
      <c r="DH35" s="21">
        <f>EXP(-LN(2)/2)*DH34+(1-EXP(-LN(2)/2))/(LN(2)/2)*DB35*DE35*VLOOKUP('Données projet'!$B$13,Paramètres!$A$1:$I$89,3,0)*0.475*44/12</f>
        <v>4.4863242854125227</v>
      </c>
      <c r="DI35" s="22">
        <f t="shared" si="15"/>
        <v>22.810056965969501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9.6</v>
      </c>
      <c r="DO35" s="12">
        <f>IF('Données projet'!$A$166&gt;35,DO34+DN35-DW34,IF(A35&lt;'Données projet'!$A$166,$DL$205^A35,IF(A35='Données projet'!$A$166,'Données projet'!$B$166,DO34+DN35-DW34)))</f>
        <v>179.2</v>
      </c>
      <c r="DP35" s="17">
        <f>DO35*VLOOKUP('Données projet'!$B$14,Paramètres!$A$1:$I$89,3,0)*VLOOKUP('Données projet'!$B$14,Paramètres!$A$1:$I$89,5,0)</f>
        <v>117.41184</v>
      </c>
      <c r="DQ35" s="13">
        <f t="shared" si="43"/>
        <v>31.070589593507073</v>
      </c>
      <c r="DR35" s="20">
        <f t="shared" si="16"/>
        <v>258.60689820869146</v>
      </c>
      <c r="DS35" s="59">
        <f t="shared" si="17"/>
        <v>551.94023154202478</v>
      </c>
      <c r="DT35" s="59">
        <f ca="1">AVERAGE(OFFSET($DS$3,0,0,'Données projet'!$E$14+1,1))-AVERAGE(OFFSET($H$3,0,0,'Données projet'!$E$14+1,1))</f>
        <v>295.92103934364718</v>
      </c>
      <c r="DU35" s="59">
        <f t="shared" si="44"/>
        <v>304.84379909635476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4.287138019822442</v>
      </c>
      <c r="EB35" s="21">
        <f>EXP(-LN(2)/25)*EB34+(1-EXP(-LN(2)/25))/(LN(2)/25)*Calculateur!DW35*Calculateur!DY35*VLOOKUP('Données projet'!$B$14,Paramètres!$A$1:$I$89,3,0)*0.475*44/12</f>
        <v>6.7663473105690617</v>
      </c>
      <c r="EC35" s="21">
        <f>EXP(-LN(2)/2)*EC34+(1-EXP(-LN(2)/2))/(LN(2)/2)*DW35*DZ35*VLOOKUP('Données projet'!$B$14,Paramètres!$A$1:$I$89,3,0)*0.475*44/12</f>
        <v>2.8773572507366074</v>
      </c>
      <c r="ED35" s="22">
        <f t="shared" si="18"/>
        <v>13.930842581128111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10</v>
      </c>
      <c r="N36" s="13">
        <f>IF('Données projet'!$A$36&gt;35,N35+M36-V35,IF(A36&lt;'Données projet'!$A$36,$K$205^A36,IF(A36='Données projet'!$A$36,'Données projet'!$B$36,N35+M36-V35)))</f>
        <v>173.49999999999989</v>
      </c>
      <c r="O36" s="13">
        <f>N36*VLOOKUP('Données projet'!$B$9,Paramètres!$A$1:$I$89,3,0)*VLOOKUP('Données projet'!$B$9,Paramètres!$A$1:$I$89,5,0)</f>
        <v>81.197999999999951</v>
      </c>
      <c r="P36" s="13">
        <f t="shared" si="33"/>
        <v>22.429847477648512</v>
      </c>
      <c r="Q36" s="20">
        <f t="shared" si="53"/>
        <v>180.48516769023772</v>
      </c>
      <c r="R36" s="59">
        <f t="shared" si="0"/>
        <v>473.818501023571</v>
      </c>
      <c r="S36" s="59">
        <f ca="1">AVERAGE(OFFSET($R$3,0,0,'Données projet'!$E$9+1,1))-AVERAGE(OFFSET($H$3,0,0,'Données projet'!$E$9+1,1))</f>
        <v>319.22903094674564</v>
      </c>
      <c r="T36" s="59">
        <f t="shared" si="34"/>
        <v>254.58690973142848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8.5526345186466646</v>
      </c>
      <c r="AA36" s="21">
        <f>EXP(-LN(2)/25)*AA35+(1-EXP(-LN(2)/25))/(LN(2)/25)*Calculateur!V36*Calculateur!X36*VLOOKUP('Données projet'!$B$9,Paramètres!$A$1:$I$89,3,0)*0.475*44/12</f>
        <v>10.261307151561583</v>
      </c>
      <c r="AB36" s="21">
        <f>EXP(-LN(2)/2)*AB35+(1-EXP(-LN(2)/2))/(LN(2)/2)*V36*Y36*VLOOKUP('Données projet'!$B$9,Paramètres!$A$1:$I$89,3,0)*0.475*44/12</f>
        <v>3.9043355747018973</v>
      </c>
      <c r="AC36" s="22">
        <f t="shared" si="3"/>
        <v>22.718277244910144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28.4</v>
      </c>
      <c r="AI36" s="13">
        <f>IF('Données projet'!$A$62&gt;35,AI35+AH36-AQ35,IF(A36&lt;'Données projet'!$A$62,$AF$205^A36,IF(A36='Données projet'!$A$62,'Données projet'!$B$62,AI35+AH36-AQ35)))</f>
        <v>519.19999999999993</v>
      </c>
      <c r="AJ36" s="13">
        <f>AI36*VLOOKUP('Données projet'!$B$10,Paramètres!$A$1:$I$89,3,0)*VLOOKUP('Données projet'!$B$10,Paramètres!$A$1:$I$89,5,0)</f>
        <v>290.2328</v>
      </c>
      <c r="AK36" s="13">
        <f t="shared" si="35"/>
        <v>69.124955529636495</v>
      </c>
      <c r="AL36" s="20">
        <f t="shared" si="4"/>
        <v>625.88142421411692</v>
      </c>
      <c r="AM36" s="59">
        <f t="shared" si="5"/>
        <v>919.21475754745029</v>
      </c>
      <c r="AN36" s="59">
        <f ca="1">AVERAGE(OFFSET($AM$3,0,0,'Données projet'!$E$10+1,1))-AVERAGE(OFFSET($H$3,0,0,'Données projet'!$E$10+1,1))</f>
        <v>544.48194192356823</v>
      </c>
      <c r="AO36" s="59">
        <f t="shared" si="36"/>
        <v>668.20427590250733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6.9178762335464929</v>
      </c>
      <c r="AV36" s="21">
        <f>EXP(-LN(2)/25)*AV35+(1-EXP(-LN(2)/25))/(LN(2)/25)*Calculateur!AQ36*Calculateur!AS36*VLOOKUP('Données projet'!$B$10,Paramètres!$A$1:$I$89,3,0)*0.475*44/12</f>
        <v>39.211241908173349</v>
      </c>
      <c r="AW36" s="21">
        <f>EXP(-LN(2)/2)*AW35+(1-EXP(-LN(2)/2))/(LN(2)/2)*AQ36*AT36*VLOOKUP('Données projet'!$B$10,Paramètres!$A$1:$I$89,3,0)*0.475*44/12</f>
        <v>5.0975178531536107</v>
      </c>
      <c r="AX36" s="21">
        <f t="shared" si="6"/>
        <v>51.226635994873455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10.8</v>
      </c>
      <c r="BD36" s="12">
        <f>IF('Données projet'!$A$88&gt;35,BD35+BC36-BL35,IF(A36&lt;'Données projet'!$A$88,$BA$205^A36,IF(A36='Données projet'!$A$88,'Données projet'!$B$88,BD35+BC36-BL35)))</f>
        <v>125.40000000000003</v>
      </c>
      <c r="BE36" s="13">
        <f>BD36*VLOOKUP('Données projet'!$B$11,Paramètres!$A$1:$I$89,3,0)*VLOOKUP('Données projet'!$B$11,Paramètres!$A$1:$I$89,5,0)</f>
        <v>113.46192000000002</v>
      </c>
      <c r="BF36" s="13">
        <f t="shared" si="37"/>
        <v>30.145163126535493</v>
      </c>
      <c r="BG36" s="20">
        <f t="shared" si="7"/>
        <v>250.11566977871598</v>
      </c>
      <c r="BH36" s="59">
        <f t="shared" si="8"/>
        <v>543.44900311204924</v>
      </c>
      <c r="BI36" s="59">
        <f ca="1">AVERAGE(OFFSET($BH$3,0,0,'Données projet'!$E$11+1,1))-AVERAGE(OFFSET($H$3,0,0,'Données projet'!$E$11+1,1))</f>
        <v>405.7176439604217</v>
      </c>
      <c r="BJ36" s="59">
        <f t="shared" si="38"/>
        <v>278.21741231699929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6.8868779289718027</v>
      </c>
      <c r="BQ36" s="21">
        <f>EXP(-LN(2)/25)*BQ35+(1-EXP(-LN(2)/25))/(LN(2)/25)*Calculateur!BL36*Calculateur!BN36*VLOOKUP('Données projet'!$B$11,Paramètres!$A$1:$I$89,3,0)*0.475*44/12</f>
        <v>8.6173421415233822</v>
      </c>
      <c r="BR36" s="21">
        <f>EXP(-LN(2)/2)*BR35+(1-EXP(-LN(2)/2))/(LN(2)/2)*BL36*BO36*VLOOKUP('Données projet'!$B$11,Paramètres!$A$1:$I$89,3,0)*0.475*44/12</f>
        <v>3.0175190001063155</v>
      </c>
      <c r="BS36" s="22">
        <f t="shared" si="9"/>
        <v>18.521739070601502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10.4</v>
      </c>
      <c r="BY36" s="12">
        <f>IF('Données projet'!$A$114&gt;35,BY35+BX36-CG35,IF(A36&lt;'Données projet'!$A$114,$BV$205^A36,IF(A36='Données projet'!$A$114,'Données projet'!$B$114,BY35+BX36-CG35)))</f>
        <v>168.20000000000002</v>
      </c>
      <c r="BZ36" s="13">
        <f>BY36*VLOOKUP('Données projet'!$B$12,Paramètres!$A$1:$I$89,3,0)*VLOOKUP('Données projet'!$B$12,Paramètres!$A$1:$I$89,5,0)</f>
        <v>146.93952000000004</v>
      </c>
      <c r="CA36" s="13">
        <f t="shared" si="39"/>
        <v>37.882248330654257</v>
      </c>
      <c r="CB36" s="20">
        <f t="shared" si="10"/>
        <v>321.89791317588953</v>
      </c>
      <c r="CC36" s="59">
        <f t="shared" si="11"/>
        <v>615.23124650922284</v>
      </c>
      <c r="CD36" s="59">
        <f ca="1">AVERAGE(OFFSET($CC$3,0,0,'Données projet'!$E$12+1,1))-AVERAGE(OFFSET($H$3,0,0,'Données projet'!$E$12+1,1))</f>
        <v>381.72225529388083</v>
      </c>
      <c r="CE36" s="59">
        <f t="shared" si="40"/>
        <v>360.05900046417361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4.5340465894257411</v>
      </c>
      <c r="CL36" s="21">
        <f>EXP(-LN(2)/25)*CL35+(1-EXP(-LN(2)/25))/(LN(2)/25)*Calculateur!CG36*Calculateur!CI36*VLOOKUP('Données projet'!$B$12,Paramètres!$A$1:$I$89,3,0)*0.475*44/12</f>
        <v>10.379863979180003</v>
      </c>
      <c r="CM36" s="21">
        <f>EXP(-LN(2)/2)*CM35+(1-EXP(-LN(2)/2))/(LN(2)/2)*CG36*CJ36*VLOOKUP('Données projet'!$B$12,Paramètres!$A$1:$I$89,3,0)*0.475*44/12</f>
        <v>2.4739919060590649</v>
      </c>
      <c r="CN36" s="22">
        <f t="shared" si="12"/>
        <v>17.387902474664809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10.8</v>
      </c>
      <c r="CT36" s="12">
        <f>IF('Données projet'!$A$140&gt;35,CT35+CS36-DB35,IF(A36&lt;'Données projet'!$A$140,$CQ$205^A36,IF(A36='Données projet'!$A$140,'Données projet'!$B$140,CT35+CS36-DB35)))</f>
        <v>150.4</v>
      </c>
      <c r="CU36" s="17">
        <f>CT36*VLOOKUP('Données projet'!$B$13,Paramètres!$A$1:$I$89,3,0)*VLOOKUP('Données projet'!$B$13,Paramètres!$A$1:$I$89,5,0)</f>
        <v>119.65824000000002</v>
      </c>
      <c r="CV36" s="13">
        <f t="shared" si="41"/>
        <v>31.595276160231336</v>
      </c>
      <c r="CW36" s="20">
        <f t="shared" si="13"/>
        <v>263.43320731240294</v>
      </c>
      <c r="CX36" s="59">
        <f t="shared" si="14"/>
        <v>556.76654064573631</v>
      </c>
      <c r="CY36" s="59">
        <f ca="1">AVERAGE(OFFSET($CX$3,0,0,'Données projet'!$E$13+1,1))-AVERAGE(OFFSET($H$3,0,0,'Données projet'!$E$13+1,1))</f>
        <v>299.10536994156814</v>
      </c>
      <c r="CZ36" s="59">
        <f t="shared" si="42"/>
        <v>292.57799203101769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7.9355223448967269</v>
      </c>
      <c r="DG36" s="21">
        <f>EXP(-LN(2)/25)*DG35+(1-EXP(-LN(2)/25))/(LN(2)/25)*Calculateur!DB36*Calculateur!DD36*VLOOKUP('Données projet'!$B$13,Paramètres!$A$1:$I$89,3,0)*0.475*44/12</f>
        <v>9.9497612540002223</v>
      </c>
      <c r="DH36" s="21">
        <f>EXP(-LN(2)/2)*DH35+(1-EXP(-LN(2)/2))/(LN(2)/2)*DB36*DE36*VLOOKUP('Données projet'!$B$13,Paramètres!$A$1:$I$89,3,0)*0.475*44/12</f>
        <v>3.172310324817087</v>
      </c>
      <c r="DI36" s="22">
        <f t="shared" si="15"/>
        <v>21.057593923714034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9.6</v>
      </c>
      <c r="DO36" s="12">
        <f>IF('Données projet'!$A$166&gt;35,DO35+DN36-DW35,IF(A36&lt;'Données projet'!$A$166,$DL$205^A36,IF(A36='Données projet'!$A$166,'Données projet'!$B$166,DO35+DN36-DW35)))</f>
        <v>188.79999999999998</v>
      </c>
      <c r="DP36" s="17">
        <f>DO36*VLOOKUP('Données projet'!$B$14,Paramètres!$A$1:$I$89,3,0)*VLOOKUP('Données projet'!$B$14,Paramètres!$A$1:$I$89,5,0)</f>
        <v>123.70175999999999</v>
      </c>
      <c r="DQ36" s="13">
        <f t="shared" si="43"/>
        <v>32.536841470486884</v>
      </c>
      <c r="DR36" s="20">
        <f t="shared" si="16"/>
        <v>272.11556422776465</v>
      </c>
      <c r="DS36" s="59">
        <f t="shared" si="17"/>
        <v>565.44889756109797</v>
      </c>
      <c r="DT36" s="59">
        <f ca="1">AVERAGE(OFFSET($DS$3,0,0,'Données projet'!$E$14+1,1))-AVERAGE(OFFSET($H$3,0,0,'Données projet'!$E$14+1,1))</f>
        <v>295.92103934364718</v>
      </c>
      <c r="DU36" s="59">
        <f t="shared" si="44"/>
        <v>304.84379909635476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4.2030698581497168</v>
      </c>
      <c r="EB36" s="21">
        <f>EXP(-LN(2)/25)*EB35+(1-EXP(-LN(2)/25))/(LN(2)/25)*Calculateur!DW36*Calculateur!DY36*VLOOKUP('Données projet'!$B$14,Paramètres!$A$1:$I$89,3,0)*0.475*44/12</f>
        <v>6.5813211875348108</v>
      </c>
      <c r="EC36" s="21">
        <f>EXP(-LN(2)/2)*EC35+(1-EXP(-LN(2)/2))/(LN(2)/2)*DW36*DZ36*VLOOKUP('Données projet'!$B$14,Paramètres!$A$1:$I$89,3,0)*0.475*44/12</f>
        <v>2.0345988238921362</v>
      </c>
      <c r="ED36" s="22">
        <f t="shared" si="18"/>
        <v>12.818989869576663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10</v>
      </c>
      <c r="N37" s="13">
        <f>IF('Données projet'!$A$36&gt;35,N36+M37-V36,IF(A37&lt;'Données projet'!$A$36,$K$205^A37,IF(A37='Données projet'!$A$36,'Données projet'!$B$36,N36+M37-V36)))</f>
        <v>183.49999999999989</v>
      </c>
      <c r="O37" s="13">
        <f>N37*VLOOKUP('Données projet'!$B$9,Paramètres!$A$1:$I$89,3,0)*VLOOKUP('Données projet'!$B$9,Paramètres!$A$1:$I$89,5,0)</f>
        <v>85.877999999999957</v>
      </c>
      <c r="P37" s="13">
        <f t="shared" si="33"/>
        <v>23.56840165498652</v>
      </c>
      <c r="Q37" s="20">
        <f t="shared" si="53"/>
        <v>190.61914954910142</v>
      </c>
      <c r="R37" s="59">
        <f t="shared" si="0"/>
        <v>483.95248288243477</v>
      </c>
      <c r="S37" s="59">
        <f ca="1">AVERAGE(OFFSET($R$3,0,0,'Données projet'!$E$9+1,1))-AVERAGE(OFFSET($H$3,0,0,'Données projet'!$E$9+1,1))</f>
        <v>319.22903094674564</v>
      </c>
      <c r="T37" s="59">
        <f t="shared" si="34"/>
        <v>254.58690973142848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8.3849225723279641</v>
      </c>
      <c r="AA37" s="21">
        <f>EXP(-LN(2)/25)*AA36+(1-EXP(-LN(2)/25))/(LN(2)/25)*Calculateur!V37*Calculateur!X37*VLOOKUP('Données projet'!$B$9,Paramètres!$A$1:$I$89,3,0)*0.475*44/12</f>
        <v>9.9807111678834417</v>
      </c>
      <c r="AB37" s="21">
        <f>EXP(-LN(2)/2)*AB36+(1-EXP(-LN(2)/2))/(LN(2)/2)*V37*Y37*VLOOKUP('Données projet'!$B$9,Paramètres!$A$1:$I$89,3,0)*0.475*44/12</f>
        <v>2.7607821608995882</v>
      </c>
      <c r="AC37" s="22">
        <f t="shared" si="3"/>
        <v>21.126415901110995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28.4</v>
      </c>
      <c r="AI37" s="13">
        <f>IF('Données projet'!$A$62&gt;35,AI36+AH37-AQ36,IF(A37&lt;'Données projet'!$A$62,$AF$205^A37,IF(A37='Données projet'!$A$62,'Données projet'!$B$62,AI36+AH37-AQ36)))</f>
        <v>547.59999999999991</v>
      </c>
      <c r="AJ37" s="13">
        <f>AI37*VLOOKUP('Données projet'!$B$10,Paramètres!$A$1:$I$89,3,0)*VLOOKUP('Données projet'!$B$10,Paramètres!$A$1:$I$89,5,0)</f>
        <v>306.10839999999996</v>
      </c>
      <c r="AK37" s="13">
        <f t="shared" si="35"/>
        <v>72.455512621968097</v>
      </c>
      <c r="AL37" s="20">
        <f t="shared" si="4"/>
        <v>659.33214781659433</v>
      </c>
      <c r="AM37" s="59">
        <f t="shared" si="5"/>
        <v>952.6654811499277</v>
      </c>
      <c r="AN37" s="59">
        <f ca="1">AVERAGE(OFFSET($AM$3,0,0,'Données projet'!$E$10+1,1))-AVERAGE(OFFSET($H$3,0,0,'Données projet'!$E$10+1,1))</f>
        <v>544.48194192356823</v>
      </c>
      <c r="AO37" s="59">
        <f t="shared" si="36"/>
        <v>668.20427590250733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6.7822209000945088</v>
      </c>
      <c r="AV37" s="21">
        <f>EXP(-LN(2)/25)*AV36+(1-EXP(-LN(2)/25))/(LN(2)/25)*Calculateur!AQ37*Calculateur!AS37*VLOOKUP('Données projet'!$B$10,Paramètres!$A$1:$I$89,3,0)*0.475*44/12</f>
        <v>38.139008436164758</v>
      </c>
      <c r="AW37" s="21">
        <f>EXP(-LN(2)/2)*AW36+(1-EXP(-LN(2)/2))/(LN(2)/2)*AQ37*AT37*VLOOKUP('Données projet'!$B$10,Paramètres!$A$1:$I$89,3,0)*0.475*44/12</f>
        <v>3.6044894411844099</v>
      </c>
      <c r="AX37" s="21">
        <f t="shared" si="6"/>
        <v>48.525718777443679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10.8</v>
      </c>
      <c r="BD37" s="12">
        <f>IF('Données projet'!$A$88&gt;35,BD36+BC37-BL36,IF(A37&lt;'Données projet'!$A$88,$BA$205^A37,IF(A37='Données projet'!$A$88,'Données projet'!$B$88,BD36+BC37-BL36)))</f>
        <v>136.20000000000005</v>
      </c>
      <c r="BE37" s="13">
        <f>BD37*VLOOKUP('Données projet'!$B$11,Paramètres!$A$1:$I$89,3,0)*VLOOKUP('Données projet'!$B$11,Paramètres!$A$1:$I$89,5,0)</f>
        <v>123.23376000000005</v>
      </c>
      <c r="BF37" s="13">
        <f t="shared" si="37"/>
        <v>32.428049504876491</v>
      </c>
      <c r="BG37" s="20">
        <f t="shared" si="7"/>
        <v>271.11098488765998</v>
      </c>
      <c r="BH37" s="59">
        <f t="shared" si="8"/>
        <v>564.4443182209933</v>
      </c>
      <c r="BI37" s="59">
        <f ca="1">AVERAGE(OFFSET($BH$3,0,0,'Données projet'!$E$11+1,1))-AVERAGE(OFFSET($H$3,0,0,'Données projet'!$E$11+1,1))</f>
        <v>405.7176439604217</v>
      </c>
      <c r="BJ37" s="59">
        <f t="shared" si="38"/>
        <v>278.21741231699929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6.7518304533654296</v>
      </c>
      <c r="BQ37" s="21">
        <f>EXP(-LN(2)/25)*BQ36+(1-EXP(-LN(2)/25))/(LN(2)/25)*Calculateur!BL37*Calculateur!BN37*VLOOKUP('Données projet'!$B$11,Paramètres!$A$1:$I$89,3,0)*0.475*44/12</f>
        <v>8.3817004674970974</v>
      </c>
      <c r="BR37" s="21">
        <f>EXP(-LN(2)/2)*BR36+(1-EXP(-LN(2)/2))/(LN(2)/2)*BL37*BO37*VLOOKUP('Données projet'!$B$11,Paramètres!$A$1:$I$89,3,0)*0.475*44/12</f>
        <v>2.1337081473344264</v>
      </c>
      <c r="BS37" s="22">
        <f t="shared" si="9"/>
        <v>17.267239068196954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10.4</v>
      </c>
      <c r="BY37" s="12">
        <f>IF('Données projet'!$A$114&gt;35,BY36+BX37-CG36,IF(A37&lt;'Données projet'!$A$114,$BV$205^A37,IF(A37='Données projet'!$A$114,'Données projet'!$B$114,BY36+BX37-CG36)))</f>
        <v>178.60000000000002</v>
      </c>
      <c r="BZ37" s="13">
        <f>BY37*VLOOKUP('Données projet'!$B$12,Paramètres!$A$1:$I$89,3,0)*VLOOKUP('Données projet'!$B$12,Paramètres!$A$1:$I$89,5,0)</f>
        <v>156.02496000000005</v>
      </c>
      <c r="CA37" s="13">
        <f t="shared" si="39"/>
        <v>39.944625507905997</v>
      </c>
      <c r="CB37" s="20">
        <f t="shared" si="10"/>
        <v>341.31369475960304</v>
      </c>
      <c r="CC37" s="59">
        <f t="shared" si="11"/>
        <v>634.64702809293635</v>
      </c>
      <c r="CD37" s="59">
        <f ca="1">AVERAGE(OFFSET($CC$3,0,0,'Données projet'!$E$12+1,1))-AVERAGE(OFFSET($H$3,0,0,'Données projet'!$E$12+1,1))</f>
        <v>381.72225529388083</v>
      </c>
      <c r="CE37" s="59">
        <f t="shared" si="40"/>
        <v>360.05900046417361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4.4451367013024523</v>
      </c>
      <c r="CL37" s="21">
        <f>EXP(-LN(2)/25)*CL36+(1-EXP(-LN(2)/25))/(LN(2)/25)*Calculateur!CG37*Calculateur!CI37*VLOOKUP('Données projet'!$B$12,Paramètres!$A$1:$I$89,3,0)*0.475*44/12</f>
        <v>10.096026052816002</v>
      </c>
      <c r="CM37" s="21">
        <f>EXP(-LN(2)/2)*CM36+(1-EXP(-LN(2)/2))/(LN(2)/2)*CG37*CJ37*VLOOKUP('Données projet'!$B$12,Paramètres!$A$1:$I$89,3,0)*0.475*44/12</f>
        <v>1.7493764533749969</v>
      </c>
      <c r="CN37" s="22">
        <f t="shared" si="12"/>
        <v>16.290539207493453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10.8</v>
      </c>
      <c r="CT37" s="12">
        <f>IF('Données projet'!$A$140&gt;35,CT36+CS37-DB36,IF(A37&lt;'Données projet'!$A$140,$CQ$205^A37,IF(A37='Données projet'!$A$140,'Données projet'!$B$140,CT36+CS37-DB36)))</f>
        <v>161.20000000000002</v>
      </c>
      <c r="CU37" s="17">
        <f>CT37*VLOOKUP('Données projet'!$B$13,Paramètres!$A$1:$I$89,3,0)*VLOOKUP('Données projet'!$B$13,Paramètres!$A$1:$I$89,5,0)</f>
        <v>128.25072</v>
      </c>
      <c r="CV37" s="13">
        <f t="shared" si="41"/>
        <v>33.591833937449593</v>
      </c>
      <c r="CW37" s="20">
        <f t="shared" si="13"/>
        <v>281.875781441058</v>
      </c>
      <c r="CX37" s="59">
        <f t="shared" si="14"/>
        <v>575.20911477439131</v>
      </c>
      <c r="CY37" s="59">
        <f ca="1">AVERAGE(OFFSET($CX$3,0,0,'Données projet'!$E$13+1,1))-AVERAGE(OFFSET($H$3,0,0,'Données projet'!$E$13+1,1))</f>
        <v>299.10536994156814</v>
      </c>
      <c r="CZ37" s="59">
        <f t="shared" si="42"/>
        <v>292.57799203101769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7.7799115919040034</v>
      </c>
      <c r="DG37" s="21">
        <f>EXP(-LN(2)/25)*DG36+(1-EXP(-LN(2)/25))/(LN(2)/25)*Calculateur!DB37*Calculateur!DD37*VLOOKUP('Données projet'!$B$13,Paramètres!$A$1:$I$89,3,0)*0.475*44/12</f>
        <v>9.677684509274382</v>
      </c>
      <c r="DH37" s="21">
        <f>EXP(-LN(2)/2)*DH36+(1-EXP(-LN(2)/2))/(LN(2)/2)*DB37*DE37*VLOOKUP('Données projet'!$B$13,Paramètres!$A$1:$I$89,3,0)*0.475*44/12</f>
        <v>2.2431621427062614</v>
      </c>
      <c r="DI37" s="22">
        <f t="shared" si="15"/>
        <v>19.700758243884646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9.6</v>
      </c>
      <c r="DO37" s="12">
        <f>IF('Données projet'!$A$166&gt;35,DO36+DN37-DW36,IF(A37&lt;'Données projet'!$A$166,$DL$205^A37,IF(A37='Données projet'!$A$166,'Données projet'!$B$166,DO36+DN37-DW36)))</f>
        <v>198.39999999999998</v>
      </c>
      <c r="DP37" s="17">
        <f>DO37*VLOOKUP('Données projet'!$B$14,Paramètres!$A$1:$I$89,3,0)*VLOOKUP('Données projet'!$B$14,Paramètres!$A$1:$I$89,5,0)</f>
        <v>129.99167999999997</v>
      </c>
      <c r="DQ37" s="13">
        <f t="shared" si="43"/>
        <v>33.994436817469854</v>
      </c>
      <c r="DR37" s="20">
        <f t="shared" si="16"/>
        <v>285.60915345709321</v>
      </c>
      <c r="DS37" s="59">
        <f t="shared" si="17"/>
        <v>578.94248679042653</v>
      </c>
      <c r="DT37" s="59">
        <f ca="1">AVERAGE(OFFSET($DS$3,0,0,'Données projet'!$E$14+1,1))-AVERAGE(OFFSET($H$3,0,0,'Données projet'!$E$14+1,1))</f>
        <v>295.92103934364718</v>
      </c>
      <c r="DU37" s="59">
        <f t="shared" si="44"/>
        <v>304.84379909635476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4.1206502218508776</v>
      </c>
      <c r="EB37" s="21">
        <f>EXP(-LN(2)/25)*EB36+(1-EXP(-LN(2)/25))/(LN(2)/25)*Calculateur!DW37*Calculateur!DY37*VLOOKUP('Données projet'!$B$14,Paramètres!$A$1:$I$89,3,0)*0.475*44/12</f>
        <v>6.4013546135650321</v>
      </c>
      <c r="EC37" s="21">
        <f>EXP(-LN(2)/2)*EC36+(1-EXP(-LN(2)/2))/(LN(2)/2)*DW37*DZ37*VLOOKUP('Données projet'!$B$14,Paramètres!$A$1:$I$89,3,0)*0.475*44/12</f>
        <v>1.4386786253683037</v>
      </c>
      <c r="ED37" s="22">
        <f t="shared" si="18"/>
        <v>11.960683460784214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10</v>
      </c>
      <c r="N38" s="13">
        <f>IF('Données projet'!$A$36&gt;35,N37+M38-V37,IF(A38&lt;'Données projet'!$A$36,$K$205^A38,IF(A38='Données projet'!$A$36,'Données projet'!$B$36,N37+M38-V37)))</f>
        <v>193.49999999999989</v>
      </c>
      <c r="O38" s="13">
        <f>N38*VLOOKUP('Données projet'!$B$9,Paramètres!$A$1:$I$89,3,0)*VLOOKUP('Données projet'!$B$9,Paramètres!$A$1:$I$89,5,0)</f>
        <v>90.55799999999995</v>
      </c>
      <c r="P38" s="13">
        <f t="shared" si="33"/>
        <v>24.699752708509138</v>
      </c>
      <c r="Q38" s="20">
        <f t="shared" si="53"/>
        <v>200.74058596732002</v>
      </c>
      <c r="R38" s="59">
        <f t="shared" si="0"/>
        <v>494.0739193006533</v>
      </c>
      <c r="S38" s="59">
        <f ca="1">AVERAGE(OFFSET($R$3,0,0,'Données projet'!$E$9+1,1))-AVERAGE(OFFSET($H$3,0,0,'Données projet'!$E$9+1,1))</f>
        <v>319.22903094674564</v>
      </c>
      <c r="T38" s="59">
        <f t="shared" si="34"/>
        <v>254.58690973142848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8.2204993549823868</v>
      </c>
      <c r="AA38" s="21">
        <f>EXP(-LN(2)/25)*AA37+(1-EXP(-LN(2)/25))/(LN(2)/25)*Calculateur!V38*Calculateur!X38*VLOOKUP('Données projet'!$B$9,Paramètres!$A$1:$I$89,3,0)*0.475*44/12</f>
        <v>9.7077880961348804</v>
      </c>
      <c r="AB38" s="21">
        <f>EXP(-LN(2)/2)*AB37+(1-EXP(-LN(2)/2))/(LN(2)/2)*V38*Y38*VLOOKUP('Données projet'!$B$9,Paramètres!$A$1:$I$89,3,0)*0.475*44/12</f>
        <v>1.9521677873509491</v>
      </c>
      <c r="AC38" s="22">
        <f t="shared" si="3"/>
        <v>19.880455238468215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576</v>
      </c>
      <c r="AG38" s="12">
        <f>VLOOKUP(A38,'Données projet'!$A$61:$I$81,9,0)</f>
        <v>28.4</v>
      </c>
      <c r="AH38" s="12">
        <f t="array" ref="AH38">INDEX(AG:AG,MIN(IF(ISNUMBER(AG38:AG234),ROW(AG38:AG234),"")))</f>
        <v>28.4</v>
      </c>
      <c r="AI38" s="13">
        <f>IF('Données projet'!$A$62&gt;35,AI37+AH38-AQ37,IF(A38&lt;'Données projet'!$A$62,$AF$205^A38,IF(A38='Données projet'!$A$62,'Données projet'!$B$62,AI37+AH38-AQ37)))</f>
        <v>575.99999999999989</v>
      </c>
      <c r="AJ38" s="13">
        <f>AI38*VLOOKUP('Données projet'!$B$10,Paramètres!$A$1:$I$89,3,0)*VLOOKUP('Données projet'!$B$10,Paramètres!$A$1:$I$89,5,0)</f>
        <v>321.98399999999992</v>
      </c>
      <c r="AK38" s="13">
        <f t="shared" si="35"/>
        <v>75.76601483154208</v>
      </c>
      <c r="AL38" s="20">
        <f t="shared" si="4"/>
        <v>692.74794249826891</v>
      </c>
      <c r="AM38" s="59">
        <f t="shared" si="5"/>
        <v>986.08127583160217</v>
      </c>
      <c r="AN38" s="59">
        <f ca="1">AVERAGE(OFFSET($AM$3,0,0,'Données projet'!$E$10+1,1))-AVERAGE(OFFSET($H$3,0,0,'Données projet'!$E$10+1,1))</f>
        <v>544.48194192356823</v>
      </c>
      <c r="AO38" s="59">
        <f t="shared" si="36"/>
        <v>668.20427590250733</v>
      </c>
      <c r="AP38" s="15">
        <f>IF(ISNA(VLOOKUP(A38,'Données projet'!$A$61:$I$81,3,0)),0,VLOOKUP(A38,'Données projet'!$A$61:$I$81,3,0))</f>
        <v>4</v>
      </c>
      <c r="AQ38" s="15">
        <f>IF(ISNA(VLOOKUP(A38,'Données projet'!$A$61:$I$81,4,0)),0,VLOOKUP(A38,'Données projet'!$A$61:$I$81,4,0))</f>
        <v>72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6.6492256849899345</v>
      </c>
      <c r="AV38" s="21">
        <f>EXP(-LN(2)/25)*AV37+(1-EXP(-LN(2)/25))/(LN(2)/25)*Calculateur!AQ38*Calculateur!AS38*VLOOKUP('Données projet'!$B$10,Paramètres!$A$1:$I$89,3,0)*0.475*44/12</f>
        <v>37.096095244834544</v>
      </c>
      <c r="AW38" s="21">
        <f>EXP(-LN(2)/2)*AW37+(1-EXP(-LN(2)/2))/(LN(2)/2)*AQ38*AT38*VLOOKUP('Données projet'!$B$10,Paramètres!$A$1:$I$89,3,0)*0.475*44/12</f>
        <v>2.5487589265768058</v>
      </c>
      <c r="AX38" s="21">
        <f t="shared" si="6"/>
        <v>46.294079856401282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147</v>
      </c>
      <c r="BB38" s="12">
        <f>VLOOKUP(A38,'Données projet'!$A$87:$I$107,9,0)</f>
        <v>10.8</v>
      </c>
      <c r="BC38" s="12">
        <f t="array" ref="BC38">INDEX(BB:BB,MIN(IF(ISNUMBER(BB38:BB234),ROW(BB38:BB234),"")))</f>
        <v>10.8</v>
      </c>
      <c r="BD38" s="12">
        <f>IF('Données projet'!$A$88&gt;35,BD37+BC38-BL37,IF(A38&lt;'Données projet'!$A$88,$BA$205^A38,IF(A38='Données projet'!$A$88,'Données projet'!$B$88,BD37+BC38-BL37)))</f>
        <v>147.00000000000006</v>
      </c>
      <c r="BE38" s="13">
        <f>BD38*VLOOKUP('Données projet'!$B$11,Paramètres!$A$1:$I$89,3,0)*VLOOKUP('Données projet'!$B$11,Paramètres!$A$1:$I$89,5,0)</f>
        <v>133.00560000000004</v>
      </c>
      <c r="BF38" s="13">
        <f t="shared" si="37"/>
        <v>34.689938673073549</v>
      </c>
      <c r="BG38" s="20">
        <f t="shared" si="7"/>
        <v>292.06972985560316</v>
      </c>
      <c r="BH38" s="59">
        <f t="shared" si="8"/>
        <v>585.40306318893647</v>
      </c>
      <c r="BI38" s="59">
        <f ca="1">AVERAGE(OFFSET($BH$3,0,0,'Données projet'!$E$11+1,1))-AVERAGE(OFFSET($H$3,0,0,'Données projet'!$E$11+1,1))</f>
        <v>405.7176439604217</v>
      </c>
      <c r="BJ38" s="59">
        <f t="shared" si="38"/>
        <v>278.21741231699929</v>
      </c>
      <c r="BK38" s="15">
        <f>IF(ISNA(VLOOKUP(A38,'Données projet'!$A$87:$I$107,3,0)),0,VLOOKUP(A38,'Données projet'!$A$87:$I$107,3,0))</f>
        <v>4</v>
      </c>
      <c r="BL38" s="15">
        <f>IF(ISNA(VLOOKUP(A38,'Données projet'!$A$87:$I$107,4,0)),0,VLOOKUP(A38,'Données projet'!$A$87:$I$107,4,0))</f>
        <v>28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6.6194311763848708</v>
      </c>
      <c r="BQ38" s="21">
        <f>EXP(-LN(2)/25)*BQ37+(1-EXP(-LN(2)/25))/(LN(2)/25)*Calculateur!BL38*Calculateur!BN38*VLOOKUP('Données projet'!$B$11,Paramètres!$A$1:$I$89,3,0)*0.475*44/12</f>
        <v>8.1525024274389182</v>
      </c>
      <c r="BR38" s="21">
        <f>EXP(-LN(2)/2)*BR37+(1-EXP(-LN(2)/2))/(LN(2)/2)*BL38*BO38*VLOOKUP('Données projet'!$B$11,Paramètres!$A$1:$I$89,3,0)*0.475*44/12</f>
        <v>1.508759500053158</v>
      </c>
      <c r="BS38" s="22">
        <f t="shared" si="9"/>
        <v>16.280693103876949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>
        <f>VLOOKUP(A38,'Données projet'!$A$113:$I$133,2,0)</f>
        <v>189</v>
      </c>
      <c r="BW38" s="12">
        <f>VLOOKUP(A38,'Données projet'!$A$113:$I$133,9,0)</f>
        <v>10.4</v>
      </c>
      <c r="BX38" s="12">
        <f t="array" ref="BX38">INDEX(BW:BW,MIN(IF(ISNUMBER(BW38:BW234),ROW(BW38:BW234),"")))</f>
        <v>10.4</v>
      </c>
      <c r="BY38" s="12">
        <f>IF('Données projet'!$A$114&gt;35,BY37+BX38-CG37,IF(A38&lt;'Données projet'!$A$114,$BV$205^A38,IF(A38='Données projet'!$A$114,'Données projet'!$B$114,BY37+BX38-CG37)))</f>
        <v>189.00000000000003</v>
      </c>
      <c r="BZ38" s="13">
        <f>BY38*VLOOKUP('Données projet'!$B$12,Paramètres!$A$1:$I$89,3,0)*VLOOKUP('Données projet'!$B$12,Paramètres!$A$1:$I$89,5,0)</f>
        <v>165.11040000000006</v>
      </c>
      <c r="CA38" s="13">
        <f t="shared" si="39"/>
        <v>41.993062739333482</v>
      </c>
      <c r="CB38" s="20">
        <f t="shared" si="10"/>
        <v>360.70519760433922</v>
      </c>
      <c r="CC38" s="59">
        <f t="shared" si="11"/>
        <v>654.03853093767248</v>
      </c>
      <c r="CD38" s="59">
        <f ca="1">AVERAGE(OFFSET($CC$3,0,0,'Données projet'!$E$12+1,1))-AVERAGE(OFFSET($H$3,0,0,'Données projet'!$E$12+1,1))</f>
        <v>381.72225529388083</v>
      </c>
      <c r="CE38" s="59">
        <f t="shared" si="40"/>
        <v>360.05900046417361</v>
      </c>
      <c r="CF38" s="15">
        <f>IF(ISNA(VLOOKUP(A38,'Données projet'!$A$113:$I$133,3,0)),0,VLOOKUP(A38,'Données projet'!$A$113:$I$133,3,0))</f>
        <v>5</v>
      </c>
      <c r="CG38" s="15">
        <f>IF(ISNA(VLOOKUP(A38,'Données projet'!$A$113:$I$133,4,0)),0,VLOOKUP(A38,'Données projet'!$A$113:$I$133,4,0))</f>
        <v>32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4.3579702818555841</v>
      </c>
      <c r="CL38" s="21">
        <f>EXP(-LN(2)/25)*CL37+(1-EXP(-LN(2)/25))/(LN(2)/25)*Calculateur!CG38*Calculateur!CI38*VLOOKUP('Données projet'!$B$12,Paramètres!$A$1:$I$89,3,0)*0.475*44/12</f>
        <v>9.8199496894748126</v>
      </c>
      <c r="CM38" s="21">
        <f>EXP(-LN(2)/2)*CM37+(1-EXP(-LN(2)/2))/(LN(2)/2)*CG38*CJ38*VLOOKUP('Données projet'!$B$12,Paramètres!$A$1:$I$89,3,0)*0.475*44/12</f>
        <v>1.2369959530295327</v>
      </c>
      <c r="CN38" s="22">
        <f t="shared" si="12"/>
        <v>15.41491592435993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>
        <f>VLOOKUP(A38,'Données projet'!$A$139:$I$159,2,0)</f>
        <v>172</v>
      </c>
      <c r="CR38" s="12">
        <f>VLOOKUP(A38,'Données projet'!$A$139:$I$159,9,0)</f>
        <v>10.8</v>
      </c>
      <c r="CS38" s="12">
        <f t="array" ref="CS38">INDEX(CR:CR,MIN(IF(ISNUMBER(CR38:CR234),ROW(CR38:CR234),"")))</f>
        <v>10.8</v>
      </c>
      <c r="CT38" s="12">
        <f>IF('Données projet'!$A$140&gt;35,CT37+CS38-DB37,IF(A38&lt;'Données projet'!$A$140,$CQ$205^A38,IF(A38='Données projet'!$A$140,'Données projet'!$B$140,CT37+CS38-DB37)))</f>
        <v>172.00000000000003</v>
      </c>
      <c r="CU38" s="17">
        <f>CT38*VLOOKUP('Données projet'!$B$13,Paramètres!$A$1:$I$89,3,0)*VLOOKUP('Données projet'!$B$13,Paramètres!$A$1:$I$89,5,0)</f>
        <v>136.84320000000002</v>
      </c>
      <c r="CV38" s="13">
        <f t="shared" si="41"/>
        <v>35.572869837729648</v>
      </c>
      <c r="CW38" s="20">
        <f t="shared" si="13"/>
        <v>300.2913216340458</v>
      </c>
      <c r="CX38" s="59">
        <f t="shared" si="14"/>
        <v>593.62465496737912</v>
      </c>
      <c r="CY38" s="59">
        <f ca="1">AVERAGE(OFFSET($CX$3,0,0,'Données projet'!$E$13+1,1))-AVERAGE(OFFSET($H$3,0,0,'Données projet'!$E$13+1,1))</f>
        <v>299.10536994156814</v>
      </c>
      <c r="CZ38" s="59">
        <f t="shared" si="42"/>
        <v>292.57799203101769</v>
      </c>
      <c r="DA38" s="15">
        <f>IF(ISNA(VLOOKUP(A38,'Données projet'!$A$139:$I$159,3,0)),0,VLOOKUP(A38,'Données projet'!$A$139:$I$159,3,0))</f>
        <v>5</v>
      </c>
      <c r="DB38" s="15">
        <f>IF(ISNA(VLOOKUP(A38,'Données projet'!$A$139:$I$159,4,0)),0,VLOOKUP(A38,'Données projet'!$A$139:$I$159,4,0))</f>
        <v>28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7.6273522708642796</v>
      </c>
      <c r="DG38" s="21">
        <f>EXP(-LN(2)/25)*DG37+(1-EXP(-LN(2)/25))/(LN(2)/25)*Calculateur!DB38*Calculateur!DD38*VLOOKUP('Données projet'!$B$13,Paramètres!$A$1:$I$89,3,0)*0.475*44/12</f>
        <v>9.4130477174409641</v>
      </c>
      <c r="DH38" s="21">
        <f>EXP(-LN(2)/2)*DH37+(1-EXP(-LN(2)/2))/(LN(2)/2)*DB38*DE38*VLOOKUP('Données projet'!$B$13,Paramètres!$A$1:$I$89,3,0)*0.475*44/12</f>
        <v>1.5861551624085435</v>
      </c>
      <c r="DI38" s="22">
        <f t="shared" si="15"/>
        <v>18.626555150713788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>
        <f>VLOOKUP(A38,'Données projet'!$A$165:$I$185,2,0)</f>
        <v>208</v>
      </c>
      <c r="DM38" s="12">
        <f>VLOOKUP(A38,'Données projet'!$A$165:$I$185,9,0)</f>
        <v>9.6</v>
      </c>
      <c r="DN38" s="12">
        <f t="array" ref="DN38">INDEX(DM:DM,MIN(IF(ISNUMBER(DM38:DM234),ROW(DM38:DM234),"")))</f>
        <v>9.6</v>
      </c>
      <c r="DO38" s="12">
        <f>IF('Données projet'!$A$166&gt;35,DO37+DN38-DW37,IF(A38&lt;'Données projet'!$A$166,$DL$205^A38,IF(A38='Données projet'!$A$166,'Données projet'!$B$166,DO37+DN38-DW37)))</f>
        <v>207.99999999999997</v>
      </c>
      <c r="DP38" s="17">
        <f>DO38*VLOOKUP('Données projet'!$B$14,Paramètres!$A$1:$I$89,3,0)*VLOOKUP('Données projet'!$B$14,Paramètres!$A$1:$I$89,5,0)</f>
        <v>136.28159999999997</v>
      </c>
      <c r="DQ38" s="13">
        <f t="shared" si="43"/>
        <v>35.443842312892279</v>
      </c>
      <c r="DR38" s="20">
        <f t="shared" si="16"/>
        <v>299.08847869495401</v>
      </c>
      <c r="DS38" s="59">
        <f t="shared" si="17"/>
        <v>592.42181202828738</v>
      </c>
      <c r="DT38" s="59">
        <f ca="1">AVERAGE(OFFSET($DS$3,0,0,'Données projet'!$E$14+1,1))-AVERAGE(OFFSET($H$3,0,0,'Données projet'!$E$14+1,1))</f>
        <v>295.92103934364718</v>
      </c>
      <c r="DU38" s="59">
        <f t="shared" si="44"/>
        <v>304.84379909635476</v>
      </c>
      <c r="DV38" s="15">
        <f>IF(ISNA(VLOOKUP(A38,'Données projet'!$A$165:$I$185,3,0)),0,VLOOKUP(A38,'Données projet'!$A$165:$I$185,3,0))</f>
        <v>6</v>
      </c>
      <c r="DW38" s="15">
        <f>IF(ISNA(VLOOKUP(A38,'Données projet'!$A$165:$I$185,4,0)),0,VLOOKUP(A38,'Données projet'!$A$165:$I$185,4,0))</f>
        <v>28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4.0398467843488444</v>
      </c>
      <c r="EB38" s="21">
        <f>EXP(-LN(2)/25)*EB37+(1-EXP(-LN(2)/25))/(LN(2)/25)*Calculateur!DW38*Calculateur!DY38*VLOOKUP('Données projet'!$B$14,Paramètres!$A$1:$I$89,3,0)*0.475*44/12</f>
        <v>6.2263092350244875</v>
      </c>
      <c r="EC38" s="21">
        <f>EXP(-LN(2)/2)*EC37+(1-EXP(-LN(2)/2))/(LN(2)/2)*DW38*DZ38*VLOOKUP('Données projet'!$B$14,Paramètres!$A$1:$I$89,3,0)*0.475*44/12</f>
        <v>1.0172994119460681</v>
      </c>
      <c r="ED38" s="22">
        <f t="shared" si="18"/>
        <v>11.2834554313194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10</v>
      </c>
      <c r="N39" s="13">
        <f>IF('Données projet'!$A$36&gt;35,N38+M39-V38,IF(A39&lt;'Données projet'!$A$36,$K$205^A39,IF(A39='Données projet'!$A$36,'Données projet'!$B$36,N38+M39-V38)))</f>
        <v>203.49999999999989</v>
      </c>
      <c r="O39" s="13">
        <f>N39*VLOOKUP('Données projet'!$B$9,Paramètres!$A$1:$I$89,3,0)*VLOOKUP('Données projet'!$B$9,Paramètres!$A$1:$I$89,5,0)</f>
        <v>95.237999999999957</v>
      </c>
      <c r="P39" s="13">
        <f t="shared" si="33"/>
        <v>25.824315354051119</v>
      </c>
      <c r="Q39" s="20">
        <f t="shared" si="53"/>
        <v>210.85019924163896</v>
      </c>
      <c r="R39" s="59">
        <f t="shared" si="0"/>
        <v>504.18353257497228</v>
      </c>
      <c r="S39" s="59">
        <f ca="1">AVERAGE(OFFSET($R$3,0,0,'Données projet'!$E$9+1,1))-AVERAGE(OFFSET($H$3,0,0,'Données projet'!$E$9+1,1))</f>
        <v>319.22903094674564</v>
      </c>
      <c r="T39" s="59">
        <f t="shared" si="34"/>
        <v>254.58690973142848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8.0593003766406959</v>
      </c>
      <c r="AA39" s="21">
        <f>EXP(-LN(2)/25)*AA38+(1-EXP(-LN(2)/25))/(LN(2)/25)*Calculateur!V39*Calculateur!X39*VLOOKUP('Données projet'!$B$9,Paramètres!$A$1:$I$89,3,0)*0.475*44/12</f>
        <v>9.4423281201356843</v>
      </c>
      <c r="AB39" s="21">
        <f>EXP(-LN(2)/2)*AB38+(1-EXP(-LN(2)/2))/(LN(2)/2)*V39*Y39*VLOOKUP('Données projet'!$B$9,Paramètres!$A$1:$I$89,3,0)*0.475*44/12</f>
        <v>1.3803910804497943</v>
      </c>
      <c r="AC39" s="22">
        <f t="shared" si="3"/>
        <v>18.882019577226174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27</v>
      </c>
      <c r="AI39" s="13">
        <f>IF('Données projet'!$A$62&gt;35,AI38+AH39-AQ38,IF(A39&lt;'Données projet'!$A$62,$AF$205^A39,IF(A39='Données projet'!$A$62,'Données projet'!$B$62,AI38+AH39-AQ38)))</f>
        <v>530.99999999999989</v>
      </c>
      <c r="AJ39" s="13">
        <f>AI39*VLOOKUP('Données projet'!$B$10,Paramètres!$A$1:$I$89,3,0)*VLOOKUP('Données projet'!$B$10,Paramètres!$A$1:$I$89,5,0)</f>
        <v>296.82899999999995</v>
      </c>
      <c r="AK39" s="13">
        <f t="shared" si="35"/>
        <v>70.511289513454344</v>
      </c>
      <c r="AL39" s="20">
        <f t="shared" si="4"/>
        <v>639.78433756926631</v>
      </c>
      <c r="AM39" s="59">
        <f t="shared" si="5"/>
        <v>933.11767090259968</v>
      </c>
      <c r="AN39" s="59">
        <f ca="1">AVERAGE(OFFSET($AM$3,0,0,'Données projet'!$E$10+1,1))-AVERAGE(OFFSET($H$3,0,0,'Données projet'!$E$10+1,1))</f>
        <v>544.48194192356823</v>
      </c>
      <c r="AO39" s="59">
        <f t="shared" si="36"/>
        <v>668.20427590250733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6.51883842493449</v>
      </c>
      <c r="AV39" s="21">
        <f>EXP(-LN(2)/25)*AV38+(1-EXP(-LN(2)/25))/(LN(2)/25)*Calculateur!AQ39*Calculateur!AS39*VLOOKUP('Données projet'!$B$10,Paramètres!$A$1:$I$89,3,0)*0.475*44/12</f>
        <v>36.081700569565676</v>
      </c>
      <c r="AW39" s="21">
        <f>EXP(-LN(2)/2)*AW38+(1-EXP(-LN(2)/2))/(LN(2)/2)*AQ39*AT39*VLOOKUP('Données projet'!$B$10,Paramètres!$A$1:$I$89,3,0)*0.475*44/12</f>
        <v>1.8022447205922052</v>
      </c>
      <c r="AX39" s="21">
        <f t="shared" si="6"/>
        <v>44.402783715092376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11.2</v>
      </c>
      <c r="BD39" s="12">
        <f>IF('Données projet'!$A$88&gt;35,BD38+BC39-BL38,IF(A39&lt;'Données projet'!$A$88,$BA$205^A39,IF(A39='Données projet'!$A$88,'Données projet'!$B$88,BD38+BC39-BL38)))</f>
        <v>130.20000000000005</v>
      </c>
      <c r="BE39" s="13">
        <f>BD39*VLOOKUP('Données projet'!$B$11,Paramètres!$A$1:$I$89,3,0)*VLOOKUP('Données projet'!$B$11,Paramètres!$A$1:$I$89,5,0)</f>
        <v>117.80496000000004</v>
      </c>
      <c r="BF39" s="13">
        <f t="shared" si="37"/>
        <v>31.162493487829593</v>
      </c>
      <c r="BG39" s="20">
        <f t="shared" si="7"/>
        <v>259.45164815796994</v>
      </c>
      <c r="BH39" s="59">
        <f t="shared" si="8"/>
        <v>552.78498149130326</v>
      </c>
      <c r="BI39" s="59">
        <f ca="1">AVERAGE(OFFSET($BH$3,0,0,'Données projet'!$E$11+1,1))-AVERAGE(OFFSET($H$3,0,0,'Données projet'!$E$11+1,1))</f>
        <v>405.7176439604217</v>
      </c>
      <c r="BJ39" s="59">
        <f t="shared" si="38"/>
        <v>278.21741231699929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6.4896281684703157</v>
      </c>
      <c r="BQ39" s="21">
        <f>EXP(-LN(2)/25)*BQ38+(1-EXP(-LN(2)/25))/(LN(2)/25)*Calculateur!BL39*Calculateur!BN39*VLOOKUP('Données projet'!$B$11,Paramètres!$A$1:$I$89,3,0)*0.475*44/12</f>
        <v>7.929571819839131</v>
      </c>
      <c r="BR39" s="21">
        <f>EXP(-LN(2)/2)*BR38+(1-EXP(-LN(2)/2))/(LN(2)/2)*BL39*BO39*VLOOKUP('Données projet'!$B$11,Paramètres!$A$1:$I$89,3,0)*0.475*44/12</f>
        <v>1.0668540736672132</v>
      </c>
      <c r="BS39" s="22">
        <f t="shared" si="9"/>
        <v>15.486054061976661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9.8000000000000007</v>
      </c>
      <c r="BY39" s="12">
        <f>IF('Données projet'!$A$114&gt;35,BY38+BX39-CG38,IF(A39&lt;'Données projet'!$A$114,$BV$205^A39,IF(A39='Données projet'!$A$114,'Données projet'!$B$114,BY38+BX39-CG38)))</f>
        <v>166.80000000000004</v>
      </c>
      <c r="BZ39" s="13">
        <f>BY39*VLOOKUP('Données projet'!$B$12,Paramètres!$A$1:$I$89,3,0)*VLOOKUP('Données projet'!$B$12,Paramètres!$A$1:$I$89,5,0)</f>
        <v>145.71648000000005</v>
      </c>
      <c r="CA39" s="13">
        <f t="shared" si="39"/>
        <v>37.60350500083149</v>
      </c>
      <c r="CB39" s="20">
        <f t="shared" si="10"/>
        <v>319.28230720978155</v>
      </c>
      <c r="CC39" s="59">
        <f t="shared" si="11"/>
        <v>612.61564054311486</v>
      </c>
      <c r="CD39" s="59">
        <f ca="1">AVERAGE(OFFSET($CC$3,0,0,'Données projet'!$E$12+1,1))-AVERAGE(OFFSET($H$3,0,0,'Données projet'!$E$12+1,1))</f>
        <v>381.72225529388083</v>
      </c>
      <c r="CE39" s="59">
        <f t="shared" si="40"/>
        <v>360.05900046417361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4.2725131427278029</v>
      </c>
      <c r="CL39" s="21">
        <f>EXP(-LN(2)/25)*CL38+(1-EXP(-LN(2)/25))/(LN(2)/25)*Calculateur!CG39*Calculateur!CI39*VLOOKUP('Données projet'!$B$12,Paramètres!$A$1:$I$89,3,0)*0.475*44/12</f>
        <v>9.5514226488074137</v>
      </c>
      <c r="CM39" s="21">
        <f>EXP(-LN(2)/2)*CM38+(1-EXP(-LN(2)/2))/(LN(2)/2)*CG39*CJ39*VLOOKUP('Données projet'!$B$12,Paramètres!$A$1:$I$89,3,0)*0.475*44/12</f>
        <v>0.87468822668749868</v>
      </c>
      <c r="CN39" s="22">
        <f t="shared" si="12"/>
        <v>14.698624018222715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9.6</v>
      </c>
      <c r="CT39" s="12">
        <f>IF('Données projet'!$A$140&gt;35,CT38+CS39-DB38,IF(A39&lt;'Données projet'!$A$140,$CQ$205^A39,IF(A39='Données projet'!$A$140,'Données projet'!$B$140,CT38+CS39-DB38)))</f>
        <v>153.60000000000002</v>
      </c>
      <c r="CU39" s="17">
        <f>CT39*VLOOKUP('Données projet'!$B$13,Paramètres!$A$1:$I$89,3,0)*VLOOKUP('Données projet'!$B$13,Paramètres!$A$1:$I$89,5,0)</f>
        <v>122.20416000000003</v>
      </c>
      <c r="CV39" s="13">
        <f t="shared" si="41"/>
        <v>32.188537573102472</v>
      </c>
      <c r="CW39" s="20">
        <f t="shared" si="13"/>
        <v>268.90061493982017</v>
      </c>
      <c r="CX39" s="59">
        <f t="shared" si="14"/>
        <v>562.23394827315349</v>
      </c>
      <c r="CY39" s="59">
        <f ca="1">AVERAGE(OFFSET($CX$3,0,0,'Données projet'!$E$13+1,1))-AVERAGE(OFFSET($H$3,0,0,'Données projet'!$E$13+1,1))</f>
        <v>299.10536994156814</v>
      </c>
      <c r="CZ39" s="59">
        <f t="shared" si="42"/>
        <v>292.57799203101769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7.4777845450581468</v>
      </c>
      <c r="DG39" s="21">
        <f>EXP(-LN(2)/25)*DG38+(1-EXP(-LN(2)/25))/(LN(2)/25)*Calculateur!DB39*Calculateur!DD39*VLOOKUP('Données projet'!$B$13,Paramètres!$A$1:$I$89,3,0)*0.475*44/12</f>
        <v>9.1556474325968757</v>
      </c>
      <c r="DH39" s="21">
        <f>EXP(-LN(2)/2)*DH38+(1-EXP(-LN(2)/2))/(LN(2)/2)*DB39*DE39*VLOOKUP('Données projet'!$B$13,Paramètres!$A$1:$I$89,3,0)*0.475*44/12</f>
        <v>1.1215810713531307</v>
      </c>
      <c r="DI39" s="22">
        <f t="shared" si="15"/>
        <v>17.755013049008152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8.8000000000000007</v>
      </c>
      <c r="DO39" s="12">
        <f>IF('Données projet'!$A$166&gt;35,DO38+DN39-DW38,IF(A39&lt;'Données projet'!$A$166,$DL$205^A39,IF(A39='Données projet'!$A$166,'Données projet'!$B$166,DO38+DN39-DW38)))</f>
        <v>188.79999999999998</v>
      </c>
      <c r="DP39" s="17">
        <f>DO39*VLOOKUP('Données projet'!$B$14,Paramètres!$A$1:$I$89,3,0)*VLOOKUP('Données projet'!$B$14,Paramètres!$A$1:$I$89,5,0)</f>
        <v>123.70175999999999</v>
      </c>
      <c r="DQ39" s="13">
        <f t="shared" si="43"/>
        <v>32.536841470486884</v>
      </c>
      <c r="DR39" s="20">
        <f t="shared" si="16"/>
        <v>272.11556422776465</v>
      </c>
      <c r="DS39" s="59">
        <f t="shared" si="17"/>
        <v>565.44889756109797</v>
      </c>
      <c r="DT39" s="59">
        <f ca="1">AVERAGE(OFFSET($DS$3,0,0,'Données projet'!$E$14+1,1))-AVERAGE(OFFSET($H$3,0,0,'Données projet'!$E$14+1,1))</f>
        <v>295.92103934364718</v>
      </c>
      <c r="DU39" s="59">
        <f t="shared" si="44"/>
        <v>304.84379909635476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3.9606278529709957</v>
      </c>
      <c r="EB39" s="21">
        <f>EXP(-LN(2)/25)*EB38+(1-EXP(-LN(2)/25))/(LN(2)/25)*Calculateur!DW39*Calculateur!DY39*VLOOKUP('Données projet'!$B$14,Paramètres!$A$1:$I$89,3,0)*0.475*44/12</f>
        <v>6.0560504815653706</v>
      </c>
      <c r="EC39" s="21">
        <f>EXP(-LN(2)/2)*EC38+(1-EXP(-LN(2)/2))/(LN(2)/2)*DW39*DZ39*VLOOKUP('Données projet'!$B$14,Paramètres!$A$1:$I$89,3,0)*0.475*44/12</f>
        <v>0.71933931268415185</v>
      </c>
      <c r="ED39" s="22">
        <f t="shared" si="18"/>
        <v>10.736017647220518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10</v>
      </c>
      <c r="N40" s="13">
        <f>IF('Données projet'!$A$36&gt;35,N39+M40-V39,IF(A40&lt;'Données projet'!$A$36,$K$205^A40,IF(A40='Données projet'!$A$36,'Données projet'!$B$36,N39+M40-V39)))</f>
        <v>213.49999999999989</v>
      </c>
      <c r="O40" s="13">
        <f>N40*VLOOKUP('Données projet'!$B$9,Paramètres!$A$1:$I$89,3,0)*VLOOKUP('Données projet'!$B$9,Paramètres!$A$1:$I$89,5,0)</f>
        <v>99.91799999999995</v>
      </c>
      <c r="P40" s="13">
        <f t="shared" si="33"/>
        <v>26.942461246512746</v>
      </c>
      <c r="Q40" s="20">
        <f t="shared" si="53"/>
        <v>220.94863667100961</v>
      </c>
      <c r="R40" s="59">
        <f t="shared" si="0"/>
        <v>514.28197000434295</v>
      </c>
      <c r="S40" s="59">
        <f ca="1">AVERAGE(OFFSET($R$3,0,0,'Données projet'!$E$9+1,1))-AVERAGE(OFFSET($H$3,0,0,'Données projet'!$E$9+1,1))</f>
        <v>319.22903094674564</v>
      </c>
      <c r="T40" s="59">
        <f t="shared" si="34"/>
        <v>254.58690973142848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7.9012624119426178</v>
      </c>
      <c r="AA40" s="21">
        <f>EXP(-LN(2)/25)*AA39+(1-EXP(-LN(2)/25))/(LN(2)/25)*Calculateur!V40*Calculateur!X40*VLOOKUP('Données projet'!$B$9,Paramètres!$A$1:$I$89,3,0)*0.475*44/12</f>
        <v>9.1841271611401183</v>
      </c>
      <c r="AB40" s="21">
        <f>EXP(-LN(2)/2)*AB39+(1-EXP(-LN(2)/2))/(LN(2)/2)*V40*Y40*VLOOKUP('Données projet'!$B$9,Paramètres!$A$1:$I$89,3,0)*0.475*44/12</f>
        <v>0.97608389367547466</v>
      </c>
      <c r="AC40" s="22">
        <f t="shared" si="3"/>
        <v>18.061473466758212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27</v>
      </c>
      <c r="AI40" s="13">
        <f>IF('Données projet'!$A$62&gt;35,AI39+AH40-AQ39,IF(A40&lt;'Données projet'!$A$62,$AF$205^A40,IF(A40='Données projet'!$A$62,'Données projet'!$B$62,AI39+AH40-AQ39)))</f>
        <v>557.99999999999989</v>
      </c>
      <c r="AJ40" s="13">
        <f>AI40*VLOOKUP('Données projet'!$B$10,Paramètres!$A$1:$I$89,3,0)*VLOOKUP('Données projet'!$B$10,Paramètres!$A$1:$I$89,5,0)</f>
        <v>311.92199999999991</v>
      </c>
      <c r="AK40" s="13">
        <f t="shared" si="35"/>
        <v>73.670075764965745</v>
      </c>
      <c r="AL40" s="20">
        <f t="shared" si="4"/>
        <v>671.57286529064845</v>
      </c>
      <c r="AM40" s="59">
        <f t="shared" si="5"/>
        <v>964.90619862398171</v>
      </c>
      <c r="AN40" s="59">
        <f ca="1">AVERAGE(OFFSET($AM$3,0,0,'Données projet'!$E$10+1,1))-AVERAGE(OFFSET($H$3,0,0,'Données projet'!$E$10+1,1))</f>
        <v>544.48194192356823</v>
      </c>
      <c r="AO40" s="59">
        <f t="shared" si="36"/>
        <v>668.20427590250733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6.3910079795203565</v>
      </c>
      <c r="AV40" s="21">
        <f>EXP(-LN(2)/25)*AV39+(1-EXP(-LN(2)/25))/(LN(2)/25)*Calculateur!AQ40*Calculateur!AS40*VLOOKUP('Données projet'!$B$10,Paramètres!$A$1:$I$89,3,0)*0.475*44/12</f>
        <v>35.095044570036734</v>
      </c>
      <c r="AW40" s="21">
        <f>EXP(-LN(2)/2)*AW39+(1-EXP(-LN(2)/2))/(LN(2)/2)*AQ40*AT40*VLOOKUP('Données projet'!$B$10,Paramètres!$A$1:$I$89,3,0)*0.475*44/12</f>
        <v>1.2743794632884029</v>
      </c>
      <c r="AX40" s="21">
        <f t="shared" si="6"/>
        <v>42.760432012845492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11.2</v>
      </c>
      <c r="BD40" s="12">
        <f>IF('Données projet'!$A$88&gt;35,BD39+BC40-BL39,IF(A40&lt;'Données projet'!$A$88,$BA$205^A40,IF(A40='Données projet'!$A$88,'Données projet'!$B$88,BD39+BC40-BL39)))</f>
        <v>141.40000000000003</v>
      </c>
      <c r="BE40" s="13">
        <f>BD40*VLOOKUP('Données projet'!$B$11,Paramètres!$A$1:$I$89,3,0)*VLOOKUP('Données projet'!$B$11,Paramètres!$A$1:$I$89,5,0)</f>
        <v>127.93872000000003</v>
      </c>
      <c r="BF40" s="13">
        <f t="shared" si="37"/>
        <v>33.519615889545641</v>
      </c>
      <c r="BG40" s="20">
        <f t="shared" si="7"/>
        <v>281.20660167429202</v>
      </c>
      <c r="BH40" s="59">
        <f t="shared" si="8"/>
        <v>574.53993500762533</v>
      </c>
      <c r="BI40" s="59">
        <f ca="1">AVERAGE(OFFSET($BH$3,0,0,'Données projet'!$E$11+1,1))-AVERAGE(OFFSET($H$3,0,0,'Données projet'!$E$11+1,1))</f>
        <v>405.7176439604217</v>
      </c>
      <c r="BJ40" s="59">
        <f t="shared" si="38"/>
        <v>278.21741231699929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6.3623705183689472</v>
      </c>
      <c r="BQ40" s="21">
        <f>EXP(-LN(2)/25)*BQ39+(1-EXP(-LN(2)/25))/(LN(2)/25)*Calculateur!BL40*Calculateur!BN40*VLOOKUP('Données projet'!$B$11,Paramètres!$A$1:$I$89,3,0)*0.475*44/12</f>
        <v>7.7127372614275709</v>
      </c>
      <c r="BR40" s="21">
        <f>EXP(-LN(2)/2)*BR39+(1-EXP(-LN(2)/2))/(LN(2)/2)*BL40*BO40*VLOOKUP('Données projet'!$B$11,Paramètres!$A$1:$I$89,3,0)*0.475*44/12</f>
        <v>0.75437975002657898</v>
      </c>
      <c r="BS40" s="22">
        <f t="shared" si="9"/>
        <v>14.829487529823098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9.8000000000000007</v>
      </c>
      <c r="BY40" s="12">
        <f>IF('Données projet'!$A$114&gt;35,BY39+BX40-CG39,IF(A40&lt;'Données projet'!$A$114,$BV$205^A40,IF(A40='Données projet'!$A$114,'Données projet'!$B$114,BY39+BX40-CG39)))</f>
        <v>176.60000000000005</v>
      </c>
      <c r="BZ40" s="13">
        <f>BY40*VLOOKUP('Données projet'!$B$12,Paramètres!$A$1:$I$89,3,0)*VLOOKUP('Données projet'!$B$12,Paramètres!$A$1:$I$89,5,0)</f>
        <v>154.27776000000009</v>
      </c>
      <c r="CA40" s="13">
        <f t="shared" si="39"/>
        <v>39.549125277353333</v>
      </c>
      <c r="CB40" s="20">
        <f t="shared" si="10"/>
        <v>337.58182519139058</v>
      </c>
      <c r="CC40" s="59">
        <f t="shared" si="11"/>
        <v>630.91515852472389</v>
      </c>
      <c r="CD40" s="59">
        <f ca="1">AVERAGE(OFFSET($CC$3,0,0,'Données projet'!$E$12+1,1))-AVERAGE(OFFSET($H$3,0,0,'Données projet'!$E$12+1,1))</f>
        <v>381.72225529388083</v>
      </c>
      <c r="CE40" s="59">
        <f t="shared" si="40"/>
        <v>360.05900046417361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4.1887317659746088</v>
      </c>
      <c r="CL40" s="21">
        <f>EXP(-LN(2)/25)*CL39+(1-EXP(-LN(2)/25))/(LN(2)/25)*Calculateur!CG40*Calculateur!CI40*VLOOKUP('Données projet'!$B$12,Paramètres!$A$1:$I$89,3,0)*0.475*44/12</f>
        <v>9.2902384941882872</v>
      </c>
      <c r="CM40" s="21">
        <f>EXP(-LN(2)/2)*CM39+(1-EXP(-LN(2)/2))/(LN(2)/2)*CG40*CJ40*VLOOKUP('Données projet'!$B$12,Paramètres!$A$1:$I$89,3,0)*0.475*44/12</f>
        <v>0.61849797651476646</v>
      </c>
      <c r="CN40" s="22">
        <f t="shared" si="12"/>
        <v>14.097468236677663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9.6</v>
      </c>
      <c r="CT40" s="12">
        <f>IF('Données projet'!$A$140&gt;35,CT39+CS40-DB39,IF(A40&lt;'Données projet'!$A$140,$CQ$205^A40,IF(A40='Données projet'!$A$140,'Données projet'!$B$140,CT39+CS40-DB39)))</f>
        <v>163.20000000000002</v>
      </c>
      <c r="CU40" s="17">
        <f>CT40*VLOOKUP('Données projet'!$B$13,Paramètres!$A$1:$I$89,3,0)*VLOOKUP('Données projet'!$B$13,Paramètres!$A$1:$I$89,5,0)</f>
        <v>129.84192000000002</v>
      </c>
      <c r="CV40" s="13">
        <f t="shared" si="41"/>
        <v>33.959829099416851</v>
      </c>
      <c r="CW40" s="20">
        <f t="shared" si="13"/>
        <v>285.288046348151</v>
      </c>
      <c r="CX40" s="59">
        <f t="shared" si="14"/>
        <v>578.62137968148431</v>
      </c>
      <c r="CY40" s="59">
        <f ca="1">AVERAGE(OFFSET($CX$3,0,0,'Données projet'!$E$13+1,1))-AVERAGE(OFFSET($H$3,0,0,'Données projet'!$E$13+1,1))</f>
        <v>299.10536994156814</v>
      </c>
      <c r="CZ40" s="59">
        <f t="shared" si="42"/>
        <v>292.57799203101769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7.3311497511277679</v>
      </c>
      <c r="DG40" s="21">
        <f>EXP(-LN(2)/25)*DG39+(1-EXP(-LN(2)/25))/(LN(2)/25)*Calculateur!DB40*Calculateur!DD40*VLOOKUP('Données projet'!$B$13,Paramètres!$A$1:$I$89,3,0)*0.475*44/12</f>
        <v>8.9052857720779404</v>
      </c>
      <c r="DH40" s="21">
        <f>EXP(-LN(2)/2)*DH39+(1-EXP(-LN(2)/2))/(LN(2)/2)*DB40*DE40*VLOOKUP('Données projet'!$B$13,Paramètres!$A$1:$I$89,3,0)*0.475*44/12</f>
        <v>0.79307758120427174</v>
      </c>
      <c r="DI40" s="22">
        <f t="shared" si="15"/>
        <v>17.029513104409979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8.8000000000000007</v>
      </c>
      <c r="DO40" s="12">
        <f>IF('Données projet'!$A$166&gt;35,DO39+DN40-DW39,IF(A40&lt;'Données projet'!$A$166,$DL$205^A40,IF(A40='Données projet'!$A$166,'Données projet'!$B$166,DO39+DN40-DW39)))</f>
        <v>197.6</v>
      </c>
      <c r="DP40" s="17">
        <f>DO40*VLOOKUP('Données projet'!$B$14,Paramètres!$A$1:$I$89,3,0)*VLOOKUP('Données projet'!$B$14,Paramètres!$A$1:$I$89,5,0)</f>
        <v>129.46751999999998</v>
      </c>
      <c r="DQ40" s="13">
        <f t="shared" si="43"/>
        <v>33.873289462262882</v>
      </c>
      <c r="DR40" s="20">
        <f t="shared" si="16"/>
        <v>284.48524314677445</v>
      </c>
      <c r="DS40" s="59">
        <f t="shared" si="17"/>
        <v>577.81857648010782</v>
      </c>
      <c r="DT40" s="59">
        <f ca="1">AVERAGE(OFFSET($DS$3,0,0,'Données projet'!$E$14+1,1))-AVERAGE(OFFSET($H$3,0,0,'Données projet'!$E$14+1,1))</f>
        <v>295.92103934364718</v>
      </c>
      <c r="DU40" s="59">
        <f t="shared" si="44"/>
        <v>304.84379909635476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3.8829623565186897</v>
      </c>
      <c r="EB40" s="21">
        <f>EXP(-LN(2)/25)*EB39+(1-EXP(-LN(2)/25))/(LN(2)/25)*Calculateur!DW40*Calculateur!DY40*VLOOKUP('Données projet'!$B$14,Paramètres!$A$1:$I$89,3,0)*0.475*44/12</f>
        <v>5.8904474626731123</v>
      </c>
      <c r="EC40" s="21">
        <f>EXP(-LN(2)/2)*EC39+(1-EXP(-LN(2)/2))/(LN(2)/2)*DW40*DZ40*VLOOKUP('Données projet'!$B$14,Paramètres!$A$1:$I$89,3,0)*0.475*44/12</f>
        <v>0.50864970597303405</v>
      </c>
      <c r="ED40" s="22">
        <f t="shared" si="18"/>
        <v>10.282059525164836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10</v>
      </c>
      <c r="N41" s="13">
        <f>IF('Données projet'!$A$36&gt;35,N40+M41-V40,IF(A41&lt;'Données projet'!$A$36,$K$205^A41,IF(A41='Données projet'!$A$36,'Données projet'!$B$36,N40+M41-V40)))</f>
        <v>223.49999999999989</v>
      </c>
      <c r="O41" s="13">
        <f>N41*VLOOKUP('Données projet'!$B$9,Paramètres!$A$1:$I$89,3,0)*VLOOKUP('Données projet'!$B$9,Paramètres!$A$1:$I$89,5,0)</f>
        <v>104.59799999999994</v>
      </c>
      <c r="P41" s="13">
        <f t="shared" si="33"/>
        <v>28.054525257841597</v>
      </c>
      <c r="Q41" s="20">
        <f t="shared" si="53"/>
        <v>231.03648149074067</v>
      </c>
      <c r="R41" s="59">
        <f t="shared" si="0"/>
        <v>524.36981482407396</v>
      </c>
      <c r="S41" s="59">
        <f ca="1">AVERAGE(OFFSET($R$3,0,0,'Données projet'!$E$9+1,1))-AVERAGE(OFFSET($H$3,0,0,'Données projet'!$E$9+1,1))</f>
        <v>319.22903094674564</v>
      </c>
      <c r="T41" s="59">
        <f t="shared" si="34"/>
        <v>254.58690973142848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7.7463234753386283</v>
      </c>
      <c r="AA41" s="21">
        <f>EXP(-LN(2)/25)*AA40+(1-EXP(-LN(2)/25))/(LN(2)/25)*Calculateur!V41*Calculateur!X41*VLOOKUP('Données projet'!$B$9,Paramètres!$A$1:$I$89,3,0)*0.475*44/12</f>
        <v>8.9329867209464844</v>
      </c>
      <c r="AB41" s="21">
        <f>EXP(-LN(2)/2)*AB40+(1-EXP(-LN(2)/2))/(LN(2)/2)*V41*Y41*VLOOKUP('Données projet'!$B$9,Paramètres!$A$1:$I$89,3,0)*0.475*44/12</f>
        <v>0.69019554022489726</v>
      </c>
      <c r="AC41" s="22">
        <f t="shared" si="3"/>
        <v>17.369505736510011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27</v>
      </c>
      <c r="AI41" s="13">
        <f>IF('Données projet'!$A$62&gt;35,AI40+AH41-AQ40,IF(A41&lt;'Données projet'!$A$62,$AF$205^A41,IF(A41='Données projet'!$A$62,'Données projet'!$B$62,AI40+AH41-AQ40)))</f>
        <v>584.99999999999989</v>
      </c>
      <c r="AJ41" s="13">
        <f>AI41*VLOOKUP('Données projet'!$B$10,Paramètres!$A$1:$I$89,3,0)*VLOOKUP('Données projet'!$B$10,Paramètres!$A$1:$I$89,5,0)</f>
        <v>327.01499999999993</v>
      </c>
      <c r="AK41" s="13">
        <f t="shared" si="35"/>
        <v>76.811113612871907</v>
      </c>
      <c r="AL41" s="20">
        <f t="shared" si="4"/>
        <v>703.33048120908506</v>
      </c>
      <c r="AM41" s="59">
        <f t="shared" si="5"/>
        <v>996.66381454241832</v>
      </c>
      <c r="AN41" s="59">
        <f ca="1">AVERAGE(OFFSET($AM$3,0,0,'Données projet'!$E$10+1,1))-AVERAGE(OFFSET($H$3,0,0,'Données projet'!$E$10+1,1))</f>
        <v>544.48194192356823</v>
      </c>
      <c r="AO41" s="59">
        <f t="shared" si="36"/>
        <v>668.20427590250733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6.2656842111719211</v>
      </c>
      <c r="AV41" s="21">
        <f>EXP(-LN(2)/25)*AV40+(1-EXP(-LN(2)/25))/(LN(2)/25)*Calculateur!AQ41*Calculateur!AS41*VLOOKUP('Données projet'!$B$10,Paramètres!$A$1:$I$89,3,0)*0.475*44/12</f>
        <v>34.135368730700897</v>
      </c>
      <c r="AW41" s="21">
        <f>EXP(-LN(2)/2)*AW40+(1-EXP(-LN(2)/2))/(LN(2)/2)*AQ41*AT41*VLOOKUP('Données projet'!$B$10,Paramètres!$A$1:$I$89,3,0)*0.475*44/12</f>
        <v>0.9011223602961026</v>
      </c>
      <c r="AX41" s="21">
        <f t="shared" si="6"/>
        <v>41.302175302168919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11.2</v>
      </c>
      <c r="BD41" s="12">
        <f>IF('Données projet'!$A$88&gt;35,BD40+BC41-BL40,IF(A41&lt;'Données projet'!$A$88,$BA$205^A41,IF(A41='Données projet'!$A$88,'Données projet'!$B$88,BD40+BC41-BL40)))</f>
        <v>152.60000000000002</v>
      </c>
      <c r="BE41" s="13">
        <f>BD41*VLOOKUP('Données projet'!$B$11,Paramètres!$A$1:$I$89,3,0)*VLOOKUP('Données projet'!$B$11,Paramètres!$A$1:$I$89,5,0)</f>
        <v>138.07248000000001</v>
      </c>
      <c r="BF41" s="13">
        <f t="shared" si="37"/>
        <v>35.85508207677799</v>
      </c>
      <c r="BG41" s="20">
        <f t="shared" si="7"/>
        <v>302.9238372837217</v>
      </c>
      <c r="BH41" s="59">
        <f t="shared" si="8"/>
        <v>596.25717061705495</v>
      </c>
      <c r="BI41" s="59">
        <f ca="1">AVERAGE(OFFSET($BH$3,0,0,'Données projet'!$E$11+1,1))-AVERAGE(OFFSET($H$3,0,0,'Données projet'!$E$11+1,1))</f>
        <v>405.7176439604217</v>
      </c>
      <c r="BJ41" s="59">
        <f t="shared" si="38"/>
        <v>278.21741231699929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6.2376083131665645</v>
      </c>
      <c r="BQ41" s="21">
        <f>EXP(-LN(2)/25)*BQ40+(1-EXP(-LN(2)/25))/(LN(2)/25)*Calculateur!BL41*Calculateur!BN41*VLOOKUP('Données projet'!$B$11,Paramètres!$A$1:$I$89,3,0)*0.475*44/12</f>
        <v>7.5018320554186086</v>
      </c>
      <c r="BR41" s="21">
        <f>EXP(-LN(2)/2)*BR40+(1-EXP(-LN(2)/2))/(LN(2)/2)*BL41*BO41*VLOOKUP('Données projet'!$B$11,Paramètres!$A$1:$I$89,3,0)*0.475*44/12</f>
        <v>0.53342703683360659</v>
      </c>
      <c r="BS41" s="22">
        <f t="shared" si="9"/>
        <v>14.272867405418779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9.8000000000000007</v>
      </c>
      <c r="BY41" s="12">
        <f>IF('Données projet'!$A$114&gt;35,BY40+BX41-CG40,IF(A41&lt;'Données projet'!$A$114,$BV$205^A41,IF(A41='Données projet'!$A$114,'Données projet'!$B$114,BY40+BX41-CG40)))</f>
        <v>186.40000000000006</v>
      </c>
      <c r="BZ41" s="13">
        <f>BY41*VLOOKUP('Données projet'!$B$12,Paramètres!$A$1:$I$89,3,0)*VLOOKUP('Données projet'!$B$12,Paramètres!$A$1:$I$89,5,0)</f>
        <v>162.83904000000007</v>
      </c>
      <c r="CA41" s="13">
        <f t="shared" si="39"/>
        <v>41.482211836000111</v>
      </c>
      <c r="CB41" s="20">
        <f t="shared" si="10"/>
        <v>355.85951361436696</v>
      </c>
      <c r="CC41" s="59">
        <f t="shared" si="11"/>
        <v>649.19284694770022</v>
      </c>
      <c r="CD41" s="59">
        <f ca="1">AVERAGE(OFFSET($CC$3,0,0,'Données projet'!$E$12+1,1))-AVERAGE(OFFSET($H$3,0,0,'Données projet'!$E$12+1,1))</f>
        <v>381.72225529388083</v>
      </c>
      <c r="CE41" s="59">
        <f t="shared" si="40"/>
        <v>360.05900046417361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4.1065932909179512</v>
      </c>
      <c r="CL41" s="21">
        <f>EXP(-LN(2)/25)*CL40+(1-EXP(-LN(2)/25))/(LN(2)/25)*Calculateur!CG41*Calculateur!CI41*VLOOKUP('Données projet'!$B$12,Paramètres!$A$1:$I$89,3,0)*0.475*44/12</f>
        <v>9.0361964340122984</v>
      </c>
      <c r="CM41" s="21">
        <f>EXP(-LN(2)/2)*CM40+(1-EXP(-LN(2)/2))/(LN(2)/2)*CG41*CJ41*VLOOKUP('Données projet'!$B$12,Paramètres!$A$1:$I$89,3,0)*0.475*44/12</f>
        <v>0.4373441133437494</v>
      </c>
      <c r="CN41" s="22">
        <f t="shared" si="12"/>
        <v>13.580133838274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9.6</v>
      </c>
      <c r="CT41" s="12">
        <f>IF('Données projet'!$A$140&gt;35,CT40+CS41-DB40,IF(A41&lt;'Données projet'!$A$140,$CQ$205^A41,IF(A41='Données projet'!$A$140,'Données projet'!$B$140,CT40+CS41-DB40)))</f>
        <v>172.8</v>
      </c>
      <c r="CU41" s="17">
        <f>CT41*VLOOKUP('Données projet'!$B$13,Paramètres!$A$1:$I$89,3,0)*VLOOKUP('Données projet'!$B$13,Paramètres!$A$1:$I$89,5,0)</f>
        <v>137.47968000000003</v>
      </c>
      <c r="CV41" s="13">
        <f t="shared" si="41"/>
        <v>35.719026553355249</v>
      </c>
      <c r="CW41" s="20">
        <f t="shared" si="13"/>
        <v>301.65441391376049</v>
      </c>
      <c r="CX41" s="59">
        <f t="shared" si="14"/>
        <v>594.98774724709381</v>
      </c>
      <c r="CY41" s="59">
        <f ca="1">AVERAGE(OFFSET($CX$3,0,0,'Données projet'!$E$13+1,1))-AVERAGE(OFFSET($H$3,0,0,'Données projet'!$E$13+1,1))</f>
        <v>299.10536994156814</v>
      </c>
      <c r="CZ41" s="59">
        <f t="shared" si="42"/>
        <v>292.57799203101769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7.1873903760679703</v>
      </c>
      <c r="DG41" s="21">
        <f>EXP(-LN(2)/25)*DG40+(1-EXP(-LN(2)/25))/(LN(2)/25)*Calculateur!DB41*Calculateur!DD41*VLOOKUP('Données projet'!$B$13,Paramètres!$A$1:$I$89,3,0)*0.475*44/12</f>
        <v>8.6617702643318442</v>
      </c>
      <c r="DH41" s="21">
        <f>EXP(-LN(2)/2)*DH40+(1-EXP(-LN(2)/2))/(LN(2)/2)*DB41*DE41*VLOOKUP('Données projet'!$B$13,Paramètres!$A$1:$I$89,3,0)*0.475*44/12</f>
        <v>0.56079053567656534</v>
      </c>
      <c r="DI41" s="22">
        <f t="shared" si="15"/>
        <v>16.40995117607638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8.8000000000000007</v>
      </c>
      <c r="DO41" s="12">
        <f>IF('Données projet'!$A$166&gt;35,DO40+DN41-DW40,IF(A41&lt;'Données projet'!$A$166,$DL$205^A41,IF(A41='Données projet'!$A$166,'Données projet'!$B$166,DO40+DN41-DW40)))</f>
        <v>206.4</v>
      </c>
      <c r="DP41" s="17">
        <f>DO41*VLOOKUP('Données projet'!$B$14,Paramètres!$A$1:$I$89,3,0)*VLOOKUP('Données projet'!$B$14,Paramètres!$A$1:$I$89,5,0)</f>
        <v>135.23328000000001</v>
      </c>
      <c r="DQ41" s="13">
        <f t="shared" si="43"/>
        <v>35.202825080004438</v>
      </c>
      <c r="DR41" s="20">
        <f t="shared" si="16"/>
        <v>296.842883014341</v>
      </c>
      <c r="DS41" s="59">
        <f t="shared" si="17"/>
        <v>590.17621634767431</v>
      </c>
      <c r="DT41" s="59">
        <f ca="1">AVERAGE(OFFSET($DS$3,0,0,'Données projet'!$E$14+1,1))-AVERAGE(OFFSET($H$3,0,0,'Données projet'!$E$14+1,1))</f>
        <v>295.92103934364718</v>
      </c>
      <c r="DU41" s="59">
        <f t="shared" si="44"/>
        <v>304.84379909635476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3.8068198330805383</v>
      </c>
      <c r="EB41" s="21">
        <f>EXP(-LN(2)/25)*EB40+(1-EXP(-LN(2)/25))/(LN(2)/25)*Calculateur!DW41*Calculateur!DY41*VLOOKUP('Données projet'!$B$14,Paramètres!$A$1:$I$89,3,0)*0.475*44/12</f>
        <v>5.729372867041147</v>
      </c>
      <c r="EC41" s="21">
        <f>EXP(-LN(2)/2)*EC40+(1-EXP(-LN(2)/2))/(LN(2)/2)*DW41*DZ41*VLOOKUP('Données projet'!$B$14,Paramètres!$A$1:$I$89,3,0)*0.475*44/12</f>
        <v>0.35966965634207593</v>
      </c>
      <c r="ED41" s="22">
        <f t="shared" si="18"/>
        <v>9.8958623564637609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10</v>
      </c>
      <c r="N42" s="13">
        <f>IF('Données projet'!$A$36&gt;35,N41+M42-V41,IF(A42&lt;'Données projet'!$A$36,$K$205^A42,IF(A42='Données projet'!$A$36,'Données projet'!$B$36,N41+M42-V41)))</f>
        <v>233.49999999999989</v>
      </c>
      <c r="O42" s="13">
        <f>N42*VLOOKUP('Données projet'!$B$9,Paramètres!$A$1:$I$89,3,0)*VLOOKUP('Données projet'!$B$9,Paramètres!$A$1:$I$89,5,0)</f>
        <v>109.27799999999995</v>
      </c>
      <c r="P42" s="13">
        <f t="shared" si="33"/>
        <v>29.160810599699261</v>
      </c>
      <c r="Q42" s="20">
        <f t="shared" si="53"/>
        <v>241.11426179447608</v>
      </c>
      <c r="R42" s="59">
        <f t="shared" si="0"/>
        <v>534.44759512780934</v>
      </c>
      <c r="S42" s="59">
        <f ca="1">AVERAGE(OFFSET($R$3,0,0,'Données projet'!$E$9+1,1))-AVERAGE(OFFSET($H$3,0,0,'Données projet'!$E$9+1,1))</f>
        <v>319.22903094674564</v>
      </c>
      <c r="T42" s="59">
        <f t="shared" si="34"/>
        <v>254.58690973142848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7.5944227967780238</v>
      </c>
      <c r="AA42" s="21">
        <f>EXP(-LN(2)/25)*AA41+(1-EXP(-LN(2)/25))/(LN(2)/25)*Calculateur!V42*Calculateur!X42*VLOOKUP('Données projet'!$B$9,Paramètres!$A$1:$I$89,3,0)*0.475*44/12</f>
        <v>8.6887137292968486</v>
      </c>
      <c r="AB42" s="21">
        <f>EXP(-LN(2)/2)*AB41+(1-EXP(-LN(2)/2))/(LN(2)/2)*V42*Y42*VLOOKUP('Données projet'!$B$9,Paramètres!$A$1:$I$89,3,0)*0.475*44/12</f>
        <v>0.48804194683773744</v>
      </c>
      <c r="AC42" s="22">
        <f t="shared" si="3"/>
        <v>16.771178472912609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27</v>
      </c>
      <c r="AI42" s="13">
        <f>IF('Données projet'!$A$62&gt;35,AI41+AH42-AQ41,IF(A42&lt;'Données projet'!$A$62,$AF$205^A42,IF(A42='Données projet'!$A$62,'Données projet'!$B$62,AI41+AH42-AQ41)))</f>
        <v>611.99999999999989</v>
      </c>
      <c r="AJ42" s="13">
        <f>AI42*VLOOKUP('Données projet'!$B$10,Paramètres!$A$1:$I$89,3,0)*VLOOKUP('Données projet'!$B$10,Paramètres!$A$1:$I$89,5,0)</f>
        <v>342.10799999999995</v>
      </c>
      <c r="AK42" s="13">
        <f t="shared" si="35"/>
        <v>79.935315774430151</v>
      </c>
      <c r="AL42" s="20">
        <f t="shared" si="4"/>
        <v>735.0587749737989</v>
      </c>
      <c r="AM42" s="59">
        <f t="shared" si="5"/>
        <v>1028.3921083071323</v>
      </c>
      <c r="AN42" s="59">
        <f ca="1">AVERAGE(OFFSET($AM$3,0,0,'Données projet'!$E$10+1,1))-AVERAGE(OFFSET($H$3,0,0,'Données projet'!$E$10+1,1))</f>
        <v>544.48194192356823</v>
      </c>
      <c r="AO42" s="59">
        <f t="shared" si="36"/>
        <v>668.20427590250733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6.1428179654808481</v>
      </c>
      <c r="AV42" s="21">
        <f>EXP(-LN(2)/25)*AV41+(1-EXP(-LN(2)/25))/(LN(2)/25)*Calculateur!AQ42*Calculateur!AS42*VLOOKUP('Données projet'!$B$10,Paramètres!$A$1:$I$89,3,0)*0.475*44/12</f>
        <v>33.201935277658855</v>
      </c>
      <c r="AW42" s="21">
        <f>EXP(-LN(2)/2)*AW41+(1-EXP(-LN(2)/2))/(LN(2)/2)*AQ42*AT42*VLOOKUP('Données projet'!$B$10,Paramètres!$A$1:$I$89,3,0)*0.475*44/12</f>
        <v>0.63718973164420145</v>
      </c>
      <c r="AX42" s="21">
        <f t="shared" si="6"/>
        <v>39.981942974783905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11.2</v>
      </c>
      <c r="BD42" s="12">
        <f>IF('Données projet'!$A$88&gt;35,BD41+BC42-BL41,IF(A42&lt;'Données projet'!$A$88,$BA$205^A42,IF(A42='Données projet'!$A$88,'Données projet'!$B$88,BD41+BC42-BL41)))</f>
        <v>163.80000000000001</v>
      </c>
      <c r="BE42" s="13">
        <f>BD42*VLOOKUP('Données projet'!$B$11,Paramètres!$A$1:$I$89,3,0)*VLOOKUP('Données projet'!$B$11,Paramètres!$A$1:$I$89,5,0)</f>
        <v>148.20624000000001</v>
      </c>
      <c r="BF42" s="13">
        <f t="shared" si="37"/>
        <v>38.170662245893794</v>
      </c>
      <c r="BG42" s="20">
        <f t="shared" si="7"/>
        <v>324.60643807826506</v>
      </c>
      <c r="BH42" s="59">
        <f t="shared" si="8"/>
        <v>617.93977141159837</v>
      </c>
      <c r="BI42" s="59">
        <f ca="1">AVERAGE(OFFSET($BH$3,0,0,'Données projet'!$E$11+1,1))-AVERAGE(OFFSET($H$3,0,0,'Données projet'!$E$11+1,1))</f>
        <v>405.7176439604217</v>
      </c>
      <c r="BJ42" s="59">
        <f t="shared" si="38"/>
        <v>278.21741231699929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6.1152926187107699</v>
      </c>
      <c r="BQ42" s="21">
        <f>EXP(-LN(2)/25)*BQ41+(1-EXP(-LN(2)/25))/(LN(2)/25)*Calculateur!BL42*Calculateur!BN42*VLOOKUP('Données projet'!$B$11,Paramètres!$A$1:$I$89,3,0)*0.475*44/12</f>
        <v>7.2966940633589843</v>
      </c>
      <c r="BR42" s="21">
        <f>EXP(-LN(2)/2)*BR41+(1-EXP(-LN(2)/2))/(LN(2)/2)*BL42*BO42*VLOOKUP('Données projet'!$B$11,Paramètres!$A$1:$I$89,3,0)*0.475*44/12</f>
        <v>0.37718987501328949</v>
      </c>
      <c r="BS42" s="22">
        <f t="shared" si="9"/>
        <v>13.789176557083044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9.8000000000000007</v>
      </c>
      <c r="BY42" s="12">
        <f>IF('Données projet'!$A$114&gt;35,BY41+BX42-CG41,IF(A42&lt;'Données projet'!$A$114,$BV$205^A42,IF(A42='Données projet'!$A$114,'Données projet'!$B$114,BY41+BX42-CG41)))</f>
        <v>196.20000000000007</v>
      </c>
      <c r="BZ42" s="13">
        <f>BY42*VLOOKUP('Données projet'!$B$12,Paramètres!$A$1:$I$89,3,0)*VLOOKUP('Données projet'!$B$12,Paramètres!$A$1:$I$89,5,0)</f>
        <v>171.40032000000011</v>
      </c>
      <c r="CA42" s="13">
        <f t="shared" si="39"/>
        <v>43.40349878862115</v>
      </c>
      <c r="CB42" s="20">
        <f t="shared" si="10"/>
        <v>374.11665105684864</v>
      </c>
      <c r="CC42" s="59">
        <f t="shared" si="11"/>
        <v>667.44998439018195</v>
      </c>
      <c r="CD42" s="59">
        <f ca="1">AVERAGE(OFFSET($CC$3,0,0,'Données projet'!$E$12+1,1))-AVERAGE(OFFSET($H$3,0,0,'Données projet'!$E$12+1,1))</f>
        <v>381.72225529388083</v>
      </c>
      <c r="CE42" s="59">
        <f t="shared" si="40"/>
        <v>360.05900046417361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4.0260655012576319</v>
      </c>
      <c r="CL42" s="21">
        <f>EXP(-LN(2)/25)*CL41+(1-EXP(-LN(2)/25))/(LN(2)/25)*Calculateur!CG42*Calculateur!CI42*VLOOKUP('Données projet'!$B$12,Paramètres!$A$1:$I$89,3,0)*0.475*44/12</f>
        <v>8.7891011673313137</v>
      </c>
      <c r="CM42" s="21">
        <f>EXP(-LN(2)/2)*CM41+(1-EXP(-LN(2)/2))/(LN(2)/2)*CG42*CJ42*VLOOKUP('Données projet'!$B$12,Paramètres!$A$1:$I$89,3,0)*0.475*44/12</f>
        <v>0.30924898825738328</v>
      </c>
      <c r="CN42" s="22">
        <f t="shared" si="12"/>
        <v>13.124415656846329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9.6</v>
      </c>
      <c r="CT42" s="12">
        <f>IF('Données projet'!$A$140&gt;35,CT41+CS42-DB41,IF(A42&lt;'Données projet'!$A$140,$CQ$205^A42,IF(A42='Données projet'!$A$140,'Données projet'!$B$140,CT41+CS42-DB41)))</f>
        <v>182.4</v>
      </c>
      <c r="CU42" s="17">
        <f>CT42*VLOOKUP('Données projet'!$B$13,Paramètres!$A$1:$I$89,3,0)*VLOOKUP('Données projet'!$B$13,Paramètres!$A$1:$I$89,5,0)</f>
        <v>145.11744000000002</v>
      </c>
      <c r="CV42" s="13">
        <f t="shared" si="41"/>
        <v>37.466878406916173</v>
      </c>
      <c r="CW42" s="20">
        <f t="shared" si="13"/>
        <v>318.00102122537902</v>
      </c>
      <c r="CX42" s="59">
        <f t="shared" si="14"/>
        <v>611.33435455871233</v>
      </c>
      <c r="CY42" s="59">
        <f ca="1">AVERAGE(OFFSET($CX$3,0,0,'Données projet'!$E$13+1,1))-AVERAGE(OFFSET($H$3,0,0,'Données projet'!$E$13+1,1))</f>
        <v>299.10536994156814</v>
      </c>
      <c r="CZ42" s="59">
        <f t="shared" si="42"/>
        <v>292.57799203101769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7.0464500346685348</v>
      </c>
      <c r="DG42" s="21">
        <f>EXP(-LN(2)/25)*DG41+(1-EXP(-LN(2)/25))/(LN(2)/25)*Calculateur!DB42*Calculateur!DD42*VLOOKUP('Données projet'!$B$13,Paramètres!$A$1:$I$89,3,0)*0.475*44/12</f>
        <v>8.424913700950988</v>
      </c>
      <c r="DH42" s="21">
        <f>EXP(-LN(2)/2)*DH41+(1-EXP(-LN(2)/2))/(LN(2)/2)*DB42*DE42*VLOOKUP('Données projet'!$B$13,Paramètres!$A$1:$I$89,3,0)*0.475*44/12</f>
        <v>0.39653879060213587</v>
      </c>
      <c r="DI42" s="22">
        <f t="shared" si="15"/>
        <v>15.867902526221659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8.8000000000000007</v>
      </c>
      <c r="DO42" s="12">
        <f>IF('Données projet'!$A$166&gt;35,DO41+DN42-DW41,IF(A42&lt;'Données projet'!$A$166,$DL$205^A42,IF(A42='Données projet'!$A$166,'Données projet'!$B$166,DO41+DN42-DW41)))</f>
        <v>215.20000000000002</v>
      </c>
      <c r="DP42" s="17">
        <f>DO42*VLOOKUP('Données projet'!$B$14,Paramètres!$A$1:$I$89,3,0)*VLOOKUP('Données projet'!$B$14,Paramètres!$A$1:$I$89,5,0)</f>
        <v>140.99904000000001</v>
      </c>
      <c r="DQ42" s="13">
        <f t="shared" si="43"/>
        <v>36.525776729948824</v>
      </c>
      <c r="DR42" s="20">
        <f t="shared" si="16"/>
        <v>309.18905580466088</v>
      </c>
      <c r="DS42" s="59">
        <f t="shared" si="17"/>
        <v>602.5223891379942</v>
      </c>
      <c r="DT42" s="59">
        <f ca="1">AVERAGE(OFFSET($DS$3,0,0,'Données projet'!$E$14+1,1))-AVERAGE(OFFSET($H$3,0,0,'Données projet'!$E$14+1,1))</f>
        <v>295.92103934364718</v>
      </c>
      <c r="DU42" s="59">
        <f t="shared" si="44"/>
        <v>304.84379909635476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3.7321704180846553</v>
      </c>
      <c r="EB42" s="21">
        <f>EXP(-LN(2)/25)*EB41+(1-EXP(-LN(2)/25))/(LN(2)/25)*Calculateur!DW42*Calculateur!DY42*VLOOKUP('Données projet'!$B$14,Paramètres!$A$1:$I$89,3,0)*0.475*44/12</f>
        <v>5.5727028646972823</v>
      </c>
      <c r="EC42" s="21">
        <f>EXP(-LN(2)/2)*EC41+(1-EXP(-LN(2)/2))/(LN(2)/2)*DW42*DZ42*VLOOKUP('Données projet'!$B$14,Paramètres!$A$1:$I$89,3,0)*0.475*44/12</f>
        <v>0.25432485298651702</v>
      </c>
      <c r="ED42" s="22">
        <f t="shared" si="18"/>
        <v>9.5591981357684546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243.5</v>
      </c>
      <c r="L43" s="12">
        <f>VLOOKUP(A43,'Données projet'!$A$35:$I$55,9,0)</f>
        <v>10</v>
      </c>
      <c r="M43" s="12">
        <f t="array" ref="M43">INDEX(L:L,MIN(IF(ISNUMBER(L43:L239),ROW(L43:L239),"")))</f>
        <v>10</v>
      </c>
      <c r="N43" s="13">
        <f>IF('Données projet'!$A$36&gt;35,N42+M43-V42,IF(A43&lt;'Données projet'!$A$36,$K$205^A43,IF(A43='Données projet'!$A$36,'Données projet'!$B$36,N42+M43-V42)))</f>
        <v>243.49999999999989</v>
      </c>
      <c r="O43" s="13">
        <f>N43*VLOOKUP('Données projet'!$B$9,Paramètres!$A$1:$I$89,3,0)*VLOOKUP('Données projet'!$B$9,Paramètres!$A$1:$I$89,5,0)</f>
        <v>113.95799999999994</v>
      </c>
      <c r="P43" s="13">
        <f t="shared" si="33"/>
        <v>30.261593043834445</v>
      </c>
      <c r="Q43" s="20">
        <f t="shared" si="53"/>
        <v>251.1824578846782</v>
      </c>
      <c r="R43" s="59">
        <f t="shared" si="0"/>
        <v>544.51579121801149</v>
      </c>
      <c r="S43" s="59">
        <f ca="1">AVERAGE(OFFSET($R$3,0,0,'Données projet'!$E$9+1,1))-AVERAGE(OFFSET($H$3,0,0,'Données projet'!$E$9+1,1))</f>
        <v>319.22903094674564</v>
      </c>
      <c r="T43" s="59">
        <f t="shared" si="34"/>
        <v>254.58690973142848</v>
      </c>
      <c r="U43" s="15">
        <f>IF(ISNA(VLOOKUP(A43,'Données projet'!$A$35:$I$55,3,0)),0,VLOOKUP(A43,'Données projet'!$A$35:$I$55,3,0))</f>
        <v>3</v>
      </c>
      <c r="V43" s="15">
        <f>IF(ISNA(VLOOKUP(A43,'Données projet'!$A$35:$I$55,4,0)),0,VLOOKUP(A43,'Données projet'!$A$35:$I$55,4,0))</f>
        <v>70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7.4455007978737271</v>
      </c>
      <c r="AA43" s="21">
        <f>EXP(-LN(2)/25)*AA42+(1-EXP(-LN(2)/25))/(LN(2)/25)*Calculateur!V43*Calculateur!X43*VLOOKUP('Données projet'!$B$9,Paramètres!$A$1:$I$89,3,0)*0.475*44/12</f>
        <v>8.4511203954496299</v>
      </c>
      <c r="AB43" s="21">
        <f>EXP(-LN(2)/2)*AB42+(1-EXP(-LN(2)/2))/(LN(2)/2)*V43*Y43*VLOOKUP('Données projet'!$B$9,Paramètres!$A$1:$I$89,3,0)*0.475*44/12</f>
        <v>0.34509777011244869</v>
      </c>
      <c r="AC43" s="22">
        <f t="shared" si="3"/>
        <v>16.241718963435805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639</v>
      </c>
      <c r="AG43" s="12">
        <f>VLOOKUP(A43,'Données projet'!$A$61:$I$81,9,0)</f>
        <v>27</v>
      </c>
      <c r="AH43" s="12">
        <f t="array" ref="AH43">INDEX(AG:AG,MIN(IF(ISNUMBER(AG43:AG239),ROW(AG43:AG239),"")))</f>
        <v>27</v>
      </c>
      <c r="AI43" s="13">
        <f>IF('Données projet'!$A$62&gt;35,AI42+AH43-AQ42,IF(A43&lt;'Données projet'!$A$62,$AF$205^A43,IF(A43='Données projet'!$A$62,'Données projet'!$B$62,AI42+AH43-AQ42)))</f>
        <v>638.99999999999989</v>
      </c>
      <c r="AJ43" s="13">
        <f>AI43*VLOOKUP('Données projet'!$B$10,Paramètres!$A$1:$I$89,3,0)*VLOOKUP('Données projet'!$B$10,Paramètres!$A$1:$I$89,5,0)</f>
        <v>357.20099999999991</v>
      </c>
      <c r="AK43" s="13">
        <f t="shared" si="35"/>
        <v>83.043509879488369</v>
      </c>
      <c r="AL43" s="20">
        <f t="shared" si="4"/>
        <v>766.75918804010871</v>
      </c>
      <c r="AM43" s="59">
        <f t="shared" si="5"/>
        <v>1060.092521373442</v>
      </c>
      <c r="AN43" s="59">
        <f ca="1">AVERAGE(OFFSET($AM$3,0,0,'Données projet'!$E$10+1,1))-AVERAGE(OFFSET($H$3,0,0,'Données projet'!$E$10+1,1))</f>
        <v>544.48194192356823</v>
      </c>
      <c r="AO43" s="59">
        <f t="shared" si="36"/>
        <v>668.20427590250733</v>
      </c>
      <c r="AP43" s="15">
        <f>IF(ISNA(VLOOKUP(A43,'Données projet'!$A$61:$I$81,3,0)),0,VLOOKUP(A43,'Données projet'!$A$61:$I$81,3,0))</f>
        <v>5</v>
      </c>
      <c r="AQ43" s="15">
        <f>IF(ISNA(VLOOKUP(A43,'Données projet'!$A$61:$I$81,4,0)),0,VLOOKUP(A43,'Données projet'!$A$61:$I$81,4,0))</f>
        <v>77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6.022361051926767</v>
      </c>
      <c r="AV43" s="21">
        <f>EXP(-LN(2)/25)*AV42+(1-EXP(-LN(2)/25))/(LN(2)/25)*Calculateur!AQ43*Calculateur!AS43*VLOOKUP('Données projet'!$B$10,Paramètres!$A$1:$I$89,3,0)*0.475*44/12</f>
        <v>32.294026611477378</v>
      </c>
      <c r="AW43" s="21">
        <f>EXP(-LN(2)/2)*AW42+(1-EXP(-LN(2)/2))/(LN(2)/2)*AQ43*AT43*VLOOKUP('Données projet'!$B$10,Paramètres!$A$1:$I$89,3,0)*0.475*44/12</f>
        <v>0.4505611801480513</v>
      </c>
      <c r="AX43" s="21">
        <f t="shared" si="6"/>
        <v>38.766948843552193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175</v>
      </c>
      <c r="BB43" s="12">
        <f>VLOOKUP(A43,'Données projet'!$A$87:$I$107,9,0)</f>
        <v>11.2</v>
      </c>
      <c r="BC43" s="12">
        <f t="array" ref="BC43">INDEX(BB:BB,MIN(IF(ISNUMBER(BB43:BB239),ROW(BB43:BB239),"")))</f>
        <v>11.2</v>
      </c>
      <c r="BD43" s="12">
        <f>IF('Données projet'!$A$88&gt;35,BD42+BC43-BL42,IF(A43&lt;'Données projet'!$A$88,$BA$205^A43,IF(A43='Données projet'!$A$88,'Données projet'!$B$88,BD42+BC43-BL42)))</f>
        <v>175</v>
      </c>
      <c r="BE43" s="13">
        <f>BD43*VLOOKUP('Données projet'!$B$11,Paramètres!$A$1:$I$89,3,0)*VLOOKUP('Données projet'!$B$11,Paramètres!$A$1:$I$89,5,0)</f>
        <v>158.34</v>
      </c>
      <c r="BF43" s="13">
        <f t="shared" si="37"/>
        <v>40.467870812652819</v>
      </c>
      <c r="BG43" s="20">
        <f t="shared" si="7"/>
        <v>346.25704166537031</v>
      </c>
      <c r="BH43" s="59">
        <f t="shared" si="8"/>
        <v>639.59037499870362</v>
      </c>
      <c r="BI43" s="59">
        <f ca="1">AVERAGE(OFFSET($BH$3,0,0,'Données projet'!$E$11+1,1))-AVERAGE(OFFSET($H$3,0,0,'Données projet'!$E$11+1,1))</f>
        <v>405.7176439604217</v>
      </c>
      <c r="BJ43" s="59">
        <f t="shared" si="38"/>
        <v>278.21741231699929</v>
      </c>
      <c r="BK43" s="15">
        <f>IF(ISNA(VLOOKUP(A43,'Données projet'!$A$87:$I$107,3,0)),0,VLOOKUP(A43,'Données projet'!$A$87:$I$107,3,0))</f>
        <v>5</v>
      </c>
      <c r="BL43" s="15">
        <f>IF(ISNA(VLOOKUP(A43,'Données projet'!$A$87:$I$107,4,0)),0,VLOOKUP(A43,'Données projet'!$A$87:$I$107,4,0))</f>
        <v>28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5.995375460418046</v>
      </c>
      <c r="BQ43" s="21">
        <f>EXP(-LN(2)/25)*BQ42+(1-EXP(-LN(2)/25))/(LN(2)/25)*Calculateur!BL43*Calculateur!BN43*VLOOKUP('Données projet'!$B$11,Paramètres!$A$1:$I$89,3,0)*0.475*44/12</f>
        <v>7.0971655804799685</v>
      </c>
      <c r="BR43" s="21">
        <f>EXP(-LN(2)/2)*BR42+(1-EXP(-LN(2)/2))/(LN(2)/2)*BL43*BO43*VLOOKUP('Données projet'!$B$11,Paramètres!$A$1:$I$89,3,0)*0.475*44/12</f>
        <v>0.2667135184168033</v>
      </c>
      <c r="BS43" s="22">
        <f t="shared" si="9"/>
        <v>13.359254559314818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206</v>
      </c>
      <c r="BW43" s="12">
        <f>VLOOKUP(A43,'Données projet'!$A$113:$I$133,9,0)</f>
        <v>9.8000000000000007</v>
      </c>
      <c r="BX43" s="12">
        <f t="array" ref="BX43">INDEX(BW:BW,MIN(IF(ISNUMBER(BW43:BW239),ROW(BW43:BW239),"")))</f>
        <v>9.8000000000000007</v>
      </c>
      <c r="BY43" s="12">
        <f>IF('Données projet'!$A$114&gt;35,BY42+BX43-CG42,IF(A43&lt;'Données projet'!$A$114,$BV$205^A43,IF(A43='Données projet'!$A$114,'Données projet'!$B$114,BY42+BX43-CG42)))</f>
        <v>206.00000000000009</v>
      </c>
      <c r="BZ43" s="13">
        <f>BY43*VLOOKUP('Données projet'!$B$12,Paramètres!$A$1:$I$89,3,0)*VLOOKUP('Données projet'!$B$12,Paramètres!$A$1:$I$89,5,0)</f>
        <v>179.96160000000009</v>
      </c>
      <c r="CA43" s="13">
        <f t="shared" si="39"/>
        <v>45.313642767960104</v>
      </c>
      <c r="CB43" s="20">
        <f t="shared" si="10"/>
        <v>392.35438115419737</v>
      </c>
      <c r="CC43" s="59">
        <f t="shared" si="11"/>
        <v>685.68771448753068</v>
      </c>
      <c r="CD43" s="59">
        <f ca="1">AVERAGE(OFFSET($CC$3,0,0,'Données projet'!$E$12+1,1))-AVERAGE(OFFSET($H$3,0,0,'Données projet'!$E$12+1,1))</f>
        <v>381.72225529388083</v>
      </c>
      <c r="CE43" s="59">
        <f t="shared" si="40"/>
        <v>360.05900046417361</v>
      </c>
      <c r="CF43" s="15">
        <f>IF(ISNA(VLOOKUP(A43,'Données projet'!$A$113:$I$133,3,0)),0,VLOOKUP(A43,'Données projet'!$A$113:$I$133,3,0))</f>
        <v>6</v>
      </c>
      <c r="CG43" s="15">
        <f>IF(ISNA(VLOOKUP(A43,'Données projet'!$A$113:$I$133,4,0)),0,VLOOKUP(A43,'Données projet'!$A$113:$I$133,4,0))</f>
        <v>31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3.9471168124354494</v>
      </c>
      <c r="CL43" s="21">
        <f>EXP(-LN(2)/25)*CL42+(1-EXP(-LN(2)/25))/(LN(2)/25)*Calculateur!CG43*Calculateur!CI43*VLOOKUP('Données projet'!$B$12,Paramètres!$A$1:$I$89,3,0)*0.475*44/12</f>
        <v>8.5487627337118965</v>
      </c>
      <c r="CM43" s="21">
        <f>EXP(-LN(2)/2)*CM42+(1-EXP(-LN(2)/2))/(LN(2)/2)*CG43*CJ43*VLOOKUP('Données projet'!$B$12,Paramètres!$A$1:$I$89,3,0)*0.475*44/12</f>
        <v>0.21867205667187475</v>
      </c>
      <c r="CN43" s="22">
        <f t="shared" si="12"/>
        <v>12.71455160281922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192</v>
      </c>
      <c r="CR43" s="12">
        <f>VLOOKUP(A43,'Données projet'!$A$139:$I$159,9,0)</f>
        <v>9.6</v>
      </c>
      <c r="CS43" s="12">
        <f t="array" ref="CS43">INDEX(CR:CR,MIN(IF(ISNUMBER(CR43:CR239),ROW(CR43:CR239),"")))</f>
        <v>9.6</v>
      </c>
      <c r="CT43" s="12">
        <f>IF('Données projet'!$A$140&gt;35,CT42+CS43-DB42,IF(A43&lt;'Données projet'!$A$140,$CQ$205^A43,IF(A43='Données projet'!$A$140,'Données projet'!$B$140,CT42+CS43-DB42)))</f>
        <v>192</v>
      </c>
      <c r="CU43" s="17">
        <f>CT43*VLOOKUP('Données projet'!$B$13,Paramètres!$A$1:$I$89,3,0)*VLOOKUP('Données projet'!$B$13,Paramètres!$A$1:$I$89,5,0)</f>
        <v>152.7552</v>
      </c>
      <c r="CV43" s="13">
        <f t="shared" si="41"/>
        <v>39.204049895729561</v>
      </c>
      <c r="CW43" s="20">
        <f t="shared" si="13"/>
        <v>334.32902690172892</v>
      </c>
      <c r="CX43" s="59">
        <f t="shared" si="14"/>
        <v>627.66236023506224</v>
      </c>
      <c r="CY43" s="59">
        <f ca="1">AVERAGE(OFFSET($CX$3,0,0,'Données projet'!$E$13+1,1))-AVERAGE(OFFSET($H$3,0,0,'Données projet'!$E$13+1,1))</f>
        <v>299.10536994156814</v>
      </c>
      <c r="CZ43" s="59">
        <f t="shared" si="42"/>
        <v>292.57799203101769</v>
      </c>
      <c r="DA43" s="15">
        <f>IF(ISNA(VLOOKUP(A43,'Données projet'!$A$139:$I$159,3,0)),0,VLOOKUP(A43,'Données projet'!$A$139:$I$159,3,0))</f>
        <v>6</v>
      </c>
      <c r="DB43" s="15">
        <f>IF(ISNA(VLOOKUP(A43,'Données projet'!$A$139:$I$159,4,0)),0,VLOOKUP(A43,'Données projet'!$A$139:$I$159,4,0))</f>
        <v>28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6.9082734473988223</v>
      </c>
      <c r="DG43" s="21">
        <f>EXP(-LN(2)/25)*DG42+(1-EXP(-LN(2)/25))/(LN(2)/25)*Calculateur!DB43*Calculateur!DD43*VLOOKUP('Données projet'!$B$13,Paramètres!$A$1:$I$89,3,0)*0.475*44/12</f>
        <v>8.1945339927515271</v>
      </c>
      <c r="DH43" s="21">
        <f>EXP(-LN(2)/2)*DH42+(1-EXP(-LN(2)/2))/(LN(2)/2)*DB43*DE43*VLOOKUP('Données projet'!$B$13,Paramètres!$A$1:$I$89,3,0)*0.475*44/12</f>
        <v>0.28039526783828267</v>
      </c>
      <c r="DI43" s="22">
        <f t="shared" si="15"/>
        <v>15.383202707988634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>
        <f>VLOOKUP(A43,'Données projet'!$A$165:$I$185,2,0)</f>
        <v>224</v>
      </c>
      <c r="DM43" s="12">
        <f>VLOOKUP(A43,'Données projet'!$A$165:$I$185,9,0)</f>
        <v>8.8000000000000007</v>
      </c>
      <c r="DN43" s="12">
        <f t="array" ref="DN43">INDEX(DM:DM,MIN(IF(ISNUMBER(DM43:DM239),ROW(DM43:DM239),"")))</f>
        <v>8.8000000000000007</v>
      </c>
      <c r="DO43" s="12">
        <f>IF('Données projet'!$A$166&gt;35,DO42+DN43-DW42,IF(A43&lt;'Données projet'!$A$166,$DL$205^A43,IF(A43='Données projet'!$A$166,'Données projet'!$B$166,DO42+DN43-DW42)))</f>
        <v>224.00000000000003</v>
      </c>
      <c r="DP43" s="17">
        <f>DO43*VLOOKUP('Données projet'!$B$14,Paramètres!$A$1:$I$89,3,0)*VLOOKUP('Données projet'!$B$14,Paramètres!$A$1:$I$89,5,0)</f>
        <v>146.76480000000004</v>
      </c>
      <c r="DQ43" s="13">
        <f t="shared" si="43"/>
        <v>37.842444439956665</v>
      </c>
      <c r="DR43" s="20">
        <f t="shared" si="16"/>
        <v>321.52428406625791</v>
      </c>
      <c r="DS43" s="59">
        <f t="shared" si="17"/>
        <v>614.85761739959116</v>
      </c>
      <c r="DT43" s="59">
        <f ca="1">AVERAGE(OFFSET($DS$3,0,0,'Données projet'!$E$14+1,1))-AVERAGE(OFFSET($H$3,0,0,'Données projet'!$E$14+1,1))</f>
        <v>295.92103934364718</v>
      </c>
      <c r="DU43" s="59">
        <f t="shared" si="44"/>
        <v>304.84379909635476</v>
      </c>
      <c r="DV43" s="15">
        <f>IF(ISNA(VLOOKUP(A43,'Données projet'!$A$165:$I$185,3,0)),0,VLOOKUP(A43,'Données projet'!$A$165:$I$185,3,0))</f>
        <v>7</v>
      </c>
      <c r="DW43" s="15">
        <f>IF(ISNA(VLOOKUP(A43,'Données projet'!$A$165:$I$185,4,0)),0,VLOOKUP(A43,'Données projet'!$A$165:$I$185,4,0))</f>
        <v>28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3.6589848325851944</v>
      </c>
      <c r="EB43" s="21">
        <f>EXP(-LN(2)/25)*EB42+(1-EXP(-LN(2)/25))/(LN(2)/25)*Calculateur!DW43*Calculateur!DY43*VLOOKUP('Données projet'!$B$14,Paramètres!$A$1:$I$89,3,0)*0.475*44/12</f>
        <v>5.4203170118064277</v>
      </c>
      <c r="EC43" s="21">
        <f>EXP(-LN(2)/2)*EC42+(1-EXP(-LN(2)/2))/(LN(2)/2)*DW43*DZ43*VLOOKUP('Données projet'!$B$14,Paramètres!$A$1:$I$89,3,0)*0.475*44/12</f>
        <v>0.17983482817103796</v>
      </c>
      <c r="ED43" s="22">
        <f t="shared" si="18"/>
        <v>9.2591366725626596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11.5</v>
      </c>
      <c r="N44" s="13">
        <f>IF('Données projet'!$A$36&gt;35,N43+M44-V43,IF(A44&lt;'Données projet'!$A$36,$K$205^A44,IF(A44='Données projet'!$A$36,'Données projet'!$B$36,N43+M44-V43)))</f>
        <v>184.99999999999989</v>
      </c>
      <c r="O44" s="13">
        <f>N44*VLOOKUP('Données projet'!$B$9,Paramètres!$A$1:$I$89,3,0)*VLOOKUP('Données projet'!$B$9,Paramètres!$A$1:$I$89,5,0)</f>
        <v>86.579999999999941</v>
      </c>
      <c r="P44" s="13">
        <f t="shared" si="33"/>
        <v>23.738552844733956</v>
      </c>
      <c r="Q44" s="20">
        <f t="shared" si="53"/>
        <v>192.13814620457819</v>
      </c>
      <c r="R44" s="59">
        <f t="shared" si="0"/>
        <v>485.47147953791148</v>
      </c>
      <c r="S44" s="59">
        <f ca="1">AVERAGE(OFFSET($R$3,0,0,'Données projet'!$E$9+1,1))-AVERAGE(OFFSET($H$3,0,0,'Données projet'!$E$9+1,1))</f>
        <v>319.22903094674564</v>
      </c>
      <c r="T44" s="59">
        <f t="shared" si="34"/>
        <v>254.58690973142848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7.2994990685344936</v>
      </c>
      <c r="AA44" s="21">
        <f>EXP(-LN(2)/25)*AA43+(1-EXP(-LN(2)/25))/(LN(2)/25)*Calculateur!V44*Calculateur!X44*VLOOKUP('Données projet'!$B$9,Paramètres!$A$1:$I$89,3,0)*0.475*44/12</f>
        <v>8.2200240638109534</v>
      </c>
      <c r="AB44" s="21">
        <f>EXP(-LN(2)/2)*AB43+(1-EXP(-LN(2)/2))/(LN(2)/2)*V44*Y44*VLOOKUP('Données projet'!$B$9,Paramètres!$A$1:$I$89,3,0)*0.475*44/12</f>
        <v>0.24402097341886875</v>
      </c>
      <c r="AC44" s="22">
        <f t="shared" si="3"/>
        <v>15.763544105764316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24.8</v>
      </c>
      <c r="AI44" s="13">
        <f>IF('Données projet'!$A$62&gt;35,AI43+AH44-AQ43,IF(A44&lt;'Données projet'!$A$62,$AF$205^A44,IF(A44='Données projet'!$A$62,'Données projet'!$B$62,AI43+AH44-AQ43)))</f>
        <v>586.79999999999984</v>
      </c>
      <c r="AJ44" s="13">
        <f>AI44*VLOOKUP('Données projet'!$B$10,Paramètres!$A$1:$I$89,3,0)*VLOOKUP('Données projet'!$B$10,Paramètres!$A$1:$I$89,5,0)</f>
        <v>328.02119999999991</v>
      </c>
      <c r="AK44" s="13">
        <f t="shared" si="35"/>
        <v>77.019907950957702</v>
      </c>
      <c r="AL44" s="20">
        <f t="shared" si="4"/>
        <v>705.44659634791776</v>
      </c>
      <c r="AM44" s="59">
        <f t="shared" si="5"/>
        <v>998.77992968125113</v>
      </c>
      <c r="AN44" s="59">
        <f ca="1">AVERAGE(OFFSET($AM$3,0,0,'Données projet'!$E$10+1,1))-AVERAGE(OFFSET($H$3,0,0,'Données projet'!$E$10+1,1))</f>
        <v>544.48194192356823</v>
      </c>
      <c r="AO44" s="59">
        <f t="shared" si="36"/>
        <v>668.20427590250733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5.9042662249760189</v>
      </c>
      <c r="AV44" s="21">
        <f>EXP(-LN(2)/25)*AV43+(1-EXP(-LN(2)/25))/(LN(2)/25)*Calculateur!AQ44*Calculateur!AS44*VLOOKUP('Données projet'!$B$10,Paramètres!$A$1:$I$89,3,0)*0.475*44/12</f>
        <v>31.410944755517477</v>
      </c>
      <c r="AW44" s="21">
        <f>EXP(-LN(2)/2)*AW43+(1-EXP(-LN(2)/2))/(LN(2)/2)*AQ44*AT44*VLOOKUP('Données projet'!$B$10,Paramètres!$A$1:$I$89,3,0)*0.475*44/12</f>
        <v>0.31859486582210073</v>
      </c>
      <c r="AX44" s="21">
        <f t="shared" si="6"/>
        <v>37.633805846315596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11.4</v>
      </c>
      <c r="BD44" s="12">
        <f>IF('Données projet'!$A$88&gt;35,BD43+BC44-BL43,IF(A44&lt;'Données projet'!$A$88,$BA$205^A44,IF(A44='Données projet'!$A$88,'Données projet'!$B$88,BD43+BC44-BL43)))</f>
        <v>158.4</v>
      </c>
      <c r="BE44" s="13">
        <f>BD44*VLOOKUP('Données projet'!$B$11,Paramètres!$A$1:$I$89,3,0)*VLOOKUP('Données projet'!$B$11,Paramètres!$A$1:$I$89,5,0)</f>
        <v>143.32032000000001</v>
      </c>
      <c r="BF44" s="13">
        <f t="shared" si="37"/>
        <v>37.056603420232349</v>
      </c>
      <c r="BG44" s="20">
        <f t="shared" si="7"/>
        <v>314.15647495690467</v>
      </c>
      <c r="BH44" s="59">
        <f t="shared" si="8"/>
        <v>607.48980829023799</v>
      </c>
      <c r="BI44" s="59">
        <f ca="1">AVERAGE(OFFSET($BH$3,0,0,'Données projet'!$E$11+1,1))-AVERAGE(OFFSET($H$3,0,0,'Données projet'!$E$11+1,1))</f>
        <v>405.7176439604217</v>
      </c>
      <c r="BJ44" s="59">
        <f t="shared" si="38"/>
        <v>278.21741231699929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5.8778098044571978</v>
      </c>
      <c r="BQ44" s="21">
        <f>EXP(-LN(2)/25)*BQ43+(1-EXP(-LN(2)/25))/(LN(2)/25)*Calculateur!BL44*Calculateur!BN44*VLOOKUP('Données projet'!$B$11,Paramètres!$A$1:$I$89,3,0)*0.475*44/12</f>
        <v>6.9030932144580266</v>
      </c>
      <c r="BR44" s="21">
        <f>EXP(-LN(2)/2)*BR43+(1-EXP(-LN(2)/2))/(LN(2)/2)*BL44*BO44*VLOOKUP('Données projet'!$B$11,Paramètres!$A$1:$I$89,3,0)*0.475*44/12</f>
        <v>0.18859493750664474</v>
      </c>
      <c r="BS44" s="22">
        <f t="shared" si="9"/>
        <v>12.96949795642187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8.8000000000000007</v>
      </c>
      <c r="BY44" s="12">
        <f>IF('Données projet'!$A$114&gt;35,BY43+BX44-CG43,IF(A44&lt;'Données projet'!$A$114,$BV$205^A44,IF(A44='Données projet'!$A$114,'Données projet'!$B$114,BY43+BX44-CG43)))</f>
        <v>183.8000000000001</v>
      </c>
      <c r="BZ44" s="13">
        <f>BY44*VLOOKUP('Données projet'!$B$12,Paramètres!$A$1:$I$89,3,0)*VLOOKUP('Données projet'!$B$12,Paramètres!$A$1:$I$89,5,0)</f>
        <v>160.56768000000011</v>
      </c>
      <c r="CA44" s="13">
        <f t="shared" si="39"/>
        <v>40.970530810309917</v>
      </c>
      <c r="CB44" s="20">
        <f t="shared" si="10"/>
        <v>351.01238382795663</v>
      </c>
      <c r="CC44" s="59">
        <f t="shared" si="11"/>
        <v>644.34571716128994</v>
      </c>
      <c r="CD44" s="59">
        <f ca="1">AVERAGE(OFFSET($CC$3,0,0,'Données projet'!$E$12+1,1))-AVERAGE(OFFSET($H$3,0,0,'Données projet'!$E$12+1,1))</f>
        <v>381.72225529388083</v>
      </c>
      <c r="CE44" s="59">
        <f t="shared" si="40"/>
        <v>360.05900046417361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3.8697162592471246</v>
      </c>
      <c r="CL44" s="21">
        <f>EXP(-LN(2)/25)*CL43+(1-EXP(-LN(2)/25))/(LN(2)/25)*Calculateur!CG44*Calculateur!CI44*VLOOKUP('Données projet'!$B$12,Paramètres!$A$1:$I$89,3,0)*0.475*44/12</f>
        <v>8.3149963671986509</v>
      </c>
      <c r="CM44" s="21">
        <f>EXP(-LN(2)/2)*CM43+(1-EXP(-LN(2)/2))/(LN(2)/2)*CG44*CJ44*VLOOKUP('Données projet'!$B$12,Paramètres!$A$1:$I$89,3,0)*0.475*44/12</f>
        <v>0.15462449412869167</v>
      </c>
      <c r="CN44" s="22">
        <f t="shared" si="12"/>
        <v>12.339337120574468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8.1999999999999993</v>
      </c>
      <c r="CT44" s="12">
        <f>IF('Données projet'!$A$140&gt;35,CT43+CS44-DB43,IF(A44&lt;'Données projet'!$A$140,$CQ$205^A44,IF(A44='Données projet'!$A$140,'Données projet'!$B$140,CT43+CS44-DB43)))</f>
        <v>172.2</v>
      </c>
      <c r="CU44" s="17">
        <f>CT44*VLOOKUP('Données projet'!$B$13,Paramètres!$A$1:$I$89,3,0)*VLOOKUP('Données projet'!$B$13,Paramètres!$A$1:$I$89,5,0)</f>
        <v>137.00232</v>
      </c>
      <c r="CV44" s="13">
        <f t="shared" si="41"/>
        <v>35.609416420931346</v>
      </c>
      <c r="CW44" s="20">
        <f t="shared" si="13"/>
        <v>300.63210759978875</v>
      </c>
      <c r="CX44" s="59">
        <f t="shared" si="14"/>
        <v>593.96544093312207</v>
      </c>
      <c r="CY44" s="59">
        <f ca="1">AVERAGE(OFFSET($CX$3,0,0,'Données projet'!$E$13+1,1))-AVERAGE(OFFSET($H$3,0,0,'Données projet'!$E$13+1,1))</f>
        <v>299.10536994156814</v>
      </c>
      <c r="CZ44" s="59">
        <f t="shared" si="42"/>
        <v>292.57799203101769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6.7728064187260726</v>
      </c>
      <c r="DG44" s="21">
        <f>EXP(-LN(2)/25)*DG43+(1-EXP(-LN(2)/25))/(LN(2)/25)*Calculateur!DB44*Calculateur!DD44*VLOOKUP('Données projet'!$B$13,Paramètres!$A$1:$I$89,3,0)*0.475*44/12</f>
        <v>7.9704540297879225</v>
      </c>
      <c r="DH44" s="21">
        <f>EXP(-LN(2)/2)*DH43+(1-EXP(-LN(2)/2))/(LN(2)/2)*DB44*DE44*VLOOKUP('Données projet'!$B$13,Paramètres!$A$1:$I$89,3,0)*0.475*44/12</f>
        <v>0.19826939530106794</v>
      </c>
      <c r="DI44" s="22">
        <f t="shared" si="15"/>
        <v>14.941529843815063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8.1999999999999993</v>
      </c>
      <c r="DO44" s="12">
        <f>IF('Données projet'!$A$166&gt;35,DO43+DN44-DW43,IF(A44&lt;'Données projet'!$A$166,$DL$205^A44,IF(A44='Données projet'!$A$166,'Données projet'!$B$166,DO43+DN44-DW43)))</f>
        <v>204.20000000000002</v>
      </c>
      <c r="DP44" s="17">
        <f>DO44*VLOOKUP('Données projet'!$B$14,Paramètres!$A$1:$I$89,3,0)*VLOOKUP('Données projet'!$B$14,Paramètres!$A$1:$I$89,5,0)</f>
        <v>133.79184000000001</v>
      </c>
      <c r="DQ44" s="13">
        <f t="shared" si="43"/>
        <v>34.87107073670542</v>
      </c>
      <c r="DR44" s="20">
        <f t="shared" si="16"/>
        <v>293.75456953309532</v>
      </c>
      <c r="DS44" s="59">
        <f t="shared" si="17"/>
        <v>587.08790286642864</v>
      </c>
      <c r="DT44" s="59">
        <f ca="1">AVERAGE(OFFSET($DS$3,0,0,'Données projet'!$E$14+1,1))-AVERAGE(OFFSET($H$3,0,0,'Données projet'!$E$14+1,1))</f>
        <v>295.92103934364718</v>
      </c>
      <c r="DU44" s="59">
        <f t="shared" si="44"/>
        <v>304.84379909635476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3.5872343717785786</v>
      </c>
      <c r="EB44" s="21">
        <f>EXP(-LN(2)/25)*EB43+(1-EXP(-LN(2)/25))/(LN(2)/25)*Calculateur!DW44*Calculateur!DY44*VLOOKUP('Données projet'!$B$14,Paramètres!$A$1:$I$89,3,0)*0.475*44/12</f>
        <v>5.2720981580764974</v>
      </c>
      <c r="EC44" s="21">
        <f>EXP(-LN(2)/2)*EC43+(1-EXP(-LN(2)/2))/(LN(2)/2)*DW44*DZ44*VLOOKUP('Données projet'!$B$14,Paramètres!$A$1:$I$89,3,0)*0.475*44/12</f>
        <v>0.12716242649325851</v>
      </c>
      <c r="ED44" s="22">
        <f t="shared" si="18"/>
        <v>8.9864949563483343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11.5</v>
      </c>
      <c r="N45" s="13">
        <f>IF('Données projet'!$A$36&gt;35,N44+M45-V44,IF(A45&lt;'Données projet'!$A$36,$K$205^A45,IF(A45='Données projet'!$A$36,'Données projet'!$B$36,N44+M45-V44)))</f>
        <v>196.49999999999989</v>
      </c>
      <c r="O45" s="13">
        <f>N45*VLOOKUP('Données projet'!$B$9,Paramètres!$A$1:$I$89,3,0)*VLOOKUP('Données projet'!$B$9,Paramètres!$A$1:$I$89,5,0)</f>
        <v>91.961999999999946</v>
      </c>
      <c r="P45" s="13">
        <f t="shared" si="33"/>
        <v>25.037816603121904</v>
      </c>
      <c r="Q45" s="20">
        <f t="shared" si="53"/>
        <v>203.77468058377053</v>
      </c>
      <c r="R45" s="59">
        <f t="shared" si="0"/>
        <v>497.10801391710385</v>
      </c>
      <c r="S45" s="59">
        <f ca="1">AVERAGE(OFFSET($R$3,0,0,'Données projet'!$E$9+1,1))-AVERAGE(OFFSET($H$3,0,0,'Données projet'!$E$9+1,1))</f>
        <v>319.22903094674564</v>
      </c>
      <c r="T45" s="59">
        <f t="shared" si="34"/>
        <v>254.58690973142848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7.1563603440553401</v>
      </c>
      <c r="AA45" s="21">
        <f>EXP(-LN(2)/25)*AA44+(1-EXP(-LN(2)/25))/(LN(2)/25)*Calculateur!V45*Calculateur!X45*VLOOKUP('Données projet'!$B$9,Paramètres!$A$1:$I$89,3,0)*0.475*44/12</f>
        <v>7.9952470735137648</v>
      </c>
      <c r="AB45" s="21">
        <f>EXP(-LN(2)/2)*AB44+(1-EXP(-LN(2)/2))/(LN(2)/2)*V45*Y45*VLOOKUP('Données projet'!$B$9,Paramètres!$A$1:$I$89,3,0)*0.475*44/12</f>
        <v>0.17254888505622437</v>
      </c>
      <c r="AC45" s="22">
        <f t="shared" si="3"/>
        <v>15.32415630262533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24.8</v>
      </c>
      <c r="AI45" s="13">
        <f>IF('Données projet'!$A$62&gt;35,AI44+AH45-AQ44,IF(A45&lt;'Données projet'!$A$62,$AF$205^A45,IF(A45='Données projet'!$A$62,'Données projet'!$B$62,AI44+AH45-AQ44)))</f>
        <v>611.5999999999998</v>
      </c>
      <c r="AJ45" s="13">
        <f>AI45*VLOOKUP('Données projet'!$B$10,Paramètres!$A$1:$I$89,3,0)*VLOOKUP('Données projet'!$B$10,Paramètres!$A$1:$I$89,5,0)</f>
        <v>341.88439999999986</v>
      </c>
      <c r="AK45" s="13">
        <f t="shared" si="35"/>
        <v>79.889150066970018</v>
      </c>
      <c r="AL45" s="20">
        <f t="shared" si="4"/>
        <v>734.58893303330581</v>
      </c>
      <c r="AM45" s="59">
        <f t="shared" si="5"/>
        <v>1027.9222663666392</v>
      </c>
      <c r="AN45" s="59">
        <f ca="1">AVERAGE(OFFSET($AM$3,0,0,'Données projet'!$E$10+1,1))-AVERAGE(OFFSET($H$3,0,0,'Données projet'!$E$10+1,1))</f>
        <v>544.48194192356823</v>
      </c>
      <c r="AO45" s="59">
        <f t="shared" si="36"/>
        <v>668.20427590250733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5.788487165551043</v>
      </c>
      <c r="AV45" s="21">
        <f>EXP(-LN(2)/25)*AV44+(1-EXP(-LN(2)/25))/(LN(2)/25)*Calculateur!AQ45*Calculateur!AS45*VLOOKUP('Données projet'!$B$10,Paramètres!$A$1:$I$89,3,0)*0.475*44/12</f>
        <v>30.552010819348059</v>
      </c>
      <c r="AW45" s="21">
        <f>EXP(-LN(2)/2)*AW44+(1-EXP(-LN(2)/2))/(LN(2)/2)*AQ45*AT45*VLOOKUP('Données projet'!$B$10,Paramètres!$A$1:$I$89,3,0)*0.475*44/12</f>
        <v>0.22528059007402565</v>
      </c>
      <c r="AX45" s="21">
        <f t="shared" si="6"/>
        <v>36.56577857497313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11.4</v>
      </c>
      <c r="BD45" s="12">
        <f>IF('Données projet'!$A$88&gt;35,BD44+BC45-BL44,IF(A45&lt;'Données projet'!$A$88,$BA$205^A45,IF(A45='Données projet'!$A$88,'Données projet'!$B$88,BD44+BC45-BL44)))</f>
        <v>169.8</v>
      </c>
      <c r="BE45" s="13">
        <f>BD45*VLOOKUP('Données projet'!$B$11,Paramètres!$A$1:$I$89,3,0)*VLOOKUP('Données projet'!$B$11,Paramètres!$A$1:$I$89,5,0)</f>
        <v>153.63504</v>
      </c>
      <c r="BF45" s="13">
        <f t="shared" si="37"/>
        <v>39.403506785222667</v>
      </c>
      <c r="BG45" s="20">
        <f t="shared" si="7"/>
        <v>336.20880231759617</v>
      </c>
      <c r="BH45" s="59">
        <f t="shared" si="8"/>
        <v>629.54213565092948</v>
      </c>
      <c r="BI45" s="59">
        <f ca="1">AVERAGE(OFFSET($BH$3,0,0,'Données projet'!$E$11+1,1))-AVERAGE(OFFSET($H$3,0,0,'Données projet'!$E$11+1,1))</f>
        <v>405.7176439604217</v>
      </c>
      <c r="BJ45" s="59">
        <f t="shared" si="38"/>
        <v>278.21741231699929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5.7625495393017729</v>
      </c>
      <c r="BQ45" s="21">
        <f>EXP(-LN(2)/25)*BQ44+(1-EXP(-LN(2)/25))/(LN(2)/25)*Calculateur!BL45*Calculateur!BN45*VLOOKUP('Données projet'!$B$11,Paramètres!$A$1:$I$89,3,0)*0.475*44/12</f>
        <v>6.7143277674907766</v>
      </c>
      <c r="BR45" s="21">
        <f>EXP(-LN(2)/2)*BR44+(1-EXP(-LN(2)/2))/(LN(2)/2)*BL45*BO45*VLOOKUP('Données projet'!$B$11,Paramètres!$A$1:$I$89,3,0)*0.475*44/12</f>
        <v>0.13335675920840165</v>
      </c>
      <c r="BS45" s="22">
        <f t="shared" si="9"/>
        <v>12.610234066000951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8.8000000000000007</v>
      </c>
      <c r="BY45" s="12">
        <f>IF('Données projet'!$A$114&gt;35,BY44+BX45-CG44,IF(A45&lt;'Données projet'!$A$114,$BV$205^A45,IF(A45='Données projet'!$A$114,'Données projet'!$B$114,BY44+BX45-CG44)))</f>
        <v>192.60000000000011</v>
      </c>
      <c r="BZ45" s="13">
        <f>BY45*VLOOKUP('Données projet'!$B$12,Paramètres!$A$1:$I$89,3,0)*VLOOKUP('Données projet'!$B$12,Paramètres!$A$1:$I$89,5,0)</f>
        <v>168.25536000000011</v>
      </c>
      <c r="CA45" s="13">
        <f t="shared" si="39"/>
        <v>42.699047982710923</v>
      </c>
      <c r="CB45" s="20">
        <f t="shared" si="10"/>
        <v>367.41226056988836</v>
      </c>
      <c r="CC45" s="59">
        <f t="shared" si="11"/>
        <v>660.74559390322167</v>
      </c>
      <c r="CD45" s="59">
        <f ca="1">AVERAGE(OFFSET($CC$3,0,0,'Données projet'!$E$12+1,1))-AVERAGE(OFFSET($H$3,0,0,'Données projet'!$E$12+1,1))</f>
        <v>381.72225529388083</v>
      </c>
      <c r="CE45" s="59">
        <f t="shared" si="40"/>
        <v>360.05900046417361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3.793833483697147</v>
      </c>
      <c r="CL45" s="21">
        <f>EXP(-LN(2)/25)*CL44+(1-EXP(-LN(2)/25))/(LN(2)/25)*Calculateur!CG45*Calculateur!CI45*VLOOKUP('Données projet'!$B$12,Paramètres!$A$1:$I$89,3,0)*0.475*44/12</f>
        <v>8.0876223542709482</v>
      </c>
      <c r="CM45" s="21">
        <f>EXP(-LN(2)/2)*CM44+(1-EXP(-LN(2)/2))/(LN(2)/2)*CG45*CJ45*VLOOKUP('Données projet'!$B$12,Paramètres!$A$1:$I$89,3,0)*0.475*44/12</f>
        <v>0.10933602833593739</v>
      </c>
      <c r="CN45" s="22">
        <f t="shared" si="12"/>
        <v>11.990791866304033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8.1999999999999993</v>
      </c>
      <c r="CT45" s="12">
        <f>IF('Données projet'!$A$140&gt;35,CT44+CS45-DB44,IF(A45&lt;'Données projet'!$A$140,$CQ$205^A45,IF(A45='Données projet'!$A$140,'Données projet'!$B$140,CT44+CS45-DB44)))</f>
        <v>180.39999999999998</v>
      </c>
      <c r="CU45" s="17">
        <f>CT45*VLOOKUP('Données projet'!$B$13,Paramètres!$A$1:$I$89,3,0)*VLOOKUP('Données projet'!$B$13,Paramètres!$A$1:$I$89,5,0)</f>
        <v>143.52624</v>
      </c>
      <c r="CV45" s="13">
        <f t="shared" si="41"/>
        <v>37.103644337236275</v>
      </c>
      <c r="CW45" s="20">
        <f t="shared" si="13"/>
        <v>314.59704855401981</v>
      </c>
      <c r="CX45" s="59">
        <f t="shared" si="14"/>
        <v>607.93038188735318</v>
      </c>
      <c r="CY45" s="59">
        <f ca="1">AVERAGE(OFFSET($CX$3,0,0,'Données projet'!$E$13+1,1))-AVERAGE(OFFSET($H$3,0,0,'Données projet'!$E$13+1,1))</f>
        <v>299.10536994156814</v>
      </c>
      <c r="CZ45" s="59">
        <f t="shared" si="42"/>
        <v>292.57799203101769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6.6399958158588666</v>
      </c>
      <c r="DG45" s="21">
        <f>EXP(-LN(2)/25)*DG44+(1-EXP(-LN(2)/25))/(LN(2)/25)*Calculateur!DB45*Calculateur!DD45*VLOOKUP('Données projet'!$B$13,Paramètres!$A$1:$I$89,3,0)*0.475*44/12</f>
        <v>7.7525015451954111</v>
      </c>
      <c r="DH45" s="21">
        <f>EXP(-LN(2)/2)*DH44+(1-EXP(-LN(2)/2))/(LN(2)/2)*DB45*DE45*VLOOKUP('Données projet'!$B$13,Paramètres!$A$1:$I$89,3,0)*0.475*44/12</f>
        <v>0.14019763391914133</v>
      </c>
      <c r="DI45" s="22">
        <f t="shared" si="15"/>
        <v>14.53269499497342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8.1999999999999993</v>
      </c>
      <c r="DO45" s="12">
        <f>IF('Données projet'!$A$166&gt;35,DO44+DN45-DW44,IF(A45&lt;'Données projet'!$A$166,$DL$205^A45,IF(A45='Données projet'!$A$166,'Données projet'!$B$166,DO44+DN45-DW44)))</f>
        <v>212.4</v>
      </c>
      <c r="DP45" s="17">
        <f>DO45*VLOOKUP('Données projet'!$B$14,Paramètres!$A$1:$I$89,3,0)*VLOOKUP('Données projet'!$B$14,Paramètres!$A$1:$I$89,5,0)</f>
        <v>139.16448</v>
      </c>
      <c r="DQ45" s="13">
        <f t="shared" si="43"/>
        <v>36.105532965181432</v>
      </c>
      <c r="DR45" s="20">
        <f t="shared" si="16"/>
        <v>305.26193924769092</v>
      </c>
      <c r="DS45" s="59">
        <f t="shared" si="17"/>
        <v>598.59527258102423</v>
      </c>
      <c r="DT45" s="59">
        <f ca="1">AVERAGE(OFFSET($DS$3,0,0,'Données projet'!$E$14+1,1))-AVERAGE(OFFSET($H$3,0,0,'Données projet'!$E$14+1,1))</f>
        <v>295.92103934364718</v>
      </c>
      <c r="DU45" s="59">
        <f t="shared" si="44"/>
        <v>304.84379909635476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3.5168908937449208</v>
      </c>
      <c r="EB45" s="21">
        <f>EXP(-LN(2)/25)*EB44+(1-EXP(-LN(2)/25))/(LN(2)/25)*Calculateur!DW45*Calculateur!DY45*VLOOKUP('Données projet'!$B$14,Paramètres!$A$1:$I$89,3,0)*0.475*44/12</f>
        <v>5.1279323566963031</v>
      </c>
      <c r="EC45" s="21">
        <f>EXP(-LN(2)/2)*EC44+(1-EXP(-LN(2)/2))/(LN(2)/2)*DW45*DZ45*VLOOKUP('Données projet'!$B$14,Paramètres!$A$1:$I$89,3,0)*0.475*44/12</f>
        <v>8.9917414085518982E-2</v>
      </c>
      <c r="ED45" s="22">
        <f t="shared" si="18"/>
        <v>8.7347406645267434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11.5</v>
      </c>
      <c r="N46" s="13">
        <f>IF('Données projet'!$A$36&gt;35,N45+M46-V45,IF(A46&lt;'Données projet'!$A$36,$K$205^A46,IF(A46='Données projet'!$A$36,'Données projet'!$B$36,N45+M46-V45)))</f>
        <v>207.99999999999989</v>
      </c>
      <c r="O46" s="13">
        <f>N46*VLOOKUP('Données projet'!$B$9,Paramètres!$A$1:$I$89,3,0)*VLOOKUP('Données projet'!$B$9,Paramètres!$A$1:$I$89,5,0)</f>
        <v>97.343999999999937</v>
      </c>
      <c r="P46" s="13">
        <f t="shared" si="33"/>
        <v>26.328254259866451</v>
      </c>
      <c r="Q46" s="20">
        <f t="shared" si="53"/>
        <v>215.39584283593396</v>
      </c>
      <c r="R46" s="59">
        <f t="shared" si="0"/>
        <v>508.72917616926725</v>
      </c>
      <c r="S46" s="59">
        <f ca="1">AVERAGE(OFFSET($R$3,0,0,'Données projet'!$E$9+1,1))-AVERAGE(OFFSET($H$3,0,0,'Données projet'!$E$9+1,1))</f>
        <v>319.22903094674564</v>
      </c>
      <c r="T46" s="59">
        <f t="shared" si="34"/>
        <v>254.58690973142848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7.0160284826572221</v>
      </c>
      <c r="AA46" s="21">
        <f>EXP(-LN(2)/25)*AA45+(1-EXP(-LN(2)/25))/(LN(2)/25)*Calculateur!V46*Calculateur!X46*VLOOKUP('Données projet'!$B$9,Paramètres!$A$1:$I$89,3,0)*0.475*44/12</f>
        <v>7.7766166218367605</v>
      </c>
      <c r="AB46" s="21">
        <f>EXP(-LN(2)/2)*AB45+(1-EXP(-LN(2)/2))/(LN(2)/2)*V46*Y46*VLOOKUP('Données projet'!$B$9,Paramètres!$A$1:$I$89,3,0)*0.475*44/12</f>
        <v>0.1220104867094344</v>
      </c>
      <c r="AC46" s="22">
        <f t="shared" si="3"/>
        <v>14.914655591203417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24.8</v>
      </c>
      <c r="AI46" s="13">
        <f>IF('Données projet'!$A$62&gt;35,AI45+AH46-AQ45,IF(A46&lt;'Données projet'!$A$62,$AF$205^A46,IF(A46='Données projet'!$A$62,'Données projet'!$B$62,AI45+AH46-AQ45)))</f>
        <v>636.39999999999975</v>
      </c>
      <c r="AJ46" s="13">
        <f>AI46*VLOOKUP('Données projet'!$B$10,Paramètres!$A$1:$I$89,3,0)*VLOOKUP('Données projet'!$B$10,Paramètres!$A$1:$I$89,5,0)</f>
        <v>355.74759999999986</v>
      </c>
      <c r="AK46" s="13">
        <f t="shared" si="35"/>
        <v>82.744877508992289</v>
      </c>
      <c r="AL46" s="20">
        <f t="shared" si="4"/>
        <v>763.70773166149456</v>
      </c>
      <c r="AM46" s="59">
        <f t="shared" si="5"/>
        <v>1057.0410649948278</v>
      </c>
      <c r="AN46" s="59">
        <f ca="1">AVERAGE(OFFSET($AM$3,0,0,'Données projet'!$E$10+1,1))-AVERAGE(OFFSET($H$3,0,0,'Données projet'!$E$10+1,1))</f>
        <v>544.48194192356823</v>
      </c>
      <c r="AO46" s="59">
        <f t="shared" si="36"/>
        <v>668.20427590250733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5.6749784628631375</v>
      </c>
      <c r="AV46" s="21">
        <f>EXP(-LN(2)/25)*AV45+(1-EXP(-LN(2)/25))/(LN(2)/25)*Calculateur!AQ46*Calculateur!AS46*VLOOKUP('Données projet'!$B$10,Paramètres!$A$1:$I$89,3,0)*0.475*44/12</f>
        <v>29.716564476832566</v>
      </c>
      <c r="AW46" s="21">
        <f>EXP(-LN(2)/2)*AW45+(1-EXP(-LN(2)/2))/(LN(2)/2)*AQ46*AT46*VLOOKUP('Données projet'!$B$10,Paramètres!$A$1:$I$89,3,0)*0.475*44/12</f>
        <v>0.15929743291105036</v>
      </c>
      <c r="AX46" s="21">
        <f t="shared" si="6"/>
        <v>35.550840372606757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11.4</v>
      </c>
      <c r="BD46" s="12">
        <f>IF('Données projet'!$A$88&gt;35,BD45+BC46-BL45,IF(A46&lt;'Données projet'!$A$88,$BA$205^A46,IF(A46='Données projet'!$A$88,'Données projet'!$B$88,BD45+BC46-BL45)))</f>
        <v>181.20000000000002</v>
      </c>
      <c r="BE46" s="13">
        <f>BD46*VLOOKUP('Données projet'!$B$11,Paramètres!$A$1:$I$89,3,0)*VLOOKUP('Données projet'!$B$11,Paramètres!$A$1:$I$89,5,0)</f>
        <v>163.94976</v>
      </c>
      <c r="BF46" s="13">
        <f t="shared" si="37"/>
        <v>41.732126457893308</v>
      </c>
      <c r="BG46" s="20">
        <f t="shared" si="7"/>
        <v>358.22928558083089</v>
      </c>
      <c r="BH46" s="59">
        <f t="shared" si="8"/>
        <v>651.5626189141642</v>
      </c>
      <c r="BI46" s="59">
        <f ca="1">AVERAGE(OFFSET($BH$3,0,0,'Données projet'!$E$11+1,1))-AVERAGE(OFFSET($H$3,0,0,'Données projet'!$E$11+1,1))</f>
        <v>405.7176439604217</v>
      </c>
      <c r="BJ46" s="59">
        <f t="shared" si="38"/>
        <v>278.21741231699929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5.649549457644226</v>
      </c>
      <c r="BQ46" s="21">
        <f>EXP(-LN(2)/25)*BQ45+(1-EXP(-LN(2)/25))/(LN(2)/25)*Calculateur!BL46*Calculateur!BN46*VLOOKUP('Données projet'!$B$11,Paramètres!$A$1:$I$89,3,0)*0.475*44/12</f>
        <v>6.53072412159759</v>
      </c>
      <c r="BR46" s="21">
        <f>EXP(-LN(2)/2)*BR45+(1-EXP(-LN(2)/2))/(LN(2)/2)*BL46*BO46*VLOOKUP('Données projet'!$B$11,Paramètres!$A$1:$I$89,3,0)*0.475*44/12</f>
        <v>9.4297468753322372E-2</v>
      </c>
      <c r="BS46" s="22">
        <f t="shared" si="9"/>
        <v>12.274571047995138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8.8000000000000007</v>
      </c>
      <c r="BY46" s="12">
        <f>IF('Données projet'!$A$114&gt;35,BY45+BX46-CG45,IF(A46&lt;'Données projet'!$A$114,$BV$205^A46,IF(A46='Données projet'!$A$114,'Données projet'!$B$114,BY45+BX46-CG45)))</f>
        <v>201.40000000000012</v>
      </c>
      <c r="BZ46" s="13">
        <f>BY46*VLOOKUP('Données projet'!$B$12,Paramètres!$A$1:$I$89,3,0)*VLOOKUP('Données projet'!$B$12,Paramètres!$A$1:$I$89,5,0)</f>
        <v>175.94304000000014</v>
      </c>
      <c r="CA46" s="13">
        <f t="shared" si="39"/>
        <v>44.418393276556458</v>
      </c>
      <c r="CB46" s="20">
        <f t="shared" si="10"/>
        <v>383.79616295666938</v>
      </c>
      <c r="CC46" s="59">
        <f t="shared" si="11"/>
        <v>677.12949629000263</v>
      </c>
      <c r="CD46" s="59">
        <f ca="1">AVERAGE(OFFSET($CC$3,0,0,'Données projet'!$E$12+1,1))-AVERAGE(OFFSET($H$3,0,0,'Données projet'!$E$12+1,1))</f>
        <v>381.72225529388083</v>
      </c>
      <c r="CE46" s="59">
        <f t="shared" si="40"/>
        <v>360.05900046417361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3.7194387230917814</v>
      </c>
      <c r="CL46" s="21">
        <f>EXP(-LN(2)/25)*CL45+(1-EXP(-LN(2)/25))/(LN(2)/25)*Calculateur!CG46*Calculateur!CI46*VLOOKUP('Données projet'!$B$12,Paramètres!$A$1:$I$89,3,0)*0.475*44/12</f>
        <v>7.8664658956838345</v>
      </c>
      <c r="CM46" s="21">
        <f>EXP(-LN(2)/2)*CM45+(1-EXP(-LN(2)/2))/(LN(2)/2)*CG46*CJ46*VLOOKUP('Données projet'!$B$12,Paramètres!$A$1:$I$89,3,0)*0.475*44/12</f>
        <v>7.7312247064345849E-2</v>
      </c>
      <c r="CN46" s="22">
        <f t="shared" si="12"/>
        <v>11.66321686583996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8.1999999999999993</v>
      </c>
      <c r="CT46" s="12">
        <f>IF('Données projet'!$A$140&gt;35,CT45+CS46-DB45,IF(A46&lt;'Données projet'!$A$140,$CQ$205^A46,IF(A46='Données projet'!$A$140,'Données projet'!$B$140,CT45+CS46-DB45)))</f>
        <v>188.59999999999997</v>
      </c>
      <c r="CU46" s="17">
        <f>CT46*VLOOKUP('Données projet'!$B$13,Paramètres!$A$1:$I$89,3,0)*VLOOKUP('Données projet'!$B$13,Paramètres!$A$1:$I$89,5,0)</f>
        <v>150.05015999999998</v>
      </c>
      <c r="CV46" s="13">
        <f t="shared" si="41"/>
        <v>38.589984439024569</v>
      </c>
      <c r="CW46" s="20">
        <f t="shared" si="13"/>
        <v>328.54825156463437</v>
      </c>
      <c r="CX46" s="59">
        <f t="shared" si="14"/>
        <v>621.88158489796774</v>
      </c>
      <c r="CY46" s="59">
        <f ca="1">AVERAGE(OFFSET($CX$3,0,0,'Données projet'!$E$13+1,1))-AVERAGE(OFFSET($H$3,0,0,'Données projet'!$E$13+1,1))</f>
        <v>299.10536994156814</v>
      </c>
      <c r="CZ46" s="59">
        <f t="shared" si="42"/>
        <v>292.57799203101769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6.5097895479074177</v>
      </c>
      <c r="DG46" s="21">
        <f>EXP(-LN(2)/25)*DG45+(1-EXP(-LN(2)/25))/(LN(2)/25)*Calculateur!DB46*Calculateur!DD46*VLOOKUP('Données projet'!$B$13,Paramètres!$A$1:$I$89,3,0)*0.475*44/12</f>
        <v>7.5405089827557052</v>
      </c>
      <c r="DH46" s="21">
        <f>EXP(-LN(2)/2)*DH45+(1-EXP(-LN(2)/2))/(LN(2)/2)*DB46*DE46*VLOOKUP('Données projet'!$B$13,Paramètres!$A$1:$I$89,3,0)*0.475*44/12</f>
        <v>9.9134697650533968E-2</v>
      </c>
      <c r="DI46" s="22">
        <f t="shared" si="15"/>
        <v>14.149433228313658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8.1999999999999993</v>
      </c>
      <c r="DO46" s="12">
        <f>IF('Données projet'!$A$166&gt;35,DO45+DN46-DW45,IF(A46&lt;'Données projet'!$A$166,$DL$205^A46,IF(A46='Données projet'!$A$166,'Données projet'!$B$166,DO45+DN46-DW45)))</f>
        <v>220.6</v>
      </c>
      <c r="DP46" s="17">
        <f>DO46*VLOOKUP('Données projet'!$B$14,Paramètres!$A$1:$I$89,3,0)*VLOOKUP('Données projet'!$B$14,Paramètres!$A$1:$I$89,5,0)</f>
        <v>144.53712000000002</v>
      </c>
      <c r="DQ46" s="13">
        <f t="shared" si="43"/>
        <v>37.334458778614163</v>
      </c>
      <c r="DR46" s="20">
        <f t="shared" si="16"/>
        <v>316.75966637275303</v>
      </c>
      <c r="DS46" s="59">
        <f t="shared" si="17"/>
        <v>610.0929997060864</v>
      </c>
      <c r="DT46" s="59">
        <f ca="1">AVERAGE(OFFSET($DS$3,0,0,'Données projet'!$E$14+1,1))-AVERAGE(OFFSET($H$3,0,0,'Données projet'!$E$14+1,1))</f>
        <v>295.92103934364718</v>
      </c>
      <c r="DU46" s="59">
        <f t="shared" si="44"/>
        <v>304.84379909635476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3.4479268084102177</v>
      </c>
      <c r="EB46" s="21">
        <f>EXP(-LN(2)/25)*EB45+(1-EXP(-LN(2)/25))/(LN(2)/25)*Calculateur!DW46*Calculateur!DY46*VLOOKUP('Données projet'!$B$14,Paramètres!$A$1:$I$89,3,0)*0.475*44/12</f>
        <v>4.9877087767362003</v>
      </c>
      <c r="EC46" s="21">
        <f>EXP(-LN(2)/2)*EC45+(1-EXP(-LN(2)/2))/(LN(2)/2)*DW46*DZ46*VLOOKUP('Données projet'!$B$14,Paramètres!$A$1:$I$89,3,0)*0.475*44/12</f>
        <v>6.3581213246629256E-2</v>
      </c>
      <c r="ED46" s="22">
        <f t="shared" si="18"/>
        <v>8.4992167983930464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11.5</v>
      </c>
      <c r="N47" s="13">
        <f>IF('Données projet'!$A$36&gt;35,N46+M47-V46,IF(A47&lt;'Données projet'!$A$36,$K$205^A47,IF(A47='Données projet'!$A$36,'Données projet'!$B$36,N46+M47-V46)))</f>
        <v>219.49999999999989</v>
      </c>
      <c r="O47" s="13">
        <f>N47*VLOOKUP('Données projet'!$B$9,Paramètres!$A$1:$I$89,3,0)*VLOOKUP('Données projet'!$B$9,Paramètres!$A$1:$I$89,5,0)</f>
        <v>102.72599999999994</v>
      </c>
      <c r="P47" s="13">
        <f t="shared" si="33"/>
        <v>27.610409417164195</v>
      </c>
      <c r="Q47" s="20">
        <f t="shared" si="53"/>
        <v>227.0025797348942</v>
      </c>
      <c r="R47" s="59">
        <f t="shared" si="0"/>
        <v>520.33591306822746</v>
      </c>
      <c r="S47" s="59">
        <f ca="1">AVERAGE(OFFSET($R$3,0,0,'Données projet'!$E$9+1,1))-AVERAGE(OFFSET($H$3,0,0,'Données projet'!$E$9+1,1))</f>
        <v>319.22903094674564</v>
      </c>
      <c r="T47" s="59">
        <f t="shared" si="34"/>
        <v>254.58690973142848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6.8784484434671374</v>
      </c>
      <c r="AA47" s="21">
        <f>EXP(-LN(2)/25)*AA46+(1-EXP(-LN(2)/25))/(LN(2)/25)*Calculateur!V47*Calculateur!X47*VLOOKUP('Données projet'!$B$9,Paramètres!$A$1:$I$89,3,0)*0.475*44/12</f>
        <v>7.5639646313581395</v>
      </c>
      <c r="AB47" s="21">
        <f>EXP(-LN(2)/2)*AB46+(1-EXP(-LN(2)/2))/(LN(2)/2)*V47*Y47*VLOOKUP('Données projet'!$B$9,Paramètres!$A$1:$I$89,3,0)*0.475*44/12</f>
        <v>8.62744425281122E-2</v>
      </c>
      <c r="AC47" s="22">
        <f t="shared" si="3"/>
        <v>14.528687517353388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24.8</v>
      </c>
      <c r="AI47" s="13">
        <f>IF('Données projet'!$A$62&gt;35,AI46+AH47-AQ46,IF(A47&lt;'Données projet'!$A$62,$AF$205^A47,IF(A47='Données projet'!$A$62,'Données projet'!$B$62,AI46+AH47-AQ46)))</f>
        <v>661.1999999999997</v>
      </c>
      <c r="AJ47" s="13">
        <f>AI47*VLOOKUP('Données projet'!$B$10,Paramètres!$A$1:$I$89,3,0)*VLOOKUP('Données projet'!$B$10,Paramètres!$A$1:$I$89,5,0)</f>
        <v>369.61079999999981</v>
      </c>
      <c r="AK47" s="13">
        <f t="shared" si="35"/>
        <v>85.587677206936931</v>
      </c>
      <c r="AL47" s="20">
        <f t="shared" si="4"/>
        <v>792.80401446874805</v>
      </c>
      <c r="AM47" s="59">
        <f t="shared" si="5"/>
        <v>1086.1373478020814</v>
      </c>
      <c r="AN47" s="59">
        <f ca="1">AVERAGE(OFFSET($AM$3,0,0,'Données projet'!$E$10+1,1))-AVERAGE(OFFSET($H$3,0,0,'Données projet'!$E$10+1,1))</f>
        <v>544.48194192356823</v>
      </c>
      <c r="AO47" s="59">
        <f t="shared" si="36"/>
        <v>668.20427590250733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5.5636955966014696</v>
      </c>
      <c r="AV47" s="21">
        <f>EXP(-LN(2)/25)*AV46+(1-EXP(-LN(2)/25))/(LN(2)/25)*Calculateur!AQ47*Calculateur!AS47*VLOOKUP('Données projet'!$B$10,Paramètres!$A$1:$I$89,3,0)*0.475*44/12</f>
        <v>28.903963458487372</v>
      </c>
      <c r="AW47" s="21">
        <f>EXP(-LN(2)/2)*AW46+(1-EXP(-LN(2)/2))/(LN(2)/2)*AQ47*AT47*VLOOKUP('Données projet'!$B$10,Paramètres!$A$1:$I$89,3,0)*0.475*44/12</f>
        <v>0.11264029503701282</v>
      </c>
      <c r="AX47" s="21">
        <f t="shared" si="6"/>
        <v>34.580299350125856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11.4</v>
      </c>
      <c r="BD47" s="12">
        <f>IF('Données projet'!$A$88&gt;35,BD46+BC47-BL46,IF(A47&lt;'Données projet'!$A$88,$BA$205^A47,IF(A47='Données projet'!$A$88,'Données projet'!$B$88,BD46+BC47-BL46)))</f>
        <v>192.60000000000002</v>
      </c>
      <c r="BE47" s="13">
        <f>BD47*VLOOKUP('Données projet'!$B$11,Paramètres!$A$1:$I$89,3,0)*VLOOKUP('Données projet'!$B$11,Paramètres!$A$1:$I$89,5,0)</f>
        <v>174.26447999999999</v>
      </c>
      <c r="BF47" s="13">
        <f t="shared" si="37"/>
        <v>44.043743683739521</v>
      </c>
      <c r="BG47" s="20">
        <f t="shared" si="7"/>
        <v>380.22015624917964</v>
      </c>
      <c r="BH47" s="59">
        <f t="shared" si="8"/>
        <v>673.55348958251295</v>
      </c>
      <c r="BI47" s="59">
        <f ca="1">AVERAGE(OFFSET($BH$3,0,0,'Données projet'!$E$11+1,1))-AVERAGE(OFFSET($H$3,0,0,'Données projet'!$E$11+1,1))</f>
        <v>405.7176439604217</v>
      </c>
      <c r="BJ47" s="59">
        <f t="shared" si="38"/>
        <v>278.21741231699929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5.5387652386647392</v>
      </c>
      <c r="BQ47" s="21">
        <f>EXP(-LN(2)/25)*BQ46+(1-EXP(-LN(2)/25))/(LN(2)/25)*Calculateur!BL47*Calculateur!BN47*VLOOKUP('Données projet'!$B$11,Paramètres!$A$1:$I$89,3,0)*0.475*44/12</f>
        <v>6.3521411270566484</v>
      </c>
      <c r="BR47" s="21">
        <f>EXP(-LN(2)/2)*BR46+(1-EXP(-LN(2)/2))/(LN(2)/2)*BL47*BO47*VLOOKUP('Données projet'!$B$11,Paramètres!$A$1:$I$89,3,0)*0.475*44/12</f>
        <v>6.6678379604200824E-2</v>
      </c>
      <c r="BS47" s="22">
        <f t="shared" si="9"/>
        <v>11.957584745325589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8.8000000000000007</v>
      </c>
      <c r="BY47" s="12">
        <f>IF('Données projet'!$A$114&gt;35,BY46+BX47-CG46,IF(A47&lt;'Données projet'!$A$114,$BV$205^A47,IF(A47='Données projet'!$A$114,'Données projet'!$B$114,BY46+BX47-CG46)))</f>
        <v>210.20000000000013</v>
      </c>
      <c r="BZ47" s="13">
        <f>BY47*VLOOKUP('Données projet'!$B$12,Paramètres!$A$1:$I$89,3,0)*VLOOKUP('Données projet'!$B$12,Paramètres!$A$1:$I$89,5,0)</f>
        <v>183.63072000000014</v>
      </c>
      <c r="CA47" s="13">
        <f t="shared" si="39"/>
        <v>46.129013251634483</v>
      </c>
      <c r="CB47" s="20">
        <f t="shared" si="10"/>
        <v>400.16486874659699</v>
      </c>
      <c r="CC47" s="59">
        <f t="shared" si="11"/>
        <v>693.49820207993025</v>
      </c>
      <c r="CD47" s="59">
        <f ca="1">AVERAGE(OFFSET($CC$3,0,0,'Données projet'!$E$12+1,1))-AVERAGE(OFFSET($H$3,0,0,'Données projet'!$E$12+1,1))</f>
        <v>381.72225529388083</v>
      </c>
      <c r="CE47" s="59">
        <f t="shared" si="40"/>
        <v>360.05900046417361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3.6465027983655638</v>
      </c>
      <c r="CL47" s="21">
        <f>EXP(-LN(2)/25)*CL46+(1-EXP(-LN(2)/25))/(LN(2)/25)*Calculateur!CG47*Calculateur!CI47*VLOOKUP('Données projet'!$B$12,Paramètres!$A$1:$I$89,3,0)*0.475*44/12</f>
        <v>7.6513569720868979</v>
      </c>
      <c r="CM47" s="21">
        <f>EXP(-LN(2)/2)*CM46+(1-EXP(-LN(2)/2))/(LN(2)/2)*CG47*CJ47*VLOOKUP('Données projet'!$B$12,Paramètres!$A$1:$I$89,3,0)*0.475*44/12</f>
        <v>5.4668014167968702E-2</v>
      </c>
      <c r="CN47" s="22">
        <f t="shared" si="12"/>
        <v>11.352527784620431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8.1999999999999993</v>
      </c>
      <c r="CT47" s="12">
        <f>IF('Données projet'!$A$140&gt;35,CT46+CS47-DB46,IF(A47&lt;'Données projet'!$A$140,$CQ$205^A47,IF(A47='Données projet'!$A$140,'Données projet'!$B$140,CT46+CS47-DB46)))</f>
        <v>196.79999999999995</v>
      </c>
      <c r="CU47" s="17">
        <f>CT47*VLOOKUP('Données projet'!$B$13,Paramètres!$A$1:$I$89,3,0)*VLOOKUP('Données projet'!$B$13,Paramètres!$A$1:$I$89,5,0)</f>
        <v>156.57407999999998</v>
      </c>
      <c r="CV47" s="13">
        <f t="shared" si="41"/>
        <v>40.068818872547467</v>
      </c>
      <c r="CW47" s="20">
        <f t="shared" si="13"/>
        <v>342.48638220302013</v>
      </c>
      <c r="CX47" s="59">
        <f t="shared" si="14"/>
        <v>635.81971553635344</v>
      </c>
      <c r="CY47" s="59">
        <f ca="1">AVERAGE(OFFSET($CX$3,0,0,'Données projet'!$E$13+1,1))-AVERAGE(OFFSET($H$3,0,0,'Données projet'!$E$13+1,1))</f>
        <v>299.10536994156814</v>
      </c>
      <c r="CZ47" s="59">
        <f t="shared" si="42"/>
        <v>292.57799203101769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6.3821365454525152</v>
      </c>
      <c r="DG47" s="21">
        <f>EXP(-LN(2)/25)*DG46+(1-EXP(-LN(2)/25))/(LN(2)/25)*Calculateur!DB47*Calculateur!DD47*VLOOKUP('Données projet'!$B$13,Paramètres!$A$1:$I$89,3,0)*0.475*44/12</f>
        <v>7.3343133680841168</v>
      </c>
      <c r="DH47" s="21">
        <f>EXP(-LN(2)/2)*DH46+(1-EXP(-LN(2)/2))/(LN(2)/2)*DB47*DE47*VLOOKUP('Données projet'!$B$13,Paramètres!$A$1:$I$89,3,0)*0.475*44/12</f>
        <v>7.0098816959570667E-2</v>
      </c>
      <c r="DI47" s="22">
        <f t="shared" si="15"/>
        <v>13.786548730496202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8.1999999999999993</v>
      </c>
      <c r="DO47" s="12">
        <f>IF('Données projet'!$A$166&gt;35,DO46+DN47-DW46,IF(A47&lt;'Données projet'!$A$166,$DL$205^A47,IF(A47='Données projet'!$A$166,'Données projet'!$B$166,DO46+DN47-DW46)))</f>
        <v>228.79999999999998</v>
      </c>
      <c r="DP47" s="17">
        <f>DO47*VLOOKUP('Données projet'!$B$14,Paramètres!$A$1:$I$89,3,0)*VLOOKUP('Données projet'!$B$14,Paramètres!$A$1:$I$89,5,0)</f>
        <v>149.90975999999998</v>
      </c>
      <c r="DQ47" s="13">
        <f t="shared" si="43"/>
        <v>38.558077538852132</v>
      </c>
      <c r="DR47" s="20">
        <f t="shared" si="16"/>
        <v>328.24815038016737</v>
      </c>
      <c r="DS47" s="59">
        <f t="shared" si="17"/>
        <v>621.58148371350069</v>
      </c>
      <c r="DT47" s="59">
        <f ca="1">AVERAGE(OFFSET($DS$3,0,0,'Données projet'!$E$14+1,1))-AVERAGE(OFFSET($H$3,0,0,'Données projet'!$E$14+1,1))</f>
        <v>295.92103934364718</v>
      </c>
      <c r="DU47" s="59">
        <f t="shared" si="44"/>
        <v>304.84379909635476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3.3803150667249899</v>
      </c>
      <c r="EB47" s="21">
        <f>EXP(-LN(2)/25)*EB46+(1-EXP(-LN(2)/25))/(LN(2)/25)*Calculateur!DW47*Calculateur!DY47*VLOOKUP('Données projet'!$B$14,Paramètres!$A$1:$I$89,3,0)*0.475*44/12</f>
        <v>4.851319617944144</v>
      </c>
      <c r="EC47" s="21">
        <f>EXP(-LN(2)/2)*EC46+(1-EXP(-LN(2)/2))/(LN(2)/2)*DW47*DZ47*VLOOKUP('Données projet'!$B$14,Paramètres!$A$1:$I$89,3,0)*0.475*44/12</f>
        <v>4.4958707042759491E-2</v>
      </c>
      <c r="ED47" s="22">
        <f t="shared" si="18"/>
        <v>8.2765933917118932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11.5</v>
      </c>
      <c r="N48" s="13">
        <f>IF('Données projet'!$A$36&gt;35,N47+M48-V47,IF(A48&lt;'Données projet'!$A$36,$K$205^A48,IF(A48='Données projet'!$A$36,'Données projet'!$B$36,N47+M48-V47)))</f>
        <v>230.99999999999989</v>
      </c>
      <c r="O48" s="13">
        <f>N48*VLOOKUP('Données projet'!$B$9,Paramètres!$A$1:$I$89,3,0)*VLOOKUP('Données projet'!$B$9,Paramètres!$A$1:$I$89,5,0)</f>
        <v>108.10799999999995</v>
      </c>
      <c r="P48" s="13">
        <f t="shared" si="33"/>
        <v>28.884765499467136</v>
      </c>
      <c r="Q48" s="20">
        <f t="shared" si="53"/>
        <v>238.59573324490518</v>
      </c>
      <c r="R48" s="59">
        <f t="shared" si="0"/>
        <v>531.92906657823846</v>
      </c>
      <c r="S48" s="59">
        <f ca="1">AVERAGE(OFFSET($R$3,0,0,'Données projet'!$E$9+1,1))-AVERAGE(OFFSET($H$3,0,0,'Données projet'!$E$9+1,1))</f>
        <v>319.22903094674564</v>
      </c>
      <c r="T48" s="59">
        <f t="shared" si="34"/>
        <v>254.58690973142848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6.7435662649300321</v>
      </c>
      <c r="AA48" s="21">
        <f>EXP(-LN(2)/25)*AA47+(1-EXP(-LN(2)/25))/(LN(2)/25)*Calculateur!V48*Calculateur!X48*VLOOKUP('Données projet'!$B$9,Paramètres!$A$1:$I$89,3,0)*0.475*44/12</f>
        <v>7.3571276207420384</v>
      </c>
      <c r="AB48" s="21">
        <f>EXP(-LN(2)/2)*AB47+(1-EXP(-LN(2)/2))/(LN(2)/2)*V48*Y48*VLOOKUP('Données projet'!$B$9,Paramètres!$A$1:$I$89,3,0)*0.475*44/12</f>
        <v>6.1005243354717208E-2</v>
      </c>
      <c r="AC48" s="22">
        <f t="shared" si="3"/>
        <v>14.161699129026788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686</v>
      </c>
      <c r="AG48" s="12">
        <f>VLOOKUP(A48,'Données projet'!$A$61:$I$81,9,0)</f>
        <v>24.8</v>
      </c>
      <c r="AH48" s="12">
        <f t="array" ref="AH48">INDEX(AG:AG,MIN(IF(ISNUMBER(AG48:AG244),ROW(AG48:AG244),"")))</f>
        <v>24.8</v>
      </c>
      <c r="AI48" s="13">
        <f>IF('Données projet'!$A$62&gt;35,AI47+AH48-AQ47,IF(A48&lt;'Données projet'!$A$62,$AF$205^A48,IF(A48='Données projet'!$A$62,'Données projet'!$B$62,AI47+AH48-AQ47)))</f>
        <v>685.99999999999966</v>
      </c>
      <c r="AJ48" s="13">
        <f>AI48*VLOOKUP('Données projet'!$B$10,Paramètres!$A$1:$I$89,3,0)*VLOOKUP('Données projet'!$B$10,Paramètres!$A$1:$I$89,5,0)</f>
        <v>383.47399999999982</v>
      </c>
      <c r="AK48" s="13">
        <f t="shared" si="35"/>
        <v>88.418089567872116</v>
      </c>
      <c r="AL48" s="20">
        <f t="shared" si="4"/>
        <v>821.87872266404372</v>
      </c>
      <c r="AM48" s="59">
        <f t="shared" si="5"/>
        <v>1115.2120559973771</v>
      </c>
      <c r="AN48" s="59">
        <f ca="1">AVERAGE(OFFSET($AM$3,0,0,'Données projet'!$E$10+1,1))-AVERAGE(OFFSET($H$3,0,0,'Données projet'!$E$10+1,1))</f>
        <v>544.48194192356823</v>
      </c>
      <c r="AO48" s="59">
        <f t="shared" si="36"/>
        <v>668.20427590250733</v>
      </c>
      <c r="AP48" s="15">
        <f>IF(ISNA(VLOOKUP(A48,'Données projet'!$A$61:$I$81,3,0)),0,VLOOKUP(A48,'Données projet'!$A$61:$I$81,3,0))</f>
        <v>6</v>
      </c>
      <c r="AQ48" s="15">
        <f>IF(ISNA(VLOOKUP(A48,'Données projet'!$A$61:$I$81,4,0)),0,VLOOKUP(A48,'Données projet'!$A$61:$I$81,4,0))</f>
        <v>64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5.4545949194713463</v>
      </c>
      <c r="AV48" s="21">
        <f>EXP(-LN(2)/25)*AV47+(1-EXP(-LN(2)/25))/(LN(2)/25)*Calculateur!AQ48*Calculateur!AS48*VLOOKUP('Données projet'!$B$10,Paramètres!$A$1:$I$89,3,0)*0.475*44/12</f>
        <v>28.113583057721659</v>
      </c>
      <c r="AW48" s="21">
        <f>EXP(-LN(2)/2)*AW47+(1-EXP(-LN(2)/2))/(LN(2)/2)*AQ48*AT48*VLOOKUP('Données projet'!$B$10,Paramètres!$A$1:$I$89,3,0)*0.475*44/12</f>
        <v>7.9648716455525181E-2</v>
      </c>
      <c r="AX48" s="21">
        <f t="shared" si="6"/>
        <v>33.647826693648526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204</v>
      </c>
      <c r="BB48" s="12">
        <f>VLOOKUP(A48,'Données projet'!$A$87:$I$107,9,0)</f>
        <v>11.4</v>
      </c>
      <c r="BC48" s="12">
        <f t="array" ref="BC48">INDEX(BB:BB,MIN(IF(ISNUMBER(BB48:BB244),ROW(BB48:BB244),"")))</f>
        <v>11.4</v>
      </c>
      <c r="BD48" s="12">
        <f>IF('Données projet'!$A$88&gt;35,BD47+BC48-BL47,IF(A48&lt;'Données projet'!$A$88,$BA$205^A48,IF(A48='Données projet'!$A$88,'Données projet'!$B$88,BD47+BC48-BL47)))</f>
        <v>204.00000000000003</v>
      </c>
      <c r="BE48" s="13">
        <f>BD48*VLOOKUP('Données projet'!$B$11,Paramètres!$A$1:$I$89,3,0)*VLOOKUP('Données projet'!$B$11,Paramètres!$A$1:$I$89,5,0)</f>
        <v>184.57920000000001</v>
      </c>
      <c r="BF48" s="13">
        <f t="shared" si="37"/>
        <v>46.339479465836661</v>
      </c>
      <c r="BG48" s="20">
        <f t="shared" si="7"/>
        <v>402.18336673633218</v>
      </c>
      <c r="BH48" s="59">
        <f t="shared" si="8"/>
        <v>695.51670006966549</v>
      </c>
      <c r="BI48" s="59">
        <f ca="1">AVERAGE(OFFSET($BH$3,0,0,'Données projet'!$E$11+1,1))-AVERAGE(OFFSET($H$3,0,0,'Données projet'!$E$11+1,1))</f>
        <v>405.7176439604217</v>
      </c>
      <c r="BJ48" s="59">
        <f t="shared" si="38"/>
        <v>278.21741231699929</v>
      </c>
      <c r="BK48" s="15">
        <f>IF(ISNA(VLOOKUP(A48,'Données projet'!$A$87:$I$107,3,0)),0,VLOOKUP(A48,'Données projet'!$A$87:$I$107,3,0))</f>
        <v>6</v>
      </c>
      <c r="BL48" s="15">
        <f>IF(ISNA(VLOOKUP(A48,'Données projet'!$A$87:$I$107,4,0)),0,VLOOKUP(A48,'Données projet'!$A$87:$I$107,4,0))</f>
        <v>28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5.4301534306477386</v>
      </c>
      <c r="BQ48" s="21">
        <f>EXP(-LN(2)/25)*BQ47+(1-EXP(-LN(2)/25))/(LN(2)/25)*Calculateur!BL48*Calculateur!BN48*VLOOKUP('Données projet'!$B$11,Paramètres!$A$1:$I$89,3,0)*0.475*44/12</f>
        <v>6.1784414938927004</v>
      </c>
      <c r="BR48" s="21">
        <f>EXP(-LN(2)/2)*BR47+(1-EXP(-LN(2)/2))/(LN(2)/2)*BL48*BO48*VLOOKUP('Données projet'!$B$11,Paramètres!$A$1:$I$89,3,0)*0.475*44/12</f>
        <v>4.7148734376661186E-2</v>
      </c>
      <c r="BS48" s="22">
        <f t="shared" si="9"/>
        <v>11.6557436589171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>
        <f>VLOOKUP(A48,'Données projet'!$A$113:$I$133,2,0)</f>
        <v>219</v>
      </c>
      <c r="BW48" s="12">
        <f>VLOOKUP(A48,'Données projet'!$A$113:$I$133,9,0)</f>
        <v>8.8000000000000007</v>
      </c>
      <c r="BX48" s="12">
        <f t="array" ref="BX48">INDEX(BW:BW,MIN(IF(ISNUMBER(BW48:BW244),ROW(BW48:BW244),"")))</f>
        <v>8.8000000000000007</v>
      </c>
      <c r="BY48" s="12">
        <f>IF('Données projet'!$A$114&gt;35,BY47+BX48-CG47,IF(A48&lt;'Données projet'!$A$114,$BV$205^A48,IF(A48='Données projet'!$A$114,'Données projet'!$B$114,BY47+BX48-CG47)))</f>
        <v>219.00000000000014</v>
      </c>
      <c r="BZ48" s="13">
        <f>BY48*VLOOKUP('Données projet'!$B$12,Paramètres!$A$1:$I$89,3,0)*VLOOKUP('Données projet'!$B$12,Paramètres!$A$1:$I$89,5,0)</f>
        <v>191.31840000000014</v>
      </c>
      <c r="CA48" s="13">
        <f t="shared" si="39"/>
        <v>47.831314962098396</v>
      </c>
      <c r="CB48" s="20">
        <f t="shared" si="10"/>
        <v>416.51908689232158</v>
      </c>
      <c r="CC48" s="59">
        <f t="shared" si="11"/>
        <v>709.8524202256549</v>
      </c>
      <c r="CD48" s="59">
        <f ca="1">AVERAGE(OFFSET($CC$3,0,0,'Données projet'!$E$12+1,1))-AVERAGE(OFFSET($H$3,0,0,'Données projet'!$E$12+1,1))</f>
        <v>381.72225529388083</v>
      </c>
      <c r="CE48" s="59">
        <f t="shared" si="40"/>
        <v>360.05900046417361</v>
      </c>
      <c r="CF48" s="15">
        <f>IF(ISNA(VLOOKUP(A48,'Données projet'!$A$113:$I$133,3,0)),0,VLOOKUP(A48,'Données projet'!$A$113:$I$133,3,0))</f>
        <v>7</v>
      </c>
      <c r="CG48" s="15">
        <f>IF(ISNA(VLOOKUP(A48,'Données projet'!$A$113:$I$133,4,0)),0,VLOOKUP(A48,'Données projet'!$A$113:$I$133,4,0))</f>
        <v>30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3.574997102636706</v>
      </c>
      <c r="CL48" s="21">
        <f>EXP(-LN(2)/25)*CL47+(1-EXP(-LN(2)/25))/(LN(2)/25)*Calculateur!CG48*Calculateur!CI48*VLOOKUP('Données projet'!$B$12,Paramètres!$A$1:$I$89,3,0)*0.475*44/12</f>
        <v>7.4421302133178058</v>
      </c>
      <c r="CM48" s="21">
        <f>EXP(-LN(2)/2)*CM47+(1-EXP(-LN(2)/2))/(LN(2)/2)*CG48*CJ48*VLOOKUP('Données projet'!$B$12,Paramètres!$A$1:$I$89,3,0)*0.475*44/12</f>
        <v>3.8656123532172924E-2</v>
      </c>
      <c r="CN48" s="22">
        <f t="shared" si="12"/>
        <v>11.055783439486683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>
        <f>VLOOKUP(A48,'Données projet'!$A$139:$I$159,2,0)</f>
        <v>205</v>
      </c>
      <c r="CR48" s="12">
        <f>VLOOKUP(A48,'Données projet'!$A$139:$I$159,9,0)</f>
        <v>8.1999999999999993</v>
      </c>
      <c r="CS48" s="12">
        <f t="array" ref="CS48">INDEX(CR:CR,MIN(IF(ISNUMBER(CR48:CR244),ROW(CR48:CR244),"")))</f>
        <v>8.1999999999999993</v>
      </c>
      <c r="CT48" s="12">
        <f>IF('Données projet'!$A$140&gt;35,CT47+CS48-DB47,IF(A48&lt;'Données projet'!$A$140,$CQ$205^A48,IF(A48='Données projet'!$A$140,'Données projet'!$B$140,CT47+CS48-DB47)))</f>
        <v>204.99999999999994</v>
      </c>
      <c r="CU48" s="17">
        <f>CT48*VLOOKUP('Données projet'!$B$13,Paramètres!$A$1:$I$89,3,0)*VLOOKUP('Données projet'!$B$13,Paramètres!$A$1:$I$89,5,0)</f>
        <v>163.09799999999996</v>
      </c>
      <c r="CV48" s="13">
        <f t="shared" si="41"/>
        <v>41.540496136845142</v>
      </c>
      <c r="CW48" s="20">
        <f t="shared" si="13"/>
        <v>356.4120474383385</v>
      </c>
      <c r="CX48" s="59">
        <f t="shared" si="14"/>
        <v>649.74538077167176</v>
      </c>
      <c r="CY48" s="59">
        <f ca="1">AVERAGE(OFFSET($CX$3,0,0,'Données projet'!$E$13+1,1))-AVERAGE(OFFSET($H$3,0,0,'Données projet'!$E$13+1,1))</f>
        <v>299.10536994156814</v>
      </c>
      <c r="CZ48" s="59">
        <f t="shared" si="42"/>
        <v>292.57799203101769</v>
      </c>
      <c r="DA48" s="15">
        <f>IF(ISNA(VLOOKUP(A48,'Données projet'!$A$139:$I$159,3,0)),0,VLOOKUP(A48,'Données projet'!$A$139:$I$159,3,0))</f>
        <v>7</v>
      </c>
      <c r="DB48" s="15">
        <f>IF(ISNA(VLOOKUP(A48,'Données projet'!$A$139:$I$159,4,0)),0,VLOOKUP(A48,'Données projet'!$A$139:$I$159,4,0))</f>
        <v>22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6.2569867405151101</v>
      </c>
      <c r="DG48" s="21">
        <f>EXP(-LN(2)/25)*DG47+(1-EXP(-LN(2)/25))/(LN(2)/25)*Calculateur!DB48*Calculateur!DD48*VLOOKUP('Données projet'!$B$13,Paramètres!$A$1:$I$89,3,0)*0.475*44/12</f>
        <v>7.133756183339079</v>
      </c>
      <c r="DH48" s="21">
        <f>EXP(-LN(2)/2)*DH47+(1-EXP(-LN(2)/2))/(LN(2)/2)*DB48*DE48*VLOOKUP('Données projet'!$B$13,Paramètres!$A$1:$I$89,3,0)*0.475*44/12</f>
        <v>4.9567348825266984E-2</v>
      </c>
      <c r="DI48" s="22">
        <f t="shared" si="15"/>
        <v>13.440310272679456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>
        <f>VLOOKUP(A48,'Données projet'!$A$165:$I$185,2,0)</f>
        <v>237</v>
      </c>
      <c r="DM48" s="12">
        <f>VLOOKUP(A48,'Données projet'!$A$165:$I$185,9,0)</f>
        <v>8.1999999999999993</v>
      </c>
      <c r="DN48" s="12">
        <f t="array" ref="DN48">INDEX(DM:DM,MIN(IF(ISNUMBER(DM48:DM244),ROW(DM48:DM244),"")))</f>
        <v>8.1999999999999993</v>
      </c>
      <c r="DO48" s="12">
        <f>IF('Données projet'!$A$166&gt;35,DO47+DN48-DW47,IF(A48&lt;'Données projet'!$A$166,$DL$205^A48,IF(A48='Données projet'!$A$166,'Données projet'!$B$166,DO47+DN48-DW47)))</f>
        <v>236.99999999999997</v>
      </c>
      <c r="DP48" s="17">
        <f>DO48*VLOOKUP('Données projet'!$B$14,Paramètres!$A$1:$I$89,3,0)*VLOOKUP('Données projet'!$B$14,Paramètres!$A$1:$I$89,5,0)</f>
        <v>155.28239999999997</v>
      </c>
      <c r="DQ48" s="13">
        <f t="shared" si="43"/>
        <v>39.776601235546408</v>
      </c>
      <c r="DR48" s="20">
        <f t="shared" si="16"/>
        <v>339.72776048524321</v>
      </c>
      <c r="DS48" s="59">
        <f t="shared" si="17"/>
        <v>633.06109381857652</v>
      </c>
      <c r="DT48" s="59">
        <f ca="1">AVERAGE(OFFSET($DS$3,0,0,'Données projet'!$E$14+1,1))-AVERAGE(OFFSET($H$3,0,0,'Données projet'!$E$14+1,1))</f>
        <v>295.92103934364718</v>
      </c>
      <c r="DU48" s="59">
        <f t="shared" si="44"/>
        <v>304.84379909635476</v>
      </c>
      <c r="DV48" s="15">
        <f>IF(ISNA(VLOOKUP(A48,'Données projet'!$A$165:$I$185,3,0)),0,VLOOKUP(A48,'Données projet'!$A$165:$I$185,3,0))</f>
        <v>8</v>
      </c>
      <c r="DW48" s="15">
        <f>IF(ISNA(VLOOKUP(A48,'Données projet'!$A$165:$I$185,4,0)),0,VLOOKUP(A48,'Données projet'!$A$165:$I$185,4,0))</f>
        <v>28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3.3140291500551187</v>
      </c>
      <c r="EB48" s="21">
        <f>EXP(-LN(2)/25)*EB47+(1-EXP(-LN(2)/25))/(LN(2)/25)*Calculateur!DW48*Calculateur!DY48*VLOOKUP('Données projet'!$B$14,Paramètres!$A$1:$I$89,3,0)*0.475*44/12</f>
        <v>4.7186600278716506</v>
      </c>
      <c r="EC48" s="21">
        <f>EXP(-LN(2)/2)*EC47+(1-EXP(-LN(2)/2))/(LN(2)/2)*DW48*DZ48*VLOOKUP('Données projet'!$B$14,Paramètres!$A$1:$I$89,3,0)*0.475*44/12</f>
        <v>3.1790606623314628E-2</v>
      </c>
      <c r="ED48" s="22">
        <f t="shared" si="18"/>
        <v>8.064479784550084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11.5</v>
      </c>
      <c r="N49" s="13">
        <f>IF('Données projet'!$A$36&gt;35,N48+M49-V48,IF(A49&lt;'Données projet'!$A$36,$K$205^A49,IF(A49='Données projet'!$A$36,'Données projet'!$B$36,N48+M49-V48)))</f>
        <v>242.49999999999989</v>
      </c>
      <c r="O49" s="13">
        <f>N49*VLOOKUP('Données projet'!$B$9,Paramètres!$A$1:$I$89,3,0)*VLOOKUP('Données projet'!$B$9,Paramètres!$A$1:$I$89,5,0)</f>
        <v>113.48999999999994</v>
      </c>
      <c r="P49" s="13">
        <f t="shared" si="33"/>
        <v>30.151755078981495</v>
      </c>
      <c r="Q49" s="20">
        <f t="shared" si="53"/>
        <v>250.17605676255928</v>
      </c>
      <c r="R49" s="59">
        <f t="shared" si="0"/>
        <v>543.50939009589263</v>
      </c>
      <c r="S49" s="59">
        <f ca="1">AVERAGE(OFFSET($R$3,0,0,'Données projet'!$E$9+1,1))-AVERAGE(OFFSET($H$3,0,0,'Données projet'!$E$9+1,1))</f>
        <v>319.22903094674564</v>
      </c>
      <c r="T49" s="59">
        <f t="shared" si="34"/>
        <v>254.58690973142848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6.6113290436440337</v>
      </c>
      <c r="AA49" s="21">
        <f>EXP(-LN(2)/25)*AA48+(1-EXP(-LN(2)/25))/(LN(2)/25)*Calculateur!V49*Calculateur!X49*VLOOKUP('Données projet'!$B$9,Paramètres!$A$1:$I$89,3,0)*0.475*44/12</f>
        <v>7.1559465790583205</v>
      </c>
      <c r="AB49" s="21">
        <f>EXP(-LN(2)/2)*AB48+(1-EXP(-LN(2)/2))/(LN(2)/2)*V49*Y49*VLOOKUP('Données projet'!$B$9,Paramètres!$A$1:$I$89,3,0)*0.475*44/12</f>
        <v>4.3137221264056107E-2</v>
      </c>
      <c r="AC49" s="22">
        <f t="shared" si="3"/>
        <v>13.810412843966409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20.399999999999999</v>
      </c>
      <c r="AI49" s="13">
        <f>IF('Données projet'!$A$62&gt;35,AI48+AH49-AQ48,IF(A49&lt;'Données projet'!$A$62,$AF$205^A49,IF(A49='Données projet'!$A$62,'Données projet'!$B$62,AI48+AH49-AQ48)))</f>
        <v>642.39999999999964</v>
      </c>
      <c r="AJ49" s="13">
        <f>AI49*VLOOKUP('Données projet'!$B$10,Paramètres!$A$1:$I$89,3,0)*VLOOKUP('Données projet'!$B$10,Paramètres!$A$1:$I$89,5,0)</f>
        <v>359.10159999999985</v>
      </c>
      <c r="AK49" s="13">
        <f t="shared" si="35"/>
        <v>83.433815871723468</v>
      </c>
      <c r="AL49" s="20">
        <f t="shared" si="4"/>
        <v>770.74918264325152</v>
      </c>
      <c r="AM49" s="59">
        <f t="shared" si="5"/>
        <v>1064.0825159765848</v>
      </c>
      <c r="AN49" s="59">
        <f ca="1">AVERAGE(OFFSET($AM$3,0,0,'Données projet'!$E$10+1,1))-AVERAGE(OFFSET($H$3,0,0,'Données projet'!$E$10+1,1))</f>
        <v>544.48194192356823</v>
      </c>
      <c r="AO49" s="59">
        <f t="shared" si="36"/>
        <v>668.20427590250733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5.3476336400749025</v>
      </c>
      <c r="AV49" s="21">
        <f>EXP(-LN(2)/25)*AV48+(1-EXP(-LN(2)/25))/(LN(2)/25)*Calculateur!AQ49*Calculateur!AS49*VLOOKUP('Données projet'!$B$10,Paramètres!$A$1:$I$89,3,0)*0.475*44/12</f>
        <v>27.344815650579182</v>
      </c>
      <c r="AW49" s="21">
        <f>EXP(-LN(2)/2)*AW48+(1-EXP(-LN(2)/2))/(LN(2)/2)*AQ49*AT49*VLOOKUP('Données projet'!$B$10,Paramètres!$A$1:$I$89,3,0)*0.475*44/12</f>
        <v>5.6320147518506412E-2</v>
      </c>
      <c r="AX49" s="21">
        <f t="shared" si="6"/>
        <v>32.748769438172587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11</v>
      </c>
      <c r="BD49" s="12">
        <f>IF('Données projet'!$A$88&gt;35,BD48+BC49-BL48,IF(A49&lt;'Données projet'!$A$88,$BA$205^A49,IF(A49='Données projet'!$A$88,'Données projet'!$B$88,BD48+BC49-BL48)))</f>
        <v>187.00000000000003</v>
      </c>
      <c r="BE49" s="13">
        <f>BD49*VLOOKUP('Données projet'!$B$11,Paramètres!$A$1:$I$89,3,0)*VLOOKUP('Données projet'!$B$11,Paramètres!$A$1:$I$89,5,0)</f>
        <v>169.19760000000002</v>
      </c>
      <c r="BF49" s="13">
        <f t="shared" si="37"/>
        <v>42.910263223432885</v>
      </c>
      <c r="BG49" s="20">
        <f t="shared" si="7"/>
        <v>369.42119511414558</v>
      </c>
      <c r="BH49" s="59">
        <f t="shared" si="8"/>
        <v>662.75452844747883</v>
      </c>
      <c r="BI49" s="59">
        <f ca="1">AVERAGE(OFFSET($BH$3,0,0,'Données projet'!$E$11+1,1))-AVERAGE(OFFSET($H$3,0,0,'Données projet'!$E$11+1,1))</f>
        <v>405.7176439604217</v>
      </c>
      <c r="BJ49" s="59">
        <f t="shared" si="38"/>
        <v>278.21741231699929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5.3236714339392899</v>
      </c>
      <c r="BQ49" s="21">
        <f>EXP(-LN(2)/25)*BQ48+(1-EXP(-LN(2)/25))/(LN(2)/25)*Calculateur!BL49*Calculateur!BN49*VLOOKUP('Données projet'!$B$11,Paramètres!$A$1:$I$89,3,0)*0.475*44/12</f>
        <v>6.0094916863320877</v>
      </c>
      <c r="BR49" s="21">
        <f>EXP(-LN(2)/2)*BR48+(1-EXP(-LN(2)/2))/(LN(2)/2)*BL49*BO49*VLOOKUP('Données projet'!$B$11,Paramètres!$A$1:$I$89,3,0)*0.475*44/12</f>
        <v>3.3339189802100412E-2</v>
      </c>
      <c r="BS49" s="22">
        <f t="shared" si="9"/>
        <v>11.366502310073479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8.1999999999999993</v>
      </c>
      <c r="BY49" s="12">
        <f>IF('Données projet'!$A$114&gt;35,BY48+BX49-CG48,IF(A49&lt;'Données projet'!$A$114,$BV$205^A49,IF(A49='Données projet'!$A$114,'Données projet'!$B$114,BY48+BX49-CG48)))</f>
        <v>197.20000000000013</v>
      </c>
      <c r="BZ49" s="13">
        <f>BY49*VLOOKUP('Données projet'!$B$12,Paramètres!$A$1:$I$89,3,0)*VLOOKUP('Données projet'!$B$12,Paramètres!$A$1:$I$89,5,0)</f>
        <v>172.27392000000015</v>
      </c>
      <c r="CA49" s="13">
        <f t="shared" si="39"/>
        <v>43.59891151369964</v>
      </c>
      <c r="CB49" s="20">
        <f t="shared" si="10"/>
        <v>375.97851488636047</v>
      </c>
      <c r="CC49" s="59">
        <f t="shared" si="11"/>
        <v>669.31184821969373</v>
      </c>
      <c r="CD49" s="59">
        <f ca="1">AVERAGE(OFFSET($CC$3,0,0,'Données projet'!$E$12+1,1))-AVERAGE(OFFSET($H$3,0,0,'Données projet'!$E$12+1,1))</f>
        <v>381.72225529388083</v>
      </c>
      <c r="CE49" s="59">
        <f t="shared" si="40"/>
        <v>360.05900046417361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3.5048935899869229</v>
      </c>
      <c r="CL49" s="21">
        <f>EXP(-LN(2)/25)*CL48+(1-EXP(-LN(2)/25))/(LN(2)/25)*Calculateur!CG49*Calculateur!CI49*VLOOKUP('Données projet'!$B$12,Paramètres!$A$1:$I$89,3,0)*0.475*44/12</f>
        <v>7.238624771270012</v>
      </c>
      <c r="CM49" s="21">
        <f>EXP(-LN(2)/2)*CM48+(1-EXP(-LN(2)/2))/(LN(2)/2)*CG49*CJ49*VLOOKUP('Données projet'!$B$12,Paramètres!$A$1:$I$89,3,0)*0.475*44/12</f>
        <v>2.7334007083984351E-2</v>
      </c>
      <c r="CN49" s="22">
        <f t="shared" si="12"/>
        <v>10.77085236834092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7.2</v>
      </c>
      <c r="CT49" s="12">
        <f>IF('Données projet'!$A$140&gt;35,CT48+CS49-DB48,IF(A49&lt;'Données projet'!$A$140,$CQ$205^A49,IF(A49='Données projet'!$A$140,'Données projet'!$B$140,CT48+CS49-DB48)))</f>
        <v>190.19999999999993</v>
      </c>
      <c r="CU49" s="17">
        <f>CT49*VLOOKUP('Données projet'!$B$13,Paramètres!$A$1:$I$89,3,0)*VLOOKUP('Données projet'!$B$13,Paramètres!$A$1:$I$89,5,0)</f>
        <v>151.32311999999996</v>
      </c>
      <c r="CV49" s="13">
        <f t="shared" si="41"/>
        <v>38.879115530839606</v>
      </c>
      <c r="CW49" s="20">
        <f t="shared" si="13"/>
        <v>331.26889354954557</v>
      </c>
      <c r="CX49" s="59">
        <f t="shared" si="14"/>
        <v>624.60222688287888</v>
      </c>
      <c r="CY49" s="59">
        <f ca="1">AVERAGE(OFFSET($CX$3,0,0,'Données projet'!$E$13+1,1))-AVERAGE(OFFSET($H$3,0,0,'Données projet'!$E$13+1,1))</f>
        <v>299.10536994156814</v>
      </c>
      <c r="CZ49" s="59">
        <f t="shared" si="42"/>
        <v>292.57799203101769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6.1342910469186833</v>
      </c>
      <c r="DG49" s="21">
        <f>EXP(-LN(2)/25)*DG48+(1-EXP(-LN(2)/25))/(LN(2)/25)*Calculateur!DB49*Calculateur!DD49*VLOOKUP('Données projet'!$B$13,Paramètres!$A$1:$I$89,3,0)*0.475*44/12</f>
        <v>6.9386832453577387</v>
      </c>
      <c r="DH49" s="21">
        <f>EXP(-LN(2)/2)*DH48+(1-EXP(-LN(2)/2))/(LN(2)/2)*DB49*DE49*VLOOKUP('Données projet'!$B$13,Paramètres!$A$1:$I$89,3,0)*0.475*44/12</f>
        <v>3.5049408479785334E-2</v>
      </c>
      <c r="DI49" s="22">
        <f t="shared" si="15"/>
        <v>13.108023700756208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7.4</v>
      </c>
      <c r="DO49" s="12">
        <f>IF('Données projet'!$A$166&gt;35,DO48+DN49-DW48,IF(A49&lt;'Données projet'!$A$166,$DL$205^A49,IF(A49='Données projet'!$A$166,'Données projet'!$B$166,DO48+DN49-DW48)))</f>
        <v>216.39999999999998</v>
      </c>
      <c r="DP49" s="17">
        <f>DO49*VLOOKUP('Données projet'!$B$14,Paramètres!$A$1:$I$89,3,0)*VLOOKUP('Données projet'!$B$14,Paramètres!$A$1:$I$89,5,0)</f>
        <v>141.78528</v>
      </c>
      <c r="DQ49" s="13">
        <f t="shared" si="43"/>
        <v>36.705685970912178</v>
      </c>
      <c r="DR49" s="20">
        <f t="shared" si="16"/>
        <v>310.87176573267203</v>
      </c>
      <c r="DS49" s="59">
        <f t="shared" si="17"/>
        <v>604.20509906600535</v>
      </c>
      <c r="DT49" s="59">
        <f ca="1">AVERAGE(OFFSET($DS$3,0,0,'Données projet'!$E$14+1,1))-AVERAGE(OFFSET($H$3,0,0,'Données projet'!$E$14+1,1))</f>
        <v>295.92103934364718</v>
      </c>
      <c r="DU49" s="59">
        <f t="shared" si="44"/>
        <v>304.84379909635476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3.2490430597807269</v>
      </c>
      <c r="EB49" s="21">
        <f>EXP(-LN(2)/25)*EB48+(1-EXP(-LN(2)/25))/(LN(2)/25)*Calculateur!DW49*Calculateur!DY49*VLOOKUP('Données projet'!$B$14,Paramètres!$A$1:$I$89,3,0)*0.475*44/12</f>
        <v>4.5896280212659537</v>
      </c>
      <c r="EC49" s="21">
        <f>EXP(-LN(2)/2)*EC48+(1-EXP(-LN(2)/2))/(LN(2)/2)*DW49*DZ49*VLOOKUP('Données projet'!$B$14,Paramètres!$A$1:$I$89,3,0)*0.475*44/12</f>
        <v>2.2479353521379745E-2</v>
      </c>
      <c r="ED49" s="22">
        <f t="shared" si="18"/>
        <v>7.8611504345680601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11.5</v>
      </c>
      <c r="N50" s="13">
        <f>IF('Données projet'!$A$36&gt;35,N49+M50-V49,IF(A50&lt;'Données projet'!$A$36,$K$205^A50,IF(A50='Données projet'!$A$36,'Données projet'!$B$36,N49+M50-V49)))</f>
        <v>253.99999999999989</v>
      </c>
      <c r="O50" s="13">
        <f>N50*VLOOKUP('Données projet'!$B$9,Paramètres!$A$1:$I$89,3,0)*VLOOKUP('Données projet'!$B$9,Paramètres!$A$1:$I$89,5,0)</f>
        <v>118.87199999999994</v>
      </c>
      <c r="P50" s="13">
        <f t="shared" si="33"/>
        <v>31.411767382096219</v>
      </c>
      <c r="Q50" s="20">
        <f t="shared" si="53"/>
        <v>261.74422819048414</v>
      </c>
      <c r="R50" s="59">
        <f t="shared" si="0"/>
        <v>555.07756152381739</v>
      </c>
      <c r="S50" s="59">
        <f ca="1">AVERAGE(OFFSET($R$3,0,0,'Données projet'!$E$9+1,1))-AVERAGE(OFFSET($H$3,0,0,'Données projet'!$E$9+1,1))</f>
        <v>319.22903094674564</v>
      </c>
      <c r="T50" s="59">
        <f t="shared" si="34"/>
        <v>254.58690973142848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6.4816849136107137</v>
      </c>
      <c r="AA50" s="21">
        <f>EXP(-LN(2)/25)*AA49+(1-EXP(-LN(2)/25))/(LN(2)/25)*Calculateur!V50*Calculateur!X50*VLOOKUP('Données projet'!$B$9,Paramètres!$A$1:$I$89,3,0)*0.475*44/12</f>
        <v>6.9602668435390953</v>
      </c>
      <c r="AB50" s="21">
        <f>EXP(-LN(2)/2)*AB49+(1-EXP(-LN(2)/2))/(LN(2)/2)*V50*Y50*VLOOKUP('Données projet'!$B$9,Paramètres!$A$1:$I$89,3,0)*0.475*44/12</f>
        <v>3.0502621677358607E-2</v>
      </c>
      <c r="AC50" s="22">
        <f t="shared" si="3"/>
        <v>13.472454378827168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20.399999999999999</v>
      </c>
      <c r="AI50" s="13">
        <f>IF('Données projet'!$A$62&gt;35,AI49+AH50-AQ49,IF(A50&lt;'Données projet'!$A$62,$AF$205^A50,IF(A50='Données projet'!$A$62,'Données projet'!$B$62,AI49+AH50-AQ49)))</f>
        <v>662.79999999999961</v>
      </c>
      <c r="AJ50" s="13">
        <f>AI50*VLOOKUP('Données projet'!$B$10,Paramètres!$A$1:$I$89,3,0)*VLOOKUP('Données projet'!$B$10,Paramètres!$A$1:$I$89,5,0)</f>
        <v>370.50519999999983</v>
      </c>
      <c r="AK50" s="13">
        <f t="shared" si="35"/>
        <v>85.770652719303072</v>
      </c>
      <c r="AL50" s="20">
        <f t="shared" si="4"/>
        <v>794.6804434861192</v>
      </c>
      <c r="AM50" s="59">
        <f t="shared" si="5"/>
        <v>1088.0137768194525</v>
      </c>
      <c r="AN50" s="59">
        <f ca="1">AVERAGE(OFFSET($AM$3,0,0,'Données projet'!$E$10+1,1))-AVERAGE(OFFSET($H$3,0,0,'Données projet'!$E$10+1,1))</f>
        <v>544.48194192356823</v>
      </c>
      <c r="AO50" s="59">
        <f t="shared" si="36"/>
        <v>668.20427590250733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5.2427698061274848</v>
      </c>
      <c r="AV50" s="21">
        <f>EXP(-LN(2)/25)*AV49+(1-EXP(-LN(2)/25))/(LN(2)/25)*Calculateur!AQ50*Calculateur!AS50*VLOOKUP('Données projet'!$B$10,Paramètres!$A$1:$I$89,3,0)*0.475*44/12</f>
        <v>26.597070228612736</v>
      </c>
      <c r="AW50" s="21">
        <f>EXP(-LN(2)/2)*AW49+(1-EXP(-LN(2)/2))/(LN(2)/2)*AQ50*AT50*VLOOKUP('Données projet'!$B$10,Paramètres!$A$1:$I$89,3,0)*0.475*44/12</f>
        <v>3.9824358227762591E-2</v>
      </c>
      <c r="AX50" s="21">
        <f t="shared" si="6"/>
        <v>31.879664392967982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11</v>
      </c>
      <c r="BD50" s="12">
        <f>IF('Données projet'!$A$88&gt;35,BD49+BC50-BL49,IF(A50&lt;'Données projet'!$A$88,$BA$205^A50,IF(A50='Données projet'!$A$88,'Données projet'!$B$88,BD49+BC50-BL49)))</f>
        <v>198.00000000000003</v>
      </c>
      <c r="BE50" s="13">
        <f>BD50*VLOOKUP('Données projet'!$B$11,Paramètres!$A$1:$I$89,3,0)*VLOOKUP('Données projet'!$B$11,Paramètres!$A$1:$I$89,5,0)</f>
        <v>179.15040000000002</v>
      </c>
      <c r="BF50" s="13">
        <f t="shared" si="37"/>
        <v>45.133113803437304</v>
      </c>
      <c r="BG50" s="20">
        <f t="shared" si="7"/>
        <v>390.62711987431999</v>
      </c>
      <c r="BH50" s="59">
        <f t="shared" si="8"/>
        <v>683.96045320765325</v>
      </c>
      <c r="BI50" s="59">
        <f ca="1">AVERAGE(OFFSET($BH$3,0,0,'Données projet'!$E$11+1,1))-AVERAGE(OFFSET($H$3,0,0,'Données projet'!$E$11+1,1))</f>
        <v>405.7176439604217</v>
      </c>
      <c r="BJ50" s="59">
        <f t="shared" si="38"/>
        <v>278.21741231699929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5.2192774842386891</v>
      </c>
      <c r="BQ50" s="21">
        <f>EXP(-LN(2)/25)*BQ49+(1-EXP(-LN(2)/25))/(LN(2)/25)*Calculateur!BL50*Calculateur!BN50*VLOOKUP('Données projet'!$B$11,Paramètres!$A$1:$I$89,3,0)*0.475*44/12</f>
        <v>5.845161820143904</v>
      </c>
      <c r="BR50" s="21">
        <f>EXP(-LN(2)/2)*BR49+(1-EXP(-LN(2)/2))/(LN(2)/2)*BL50*BO50*VLOOKUP('Données projet'!$B$11,Paramètres!$A$1:$I$89,3,0)*0.475*44/12</f>
        <v>2.3574367188330593E-2</v>
      </c>
      <c r="BS50" s="22">
        <f t="shared" si="9"/>
        <v>11.088013671570923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8.1999999999999993</v>
      </c>
      <c r="BY50" s="12">
        <f>IF('Données projet'!$A$114&gt;35,BY49+BX50-CG49,IF(A50&lt;'Données projet'!$A$114,$BV$205^A50,IF(A50='Données projet'!$A$114,'Données projet'!$B$114,BY49+BX50-CG49)))</f>
        <v>205.40000000000012</v>
      </c>
      <c r="BZ50" s="13">
        <f>BY50*VLOOKUP('Données projet'!$B$12,Paramètres!$A$1:$I$89,3,0)*VLOOKUP('Données projet'!$B$12,Paramètres!$A$1:$I$89,5,0)</f>
        <v>179.43744000000012</v>
      </c>
      <c r="CA50" s="13">
        <f t="shared" si="39"/>
        <v>45.197004138831659</v>
      </c>
      <c r="CB50" s="20">
        <f t="shared" si="10"/>
        <v>391.23832354179859</v>
      </c>
      <c r="CC50" s="59">
        <f t="shared" si="11"/>
        <v>684.57165687513191</v>
      </c>
      <c r="CD50" s="59">
        <f ca="1">AVERAGE(OFFSET($CC$3,0,0,'Données projet'!$E$12+1,1))-AVERAGE(OFFSET($H$3,0,0,'Données projet'!$E$12+1,1))</f>
        <v>381.72225529388083</v>
      </c>
      <c r="CE50" s="59">
        <f t="shared" si="40"/>
        <v>360.05900046417361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3.4361647644612816</v>
      </c>
      <c r="CL50" s="21">
        <f>EXP(-LN(2)/25)*CL49+(1-EXP(-LN(2)/25))/(LN(2)/25)*Calculateur!CG50*Calculateur!CI50*VLOOKUP('Données projet'!$B$12,Paramètres!$A$1:$I$89,3,0)*0.475*44/12</f>
        <v>7.0406841962369011</v>
      </c>
      <c r="CM50" s="21">
        <f>EXP(-LN(2)/2)*CM49+(1-EXP(-LN(2)/2))/(LN(2)/2)*CG50*CJ50*VLOOKUP('Données projet'!$B$12,Paramètres!$A$1:$I$89,3,0)*0.475*44/12</f>
        <v>1.9328061766086462E-2</v>
      </c>
      <c r="CN50" s="22">
        <f t="shared" si="12"/>
        <v>10.49617702246427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7.2</v>
      </c>
      <c r="CT50" s="12">
        <f>IF('Données projet'!$A$140&gt;35,CT49+CS50-DB49,IF(A50&lt;'Données projet'!$A$140,$CQ$205^A50,IF(A50='Données projet'!$A$140,'Données projet'!$B$140,CT49+CS50-DB49)))</f>
        <v>197.39999999999992</v>
      </c>
      <c r="CU50" s="17">
        <f>CT50*VLOOKUP('Données projet'!$B$13,Paramètres!$A$1:$I$89,3,0)*VLOOKUP('Données projet'!$B$13,Paramètres!$A$1:$I$89,5,0)</f>
        <v>157.05143999999996</v>
      </c>
      <c r="CV50" s="13">
        <f t="shared" si="41"/>
        <v>40.176741230099708</v>
      </c>
      <c r="CW50" s="20">
        <f t="shared" si="13"/>
        <v>343.50574897575689</v>
      </c>
      <c r="CX50" s="59">
        <f t="shared" si="14"/>
        <v>636.83908230909014</v>
      </c>
      <c r="CY50" s="59">
        <f ca="1">AVERAGE(OFFSET($CX$3,0,0,'Données projet'!$E$13+1,1))-AVERAGE(OFFSET($H$3,0,0,'Données projet'!$E$13+1,1))</f>
        <v>299.10536994156814</v>
      </c>
      <c r="CZ50" s="59">
        <f t="shared" si="42"/>
        <v>292.57799203101769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6.0140013410366997</v>
      </c>
      <c r="DG50" s="21">
        <f>EXP(-LN(2)/25)*DG49+(1-EXP(-LN(2)/25))/(LN(2)/25)*Calculateur!DB50*Calculateur!DD50*VLOOKUP('Données projet'!$B$13,Paramètres!$A$1:$I$89,3,0)*0.475*44/12</f>
        <v>6.7489445871239377</v>
      </c>
      <c r="DH50" s="21">
        <f>EXP(-LN(2)/2)*DH49+(1-EXP(-LN(2)/2))/(LN(2)/2)*DB50*DE50*VLOOKUP('Données projet'!$B$13,Paramètres!$A$1:$I$89,3,0)*0.475*44/12</f>
        <v>2.4783674412633492E-2</v>
      </c>
      <c r="DI50" s="22">
        <f t="shared" si="15"/>
        <v>12.78772960257327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7.4</v>
      </c>
      <c r="DO50" s="12">
        <f>IF('Données projet'!$A$166&gt;35,DO49+DN50-DW49,IF(A50&lt;'Données projet'!$A$166,$DL$205^A50,IF(A50='Données projet'!$A$166,'Données projet'!$B$166,DO49+DN50-DW49)))</f>
        <v>223.79999999999998</v>
      </c>
      <c r="DP50" s="17">
        <f>DO50*VLOOKUP('Données projet'!$B$14,Paramètres!$A$1:$I$89,3,0)*VLOOKUP('Données projet'!$B$14,Paramètres!$A$1:$I$89,5,0)</f>
        <v>146.63376</v>
      </c>
      <c r="DQ50" s="13">
        <f t="shared" si="43"/>
        <v>37.812587902416553</v>
      </c>
      <c r="DR50" s="20">
        <f t="shared" si="16"/>
        <v>321.24405593004218</v>
      </c>
      <c r="DS50" s="59">
        <f t="shared" si="17"/>
        <v>614.57738926337549</v>
      </c>
      <c r="DT50" s="59">
        <f ca="1">AVERAGE(OFFSET($DS$3,0,0,'Données projet'!$E$14+1,1))-AVERAGE(OFFSET($H$3,0,0,'Données projet'!$E$14+1,1))</f>
        <v>295.92103934364718</v>
      </c>
      <c r="DU50" s="59">
        <f t="shared" si="44"/>
        <v>304.84379909635476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3.1853313070990148</v>
      </c>
      <c r="EB50" s="21">
        <f>EXP(-LN(2)/25)*EB49+(1-EXP(-LN(2)/25))/(LN(2)/25)*Calculateur!DW50*Calculateur!DY50*VLOOKUP('Données projet'!$B$14,Paramètres!$A$1:$I$89,3,0)*0.475*44/12</f>
        <v>4.4641244016663881</v>
      </c>
      <c r="EC50" s="21">
        <f>EXP(-LN(2)/2)*EC49+(1-EXP(-LN(2)/2))/(LN(2)/2)*DW50*DZ50*VLOOKUP('Données projet'!$B$14,Paramètres!$A$1:$I$89,3,0)*0.475*44/12</f>
        <v>1.5895303311657314E-2</v>
      </c>
      <c r="ED50" s="22">
        <f t="shared" si="18"/>
        <v>7.6653510120770605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11.5</v>
      </c>
      <c r="N51" s="13">
        <f>IF('Données projet'!$A$36&gt;35,N50+M51-V50,IF(A51&lt;'Données projet'!$A$36,$K$205^A51,IF(A51='Données projet'!$A$36,'Données projet'!$B$36,N50+M51-V50)))</f>
        <v>265.49999999999989</v>
      </c>
      <c r="O51" s="13">
        <f>N51*VLOOKUP('Données projet'!$B$9,Paramètres!$A$1:$I$89,3,0)*VLOOKUP('Données projet'!$B$9,Paramètres!$A$1:$I$89,5,0)</f>
        <v>124.25399999999995</v>
      </c>
      <c r="P51" s="13">
        <f t="shared" si="33"/>
        <v>32.665154397958723</v>
      </c>
      <c r="Q51" s="20">
        <f t="shared" si="53"/>
        <v>273.30086057644468</v>
      </c>
      <c r="R51" s="59">
        <f t="shared" si="0"/>
        <v>566.63419390977799</v>
      </c>
      <c r="S51" s="59">
        <f ca="1">AVERAGE(OFFSET($R$3,0,0,'Données projet'!$E$9+1,1))-AVERAGE(OFFSET($H$3,0,0,'Données projet'!$E$9+1,1))</f>
        <v>319.22903094674564</v>
      </c>
      <c r="T51" s="59">
        <f t="shared" si="34"/>
        <v>254.58690973142848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6.3545830258922358</v>
      </c>
      <c r="AA51" s="21">
        <f>EXP(-LN(2)/25)*AA50+(1-EXP(-LN(2)/25))/(LN(2)/25)*Calculateur!V51*Calculateur!X51*VLOOKUP('Données projet'!$B$9,Paramètres!$A$1:$I$89,3,0)*0.475*44/12</f>
        <v>6.7699379806779936</v>
      </c>
      <c r="AB51" s="21">
        <f>EXP(-LN(2)/2)*AB50+(1-EXP(-LN(2)/2))/(LN(2)/2)*V51*Y51*VLOOKUP('Données projet'!$B$9,Paramètres!$A$1:$I$89,3,0)*0.475*44/12</f>
        <v>2.1568610632028057E-2</v>
      </c>
      <c r="AC51" s="22">
        <f t="shared" si="3"/>
        <v>13.146089617202259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20.399999999999999</v>
      </c>
      <c r="AI51" s="13">
        <f>IF('Données projet'!$A$62&gt;35,AI50+AH51-AQ50,IF(A51&lt;'Données projet'!$A$62,$AF$205^A51,IF(A51='Données projet'!$A$62,'Données projet'!$B$62,AI50+AH51-AQ50)))</f>
        <v>683.19999999999959</v>
      </c>
      <c r="AJ51" s="13">
        <f>AI51*VLOOKUP('Données projet'!$B$10,Paramètres!$A$1:$I$89,3,0)*VLOOKUP('Données projet'!$B$10,Paramètres!$A$1:$I$89,5,0)</f>
        <v>381.90879999999981</v>
      </c>
      <c r="AK51" s="13">
        <f t="shared" si="35"/>
        <v>88.099131154986978</v>
      </c>
      <c r="AL51" s="20">
        <f t="shared" si="4"/>
        <v>818.59714676160195</v>
      </c>
      <c r="AM51" s="59">
        <f t="shared" si="5"/>
        <v>1111.9304800949353</v>
      </c>
      <c r="AN51" s="59">
        <f ca="1">AVERAGE(OFFSET($AM$3,0,0,'Données projet'!$E$10+1,1))-AVERAGE(OFFSET($H$3,0,0,'Données projet'!$E$10+1,1))</f>
        <v>544.48194192356823</v>
      </c>
      <c r="AO51" s="59">
        <f t="shared" si="36"/>
        <v>668.20427590250733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5.1399622880031526</v>
      </c>
      <c r="AV51" s="21">
        <f>EXP(-LN(2)/25)*AV50+(1-EXP(-LN(2)/25))/(LN(2)/25)*Calculateur!AQ51*Calculateur!AS51*VLOOKUP('Données projet'!$B$10,Paramètres!$A$1:$I$89,3,0)*0.475*44/12</f>
        <v>25.869771944532186</v>
      </c>
      <c r="AW51" s="21">
        <f>EXP(-LN(2)/2)*AW50+(1-EXP(-LN(2)/2))/(LN(2)/2)*AQ51*AT51*VLOOKUP('Données projet'!$B$10,Paramètres!$A$1:$I$89,3,0)*0.475*44/12</f>
        <v>2.8160073759253206E-2</v>
      </c>
      <c r="AX51" s="21">
        <f t="shared" si="6"/>
        <v>31.037894306294589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11</v>
      </c>
      <c r="BD51" s="12">
        <f>IF('Données projet'!$A$88&gt;35,BD50+BC51-BL50,IF(A51&lt;'Données projet'!$A$88,$BA$205^A51,IF(A51='Données projet'!$A$88,'Données projet'!$B$88,BD50+BC51-BL50)))</f>
        <v>209.00000000000003</v>
      </c>
      <c r="BE51" s="13">
        <f>BD51*VLOOKUP('Données projet'!$B$11,Paramètres!$A$1:$I$89,3,0)*VLOOKUP('Données projet'!$B$11,Paramètres!$A$1:$I$89,5,0)</f>
        <v>189.10320000000002</v>
      </c>
      <c r="BF51" s="13">
        <f t="shared" si="37"/>
        <v>47.34162854278712</v>
      </c>
      <c r="BG51" s="20">
        <f t="shared" si="7"/>
        <v>411.80807637868764</v>
      </c>
      <c r="BH51" s="59">
        <f t="shared" si="8"/>
        <v>705.14140971202096</v>
      </c>
      <c r="BI51" s="59">
        <f ca="1">AVERAGE(OFFSET($BH$3,0,0,'Données projet'!$E$11+1,1))-AVERAGE(OFFSET($H$3,0,0,'Données projet'!$E$11+1,1))</f>
        <v>405.7176439604217</v>
      </c>
      <c r="BJ51" s="59">
        <f t="shared" si="38"/>
        <v>278.21741231699929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5.1169306362176945</v>
      </c>
      <c r="BQ51" s="21">
        <f>EXP(-LN(2)/25)*BQ50+(1-EXP(-LN(2)/25))/(LN(2)/25)*Calculateur!BL51*Calculateur!BN51*VLOOKUP('Données projet'!$B$11,Paramètres!$A$1:$I$89,3,0)*0.475*44/12</f>
        <v>5.6853255627883676</v>
      </c>
      <c r="BR51" s="21">
        <f>EXP(-LN(2)/2)*BR50+(1-EXP(-LN(2)/2))/(LN(2)/2)*BL51*BO51*VLOOKUP('Données projet'!$B$11,Paramètres!$A$1:$I$89,3,0)*0.475*44/12</f>
        <v>1.6669594901050206E-2</v>
      </c>
      <c r="BS51" s="22">
        <f t="shared" si="9"/>
        <v>10.818925793907113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8.1999999999999993</v>
      </c>
      <c r="BY51" s="12">
        <f>IF('Données projet'!$A$114&gt;35,BY50+BX51-CG50,IF(A51&lt;'Données projet'!$A$114,$BV$205^A51,IF(A51='Données projet'!$A$114,'Données projet'!$B$114,BY50+BX51-CG50)))</f>
        <v>213.60000000000011</v>
      </c>
      <c r="BZ51" s="13">
        <f>BY51*VLOOKUP('Données projet'!$B$12,Paramètres!$A$1:$I$89,3,0)*VLOOKUP('Données projet'!$B$12,Paramètres!$A$1:$I$89,5,0)</f>
        <v>186.60096000000013</v>
      </c>
      <c r="CA51" s="13">
        <f t="shared" si="39"/>
        <v>46.787685683664144</v>
      </c>
      <c r="CB51" s="20">
        <f t="shared" si="10"/>
        <v>406.48522456571527</v>
      </c>
      <c r="CC51" s="59">
        <f t="shared" si="11"/>
        <v>699.81855789904853</v>
      </c>
      <c r="CD51" s="59">
        <f ca="1">AVERAGE(OFFSET($CC$3,0,0,'Données projet'!$E$12+1,1))-AVERAGE(OFFSET($H$3,0,0,'Données projet'!$E$12+1,1))</f>
        <v>381.72225529388083</v>
      </c>
      <c r="CE51" s="59">
        <f t="shared" si="40"/>
        <v>360.05900046417361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3.3687836692837538</v>
      </c>
      <c r="CL51" s="21">
        <f>EXP(-LN(2)/25)*CL50+(1-EXP(-LN(2)/25))/(LN(2)/25)*Calculateur!CG51*Calculateur!CI51*VLOOKUP('Données projet'!$B$12,Paramètres!$A$1:$I$89,3,0)*0.475*44/12</f>
        <v>6.8481563166373132</v>
      </c>
      <c r="CM51" s="21">
        <f>EXP(-LN(2)/2)*CM50+(1-EXP(-LN(2)/2))/(LN(2)/2)*CG51*CJ51*VLOOKUP('Données projet'!$B$12,Paramètres!$A$1:$I$89,3,0)*0.475*44/12</f>
        <v>1.3667003541992176E-2</v>
      </c>
      <c r="CN51" s="22">
        <f t="shared" si="12"/>
        <v>10.230606989463059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7.2</v>
      </c>
      <c r="CT51" s="12">
        <f>IF('Données projet'!$A$140&gt;35,CT50+CS51-DB50,IF(A51&lt;'Données projet'!$A$140,$CQ$205^A51,IF(A51='Données projet'!$A$140,'Données projet'!$B$140,CT50+CS51-DB50)))</f>
        <v>204.59999999999991</v>
      </c>
      <c r="CU51" s="17">
        <f>CT51*VLOOKUP('Données projet'!$B$13,Paramètres!$A$1:$I$89,3,0)*VLOOKUP('Données projet'!$B$13,Paramètres!$A$1:$I$89,5,0)</f>
        <v>162.77975999999995</v>
      </c>
      <c r="CV51" s="13">
        <f t="shared" si="41"/>
        <v>41.468868129640057</v>
      </c>
      <c r="CW51" s="20">
        <f t="shared" si="13"/>
        <v>355.73302732578964</v>
      </c>
      <c r="CX51" s="59">
        <f t="shared" si="14"/>
        <v>649.06636065912289</v>
      </c>
      <c r="CY51" s="59">
        <f ca="1">AVERAGE(OFFSET($CX$3,0,0,'Données projet'!$E$13+1,1))-AVERAGE(OFFSET($H$3,0,0,'Données projet'!$E$13+1,1))</f>
        <v>299.10536994156814</v>
      </c>
      <c r="CZ51" s="59">
        <f t="shared" si="42"/>
        <v>292.57799203101769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5.8960704429175852</v>
      </c>
      <c r="DG51" s="21">
        <f>EXP(-LN(2)/25)*DG50+(1-EXP(-LN(2)/25))/(LN(2)/25)*Calculateur!DB51*Calculateur!DD51*VLOOKUP('Données projet'!$B$13,Paramètres!$A$1:$I$89,3,0)*0.475*44/12</f>
        <v>6.5643943424774625</v>
      </c>
      <c r="DH51" s="21">
        <f>EXP(-LN(2)/2)*DH50+(1-EXP(-LN(2)/2))/(LN(2)/2)*DB51*DE51*VLOOKUP('Données projet'!$B$13,Paramètres!$A$1:$I$89,3,0)*0.475*44/12</f>
        <v>1.7524704239892667E-2</v>
      </c>
      <c r="DI51" s="22">
        <f t="shared" si="15"/>
        <v>12.47798948963494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7.4</v>
      </c>
      <c r="DO51" s="12">
        <f>IF('Données projet'!$A$166&gt;35,DO50+DN51-DW50,IF(A51&lt;'Données projet'!$A$166,$DL$205^A51,IF(A51='Données projet'!$A$166,'Données projet'!$B$166,DO50+DN51-DW50)))</f>
        <v>231.2</v>
      </c>
      <c r="DP51" s="17">
        <f>DO51*VLOOKUP('Données projet'!$B$14,Paramètres!$A$1:$I$89,3,0)*VLOOKUP('Données projet'!$B$14,Paramètres!$A$1:$I$89,5,0)</f>
        <v>151.48223999999999</v>
      </c>
      <c r="DQ51" s="13">
        <f t="shared" si="43"/>
        <v>38.915236966075291</v>
      </c>
      <c r="DR51" s="20">
        <f t="shared" si="16"/>
        <v>331.60893904924779</v>
      </c>
      <c r="DS51" s="59">
        <f t="shared" si="17"/>
        <v>624.94227238258111</v>
      </c>
      <c r="DT51" s="59">
        <f ca="1">AVERAGE(OFFSET($DS$3,0,0,'Données projet'!$E$14+1,1))-AVERAGE(OFFSET($H$3,0,0,'Données projet'!$E$14+1,1))</f>
        <v>295.92103934364718</v>
      </c>
      <c r="DU51" s="59">
        <f t="shared" si="44"/>
        <v>304.84379909635476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3.1228689030270589</v>
      </c>
      <c r="EB51" s="21">
        <f>EXP(-LN(2)/25)*EB50+(1-EXP(-LN(2)/25))/(LN(2)/25)*Calculateur!DW51*Calculateur!DY51*VLOOKUP('Données projet'!$B$14,Paramètres!$A$1:$I$89,3,0)*0.475*44/12</f>
        <v>4.3420526851447212</v>
      </c>
      <c r="EC51" s="21">
        <f>EXP(-LN(2)/2)*EC50+(1-EXP(-LN(2)/2))/(LN(2)/2)*DW51*DZ51*VLOOKUP('Données projet'!$B$14,Paramètres!$A$1:$I$89,3,0)*0.475*44/12</f>
        <v>1.1239676760689873E-2</v>
      </c>
      <c r="ED51" s="22">
        <f t="shared" si="18"/>
        <v>7.47616126493247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11.5</v>
      </c>
      <c r="N52" s="13">
        <f>IF('Données projet'!$A$36&gt;35,N51+M52-V51,IF(A52&lt;'Données projet'!$A$36,$K$205^A52,IF(A52='Données projet'!$A$36,'Données projet'!$B$36,N51+M52-V51)))</f>
        <v>276.99999999999989</v>
      </c>
      <c r="O52" s="13">
        <f>N52*VLOOKUP('Données projet'!$B$9,Paramètres!$A$1:$I$89,3,0)*VLOOKUP('Données projet'!$B$9,Paramètres!$A$1:$I$89,5,0)</f>
        <v>129.63599999999994</v>
      </c>
      <c r="P52" s="13">
        <f t="shared" si="33"/>
        <v>33.912235898830978</v>
      </c>
      <c r="Q52" s="20">
        <f t="shared" si="53"/>
        <v>284.84651085713051</v>
      </c>
      <c r="R52" s="59">
        <f t="shared" si="0"/>
        <v>578.17984419046388</v>
      </c>
      <c r="S52" s="59">
        <f ca="1">AVERAGE(OFFSET($R$3,0,0,'Données projet'!$E$9+1,1))-AVERAGE(OFFSET($H$3,0,0,'Données projet'!$E$9+1,1))</f>
        <v>319.22903094674564</v>
      </c>
      <c r="T52" s="59">
        <f t="shared" si="34"/>
        <v>254.58690973142848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6.2299735286674203</v>
      </c>
      <c r="AA52" s="21">
        <f>EXP(-LN(2)/25)*AA51+(1-EXP(-LN(2)/25))/(LN(2)/25)*Calculateur!V52*Calculateur!X52*VLOOKUP('Données projet'!$B$9,Paramètres!$A$1:$I$89,3,0)*0.475*44/12</f>
        <v>6.5848136705807887</v>
      </c>
      <c r="AB52" s="21">
        <f>EXP(-LN(2)/2)*AB51+(1-EXP(-LN(2)/2))/(LN(2)/2)*V52*Y52*VLOOKUP('Données projet'!$B$9,Paramètres!$A$1:$I$89,3,0)*0.475*44/12</f>
        <v>1.5251310838679307E-2</v>
      </c>
      <c r="AC52" s="22">
        <f t="shared" si="3"/>
        <v>12.830038510086887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20.399999999999999</v>
      </c>
      <c r="AI52" s="13">
        <f>IF('Données projet'!$A$62&gt;35,AI51+AH52-AQ51,IF(A52&lt;'Données projet'!$A$62,$AF$205^A52,IF(A52='Données projet'!$A$62,'Données projet'!$B$62,AI51+AH52-AQ51)))</f>
        <v>703.59999999999957</v>
      </c>
      <c r="AJ52" s="13">
        <f>AI52*VLOOKUP('Données projet'!$B$10,Paramètres!$A$1:$I$89,3,0)*VLOOKUP('Données projet'!$B$10,Paramètres!$A$1:$I$89,5,0)</f>
        <v>393.3123999999998</v>
      </c>
      <c r="AK52" s="13">
        <f t="shared" si="35"/>
        <v>90.419529407700907</v>
      </c>
      <c r="AL52" s="20">
        <f t="shared" si="4"/>
        <v>842.49977705174535</v>
      </c>
      <c r="AM52" s="59">
        <f t="shared" si="5"/>
        <v>1135.8331103850787</v>
      </c>
      <c r="AN52" s="59">
        <f ca="1">AVERAGE(OFFSET($AM$3,0,0,'Données projet'!$E$10+1,1))-AVERAGE(OFFSET($H$3,0,0,'Données projet'!$E$10+1,1))</f>
        <v>544.48194192356823</v>
      </c>
      <c r="AO52" s="59">
        <f t="shared" si="36"/>
        <v>668.20427590250733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5.0391707626028444</v>
      </c>
      <c r="AV52" s="21">
        <f>EXP(-LN(2)/25)*AV51+(1-EXP(-LN(2)/25))/(LN(2)/25)*Calculateur!AQ52*Calculateur!AS52*VLOOKUP('Données projet'!$B$10,Paramètres!$A$1:$I$89,3,0)*0.475*44/12</f>
        <v>25.162361670276773</v>
      </c>
      <c r="AW52" s="21">
        <f>EXP(-LN(2)/2)*AW51+(1-EXP(-LN(2)/2))/(LN(2)/2)*AQ52*AT52*VLOOKUP('Données projet'!$B$10,Paramètres!$A$1:$I$89,3,0)*0.475*44/12</f>
        <v>1.9912179113881295E-2</v>
      </c>
      <c r="AX52" s="21">
        <f t="shared" si="6"/>
        <v>30.221444611993498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11</v>
      </c>
      <c r="BD52" s="12">
        <f>IF('Données projet'!$A$88&gt;35,BD51+BC52-BL51,IF(A52&lt;'Données projet'!$A$88,$BA$205^A52,IF(A52='Données projet'!$A$88,'Données projet'!$B$88,BD51+BC52-BL51)))</f>
        <v>220.00000000000003</v>
      </c>
      <c r="BE52" s="13">
        <f>BD52*VLOOKUP('Données projet'!$B$11,Paramètres!$A$1:$I$89,3,0)*VLOOKUP('Données projet'!$B$11,Paramètres!$A$1:$I$89,5,0)</f>
        <v>199.05600000000001</v>
      </c>
      <c r="BF52" s="13">
        <f t="shared" si="37"/>
        <v>49.536648006253934</v>
      </c>
      <c r="BG52" s="20">
        <f t="shared" si="7"/>
        <v>432.96552861089231</v>
      </c>
      <c r="BH52" s="59">
        <f t="shared" si="8"/>
        <v>726.29886194422556</v>
      </c>
      <c r="BI52" s="59">
        <f ca="1">AVERAGE(OFFSET($BH$3,0,0,'Données projet'!$E$11+1,1))-AVERAGE(OFFSET($H$3,0,0,'Données projet'!$E$11+1,1))</f>
        <v>405.7176439604217</v>
      </c>
      <c r="BJ52" s="59">
        <f t="shared" si="38"/>
        <v>278.21741231699929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5.0165907474609783</v>
      </c>
      <c r="BQ52" s="21">
        <f>EXP(-LN(2)/25)*BQ51+(1-EXP(-LN(2)/25))/(LN(2)/25)*Calculateur!BL52*Calculateur!BN52*VLOOKUP('Données projet'!$B$11,Paramètres!$A$1:$I$89,3,0)*0.475*44/12</f>
        <v>5.5298600362956423</v>
      </c>
      <c r="BR52" s="21">
        <f>EXP(-LN(2)/2)*BR51+(1-EXP(-LN(2)/2))/(LN(2)/2)*BL52*BO52*VLOOKUP('Données projet'!$B$11,Paramètres!$A$1:$I$89,3,0)*0.475*44/12</f>
        <v>1.1787183594165297E-2</v>
      </c>
      <c r="BS52" s="22">
        <f t="shared" si="9"/>
        <v>10.558237967350786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8.1999999999999993</v>
      </c>
      <c r="BY52" s="12">
        <f>IF('Données projet'!$A$114&gt;35,BY51+BX52-CG51,IF(A52&lt;'Données projet'!$A$114,$BV$205^A52,IF(A52='Données projet'!$A$114,'Données projet'!$B$114,BY51+BX52-CG51)))</f>
        <v>221.8000000000001</v>
      </c>
      <c r="BZ52" s="13">
        <f>BY52*VLOOKUP('Données projet'!$B$12,Paramètres!$A$1:$I$89,3,0)*VLOOKUP('Données projet'!$B$12,Paramètres!$A$1:$I$89,5,0)</f>
        <v>193.76448000000011</v>
      </c>
      <c r="CA52" s="13">
        <f t="shared" si="39"/>
        <v>48.371273222646494</v>
      </c>
      <c r="CB52" s="20">
        <f t="shared" si="10"/>
        <v>421.71977019610949</v>
      </c>
      <c r="CC52" s="59">
        <f t="shared" si="11"/>
        <v>715.05310352944275</v>
      </c>
      <c r="CD52" s="59">
        <f ca="1">AVERAGE(OFFSET($CC$3,0,0,'Données projet'!$E$12+1,1))-AVERAGE(OFFSET($H$3,0,0,'Données projet'!$E$12+1,1))</f>
        <v>381.72225529388083</v>
      </c>
      <c r="CE52" s="59">
        <f t="shared" si="40"/>
        <v>360.05900046417361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3.3027238762842477</v>
      </c>
      <c r="CL52" s="21">
        <f>EXP(-LN(2)/25)*CL51+(1-EXP(-LN(2)/25))/(LN(2)/25)*Calculateur!CG52*Calculateur!CI52*VLOOKUP('Données projet'!$B$12,Paramètres!$A$1:$I$89,3,0)*0.475*44/12</f>
        <v>6.660893122029977</v>
      </c>
      <c r="CM52" s="21">
        <f>EXP(-LN(2)/2)*CM51+(1-EXP(-LN(2)/2))/(LN(2)/2)*CG52*CJ52*VLOOKUP('Données projet'!$B$12,Paramètres!$A$1:$I$89,3,0)*0.475*44/12</f>
        <v>9.6640308830432311E-3</v>
      </c>
      <c r="CN52" s="22">
        <f t="shared" si="12"/>
        <v>9.9732810291972669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7.2</v>
      </c>
      <c r="CT52" s="12">
        <f>IF('Données projet'!$A$140&gt;35,CT51+CS52-DB51,IF(A52&lt;'Données projet'!$A$140,$CQ$205^A52,IF(A52='Données projet'!$A$140,'Données projet'!$B$140,CT51+CS52-DB51)))</f>
        <v>211.7999999999999</v>
      </c>
      <c r="CU52" s="17">
        <f>CT52*VLOOKUP('Données projet'!$B$13,Paramètres!$A$1:$I$89,3,0)*VLOOKUP('Données projet'!$B$13,Paramètres!$A$1:$I$89,5,0)</f>
        <v>168.50807999999992</v>
      </c>
      <c r="CV52" s="13">
        <f t="shared" si="41"/>
        <v>42.755711908378117</v>
      </c>
      <c r="CW52" s="20">
        <f t="shared" si="13"/>
        <v>367.95110424042508</v>
      </c>
      <c r="CX52" s="59">
        <f t="shared" si="14"/>
        <v>661.2844375737584</v>
      </c>
      <c r="CY52" s="59">
        <f ca="1">AVERAGE(OFFSET($CX$3,0,0,'Données projet'!$E$13+1,1))-AVERAGE(OFFSET($H$3,0,0,'Données projet'!$E$13+1,1))</f>
        <v>299.10536994156814</v>
      </c>
      <c r="CZ52" s="59">
        <f t="shared" si="42"/>
        <v>292.57799203101769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5.7804520977798415</v>
      </c>
      <c r="DG52" s="21">
        <f>EXP(-LN(2)/25)*DG51+(1-EXP(-LN(2)/25))/(LN(2)/25)*Calculateur!DB52*Calculateur!DD52*VLOOKUP('Données projet'!$B$13,Paramètres!$A$1:$I$89,3,0)*0.475*44/12</f>
        <v>6.384890633975921</v>
      </c>
      <c r="DH52" s="21">
        <f>EXP(-LN(2)/2)*DH51+(1-EXP(-LN(2)/2))/(LN(2)/2)*DB52*DE52*VLOOKUP('Données projet'!$B$13,Paramètres!$A$1:$I$89,3,0)*0.475*44/12</f>
        <v>1.2391837206316746E-2</v>
      </c>
      <c r="DI52" s="22">
        <f t="shared" si="15"/>
        <v>12.177734568962078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7.4</v>
      </c>
      <c r="DO52" s="12">
        <f>IF('Données projet'!$A$166&gt;35,DO51+DN52-DW51,IF(A52&lt;'Données projet'!$A$166,$DL$205^A52,IF(A52='Données projet'!$A$166,'Données projet'!$B$166,DO51+DN52-DW51)))</f>
        <v>238.6</v>
      </c>
      <c r="DP52" s="17">
        <f>DO52*VLOOKUP('Données projet'!$B$14,Paramètres!$A$1:$I$89,3,0)*VLOOKUP('Données projet'!$B$14,Paramètres!$A$1:$I$89,5,0)</f>
        <v>156.33071999999999</v>
      </c>
      <c r="DQ52" s="13">
        <f t="shared" si="43"/>
        <v>40.013784897456162</v>
      </c>
      <c r="DR52" s="20">
        <f t="shared" si="16"/>
        <v>341.96667936306943</v>
      </c>
      <c r="DS52" s="59">
        <f t="shared" si="17"/>
        <v>635.30001269640275</v>
      </c>
      <c r="DT52" s="59">
        <f ca="1">AVERAGE(OFFSET($DS$3,0,0,'Données projet'!$E$14+1,1))-AVERAGE(OFFSET($H$3,0,0,'Données projet'!$E$14+1,1))</f>
        <v>295.92103934364718</v>
      </c>
      <c r="DU52" s="59">
        <f t="shared" si="44"/>
        <v>304.84379909635476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3.0616313486006494</v>
      </c>
      <c r="EB52" s="21">
        <f>EXP(-LN(2)/25)*EB51+(1-EXP(-LN(2)/25))/(LN(2)/25)*Calculateur!DW52*Calculateur!DY52*VLOOKUP('Données projet'!$B$14,Paramètres!$A$1:$I$89,3,0)*0.475*44/12</f>
        <v>4.2233190261308122</v>
      </c>
      <c r="EC52" s="21">
        <f>EXP(-LN(2)/2)*EC51+(1-EXP(-LN(2)/2))/(LN(2)/2)*DW52*DZ52*VLOOKUP('Données projet'!$B$14,Paramètres!$A$1:$I$89,3,0)*0.475*44/12</f>
        <v>7.947651655828657E-3</v>
      </c>
      <c r="ED52" s="22">
        <f t="shared" si="18"/>
        <v>7.2928980263872907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288.5</v>
      </c>
      <c r="L53" s="12">
        <f>VLOOKUP(A53,'Données projet'!$A$35:$I$55,9,0)</f>
        <v>11.5</v>
      </c>
      <c r="M53" s="12">
        <f t="array" ref="M53">INDEX(L:L,MIN(IF(ISNUMBER(L53:L249),ROW(L53:L249),"")))</f>
        <v>11.5</v>
      </c>
      <c r="N53" s="13">
        <f>IF('Données projet'!$A$36&gt;35,N52+M53-V52,IF(A53&lt;'Données projet'!$A$36,$K$205^A53,IF(A53='Données projet'!$A$36,'Données projet'!$B$36,N52+M53-V52)))</f>
        <v>288.49999999999989</v>
      </c>
      <c r="O53" s="13">
        <f>N53*VLOOKUP('Données projet'!$B$9,Paramètres!$A$1:$I$89,3,0)*VLOOKUP('Données projet'!$B$9,Paramètres!$A$1:$I$89,5,0)</f>
        <v>135.01799999999994</v>
      </c>
      <c r="P53" s="13">
        <f t="shared" si="33"/>
        <v>35.153303603250578</v>
      </c>
      <c r="Q53" s="20">
        <f t="shared" si="53"/>
        <v>296.38168710899464</v>
      </c>
      <c r="R53" s="59">
        <f t="shared" si="0"/>
        <v>589.71502044232795</v>
      </c>
      <c r="S53" s="59">
        <f ca="1">AVERAGE(OFFSET($R$3,0,0,'Données projet'!$E$9+1,1))-AVERAGE(OFFSET($H$3,0,0,'Données projet'!$E$9+1,1))</f>
        <v>319.22903094674564</v>
      </c>
      <c r="T53" s="59">
        <f t="shared" si="34"/>
        <v>254.58690973142848</v>
      </c>
      <c r="U53" s="15">
        <f>IF(ISNA(VLOOKUP(A53,'Données projet'!$A$35:$I$55,3,0)),0,VLOOKUP(A53,'Données projet'!$A$35:$I$55,3,0))</f>
        <v>4</v>
      </c>
      <c r="V53" s="15">
        <f>IF(ISNA(VLOOKUP(A53,'Données projet'!$A$35:$I$55,4,0)),0,VLOOKUP(A53,'Données projet'!$A$35:$I$55,4,0))</f>
        <v>75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6.1078075476788944</v>
      </c>
      <c r="AA53" s="21">
        <f>EXP(-LN(2)/25)*AA52+(1-EXP(-LN(2)/25))/(LN(2)/25)*Calculateur!V53*Calculateur!X53*VLOOKUP('Données projet'!$B$9,Paramètres!$A$1:$I$89,3,0)*0.475*44/12</f>
        <v>6.4047515944784559</v>
      </c>
      <c r="AB53" s="21">
        <f>EXP(-LN(2)/2)*AB52+(1-EXP(-LN(2)/2))/(LN(2)/2)*V53*Y53*VLOOKUP('Données projet'!$B$9,Paramètres!$A$1:$I$89,3,0)*0.475*44/12</f>
        <v>1.078430531601403E-2</v>
      </c>
      <c r="AC53" s="22">
        <f t="shared" si="3"/>
        <v>12.523343447473364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724</v>
      </c>
      <c r="AG53" s="12">
        <f>VLOOKUP(A53,'Données projet'!$A$61:$I$81,9,0)</f>
        <v>20.399999999999999</v>
      </c>
      <c r="AH53" s="12">
        <f t="array" ref="AH53">INDEX(AG:AG,MIN(IF(ISNUMBER(AG53:AG249),ROW(AG53:AG249),"")))</f>
        <v>20.399999999999999</v>
      </c>
      <c r="AI53" s="13">
        <f>IF('Données projet'!$A$62&gt;35,AI52+AH53-AQ52,IF(A53&lt;'Données projet'!$A$62,$AF$205^A53,IF(A53='Données projet'!$A$62,'Données projet'!$B$62,AI52+AH53-AQ52)))</f>
        <v>723.99999999999955</v>
      </c>
      <c r="AJ53" s="13">
        <f>AI53*VLOOKUP('Données projet'!$B$10,Paramètres!$A$1:$I$89,3,0)*VLOOKUP('Données projet'!$B$10,Paramètres!$A$1:$I$89,5,0)</f>
        <v>404.71599999999978</v>
      </c>
      <c r="AK53" s="13">
        <f t="shared" si="35"/>
        <v>92.732108655131142</v>
      </c>
      <c r="AL53" s="20">
        <f t="shared" si="4"/>
        <v>866.38878924101971</v>
      </c>
      <c r="AM53" s="59">
        <f t="shared" si="5"/>
        <v>1159.7221225743531</v>
      </c>
      <c r="AN53" s="59">
        <f ca="1">AVERAGE(OFFSET($AM$3,0,0,'Données projet'!$E$10+1,1))-AVERAGE(OFFSET($H$3,0,0,'Données projet'!$E$10+1,1))</f>
        <v>544.48194192356823</v>
      </c>
      <c r="AO53" s="59">
        <f t="shared" si="36"/>
        <v>668.20427590250733</v>
      </c>
      <c r="AP53" s="15">
        <f>IF(ISNA(VLOOKUP(A53,'Données projet'!$A$61:$I$81,3,0)),0,VLOOKUP(A53,'Données projet'!$A$61:$I$81,3,0))</f>
        <v>7</v>
      </c>
      <c r="AQ53" s="15">
        <f>IF(ISNA(VLOOKUP(A53,'Données projet'!$A$61:$I$81,4,0)),0,VLOOKUP(A53,'Données projet'!$A$61:$I$81,4,0))</f>
        <v>62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4.9403556975388758</v>
      </c>
      <c r="AV53" s="21">
        <f>EXP(-LN(2)/25)*AV52+(1-EXP(-LN(2)/25))/(LN(2)/25)*Calculateur!AQ53*Calculateur!AS53*VLOOKUP('Données projet'!$B$10,Paramètres!$A$1:$I$89,3,0)*0.475*44/12</f>
        <v>24.474295567171964</v>
      </c>
      <c r="AW53" s="21">
        <f>EXP(-LN(2)/2)*AW52+(1-EXP(-LN(2)/2))/(LN(2)/2)*AQ53*AT53*VLOOKUP('Données projet'!$B$10,Paramètres!$A$1:$I$89,3,0)*0.475*44/12</f>
        <v>1.4080036879626603E-2</v>
      </c>
      <c r="AX53" s="21">
        <f t="shared" si="6"/>
        <v>29.428731301590467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231</v>
      </c>
      <c r="BB53" s="12">
        <f>VLOOKUP(A53,'Données projet'!$A$87:$I$107,9,0)</f>
        <v>11</v>
      </c>
      <c r="BC53" s="12">
        <f t="array" ref="BC53">INDEX(BB:BB,MIN(IF(ISNUMBER(BB53:BB249),ROW(BB53:BB249),"")))</f>
        <v>11</v>
      </c>
      <c r="BD53" s="12">
        <f>IF('Données projet'!$A$88&gt;35,BD52+BC53-BL52,IF(A53&lt;'Données projet'!$A$88,$BA$205^A53,IF(A53='Données projet'!$A$88,'Données projet'!$B$88,BD52+BC53-BL52)))</f>
        <v>231.00000000000003</v>
      </c>
      <c r="BE53" s="13">
        <f>BD53*VLOOKUP('Données projet'!$B$11,Paramètres!$A$1:$I$89,3,0)*VLOOKUP('Données projet'!$B$11,Paramètres!$A$1:$I$89,5,0)</f>
        <v>209.00880000000004</v>
      </c>
      <c r="BF53" s="13">
        <f t="shared" si="37"/>
        <v>51.718923953824252</v>
      </c>
      <c r="BG53" s="20">
        <f t="shared" si="7"/>
        <v>454.10078588624395</v>
      </c>
      <c r="BH53" s="59">
        <f t="shared" si="8"/>
        <v>747.43411921957727</v>
      </c>
      <c r="BI53" s="59">
        <f ca="1">AVERAGE(OFFSET($BH$3,0,0,'Données projet'!$E$11+1,1))-AVERAGE(OFFSET($H$3,0,0,'Données projet'!$E$11+1,1))</f>
        <v>405.7176439604217</v>
      </c>
      <c r="BJ53" s="59">
        <f t="shared" si="38"/>
        <v>278.21741231699929</v>
      </c>
      <c r="BK53" s="15">
        <f>IF(ISNA(VLOOKUP(A53,'Données projet'!$A$87:$I$107,3,0)),0,VLOOKUP(A53,'Données projet'!$A$87:$I$107,3,0))</f>
        <v>7</v>
      </c>
      <c r="BL53" s="15">
        <f>IF(ISNA(VLOOKUP(A53,'Données projet'!$A$87:$I$107,4,0)),0,VLOOKUP(A53,'Données projet'!$A$87:$I$107,4,0))</f>
        <v>28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4.9182184627214927</v>
      </c>
      <c r="BQ53" s="21">
        <f>EXP(-LN(2)/25)*BQ52+(1-EXP(-LN(2)/25))/(LN(2)/25)*Calculateur!BL53*Calculateur!BN53*VLOOKUP('Données projet'!$B$11,Paramètres!$A$1:$I$89,3,0)*0.475*44/12</f>
        <v>5.378645722800437</v>
      </c>
      <c r="BR53" s="21">
        <f>EXP(-LN(2)/2)*BR52+(1-EXP(-LN(2)/2))/(LN(2)/2)*BL53*BO53*VLOOKUP('Données projet'!$B$11,Paramètres!$A$1:$I$89,3,0)*0.475*44/12</f>
        <v>8.334797450525103E-3</v>
      </c>
      <c r="BS53" s="22">
        <f t="shared" si="9"/>
        <v>10.305198982972454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230</v>
      </c>
      <c r="BW53" s="12">
        <f>VLOOKUP(A53,'Données projet'!$A$113:$I$133,9,0)</f>
        <v>8.1999999999999993</v>
      </c>
      <c r="BX53" s="12">
        <f t="array" ref="BX53">INDEX(BW:BW,MIN(IF(ISNUMBER(BW53:BW249),ROW(BW53:BW249),"")))</f>
        <v>8.1999999999999993</v>
      </c>
      <c r="BY53" s="12">
        <f>IF('Données projet'!$A$114&gt;35,BY52+BX53-CG52,IF(A53&lt;'Données projet'!$A$114,$BV$205^A53,IF(A53='Données projet'!$A$114,'Données projet'!$B$114,BY52+BX53-CG52)))</f>
        <v>230.00000000000009</v>
      </c>
      <c r="BZ53" s="13">
        <f>BY53*VLOOKUP('Données projet'!$B$12,Paramètres!$A$1:$I$89,3,0)*VLOOKUP('Données projet'!$B$12,Paramètres!$A$1:$I$89,5,0)</f>
        <v>200.92800000000011</v>
      </c>
      <c r="CA53" s="13">
        <f t="shared" si="39"/>
        <v>49.948059057189084</v>
      </c>
      <c r="CB53" s="20">
        <f t="shared" si="10"/>
        <v>436.94246952460452</v>
      </c>
      <c r="CC53" s="59">
        <f t="shared" si="11"/>
        <v>730.27580285793783</v>
      </c>
      <c r="CD53" s="59">
        <f ca="1">AVERAGE(OFFSET($CC$3,0,0,'Données projet'!$E$12+1,1))-AVERAGE(OFFSET($H$3,0,0,'Données projet'!$E$12+1,1))</f>
        <v>381.72225529388083</v>
      </c>
      <c r="CE53" s="59">
        <f t="shared" si="40"/>
        <v>360.05900046417361</v>
      </c>
      <c r="CF53" s="15">
        <f>IF(ISNA(VLOOKUP(A53,'Données projet'!$A$113:$I$133,3,0)),0,VLOOKUP(A53,'Données projet'!$A$113:$I$133,3,0))</f>
        <v>8</v>
      </c>
      <c r="CG53" s="15">
        <f>IF(ISNA(VLOOKUP(A53,'Données projet'!$A$113:$I$133,4,0)),0,VLOOKUP(A53,'Données projet'!$A$113:$I$133,4,0))</f>
        <v>28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3.2379594755329664</v>
      </c>
      <c r="CL53" s="21">
        <f>EXP(-LN(2)/25)*CL52+(1-EXP(-LN(2)/25))/(LN(2)/25)*Calculateur!CG53*Calculateur!CI53*VLOOKUP('Données projet'!$B$12,Paramètres!$A$1:$I$89,3,0)*0.475*44/12</f>
        <v>6.4787506493269218</v>
      </c>
      <c r="CM53" s="21">
        <f>EXP(-LN(2)/2)*CM52+(1-EXP(-LN(2)/2))/(LN(2)/2)*CG53*CJ53*VLOOKUP('Données projet'!$B$12,Paramètres!$A$1:$I$89,3,0)*0.475*44/12</f>
        <v>6.8335017709960878E-3</v>
      </c>
      <c r="CN53" s="22">
        <f t="shared" si="12"/>
        <v>9.7235436266308852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219</v>
      </c>
      <c r="CR53" s="12">
        <f>VLOOKUP(A53,'Données projet'!$A$139:$I$159,9,0)</f>
        <v>7.2</v>
      </c>
      <c r="CS53" s="12">
        <f t="array" ref="CS53">INDEX(CR:CR,MIN(IF(ISNUMBER(CR53:CR249),ROW(CR53:CR249),"")))</f>
        <v>7.2</v>
      </c>
      <c r="CT53" s="12">
        <f>IF('Données projet'!$A$140&gt;35,CT52+CS53-DB52,IF(A53&lt;'Données projet'!$A$140,$CQ$205^A53,IF(A53='Données projet'!$A$140,'Données projet'!$B$140,CT52+CS53-DB52)))</f>
        <v>218.99999999999989</v>
      </c>
      <c r="CU53" s="17">
        <f>CT53*VLOOKUP('Données projet'!$B$13,Paramètres!$A$1:$I$89,3,0)*VLOOKUP('Données projet'!$B$13,Paramètres!$A$1:$I$89,5,0)</f>
        <v>174.23639999999992</v>
      </c>
      <c r="CV53" s="13">
        <f t="shared" si="41"/>
        <v>44.03747274965864</v>
      </c>
      <c r="CW53" s="20">
        <f t="shared" si="13"/>
        <v>380.160328372322</v>
      </c>
      <c r="CX53" s="59">
        <f t="shared" si="14"/>
        <v>673.49366170565531</v>
      </c>
      <c r="CY53" s="59">
        <f ca="1">AVERAGE(OFFSET($CX$3,0,0,'Données projet'!$E$13+1,1))-AVERAGE(OFFSET($H$3,0,0,'Données projet'!$E$13+1,1))</f>
        <v>299.10536994156814</v>
      </c>
      <c r="CZ53" s="59">
        <f t="shared" si="42"/>
        <v>292.57799203101769</v>
      </c>
      <c r="DA53" s="15">
        <f>IF(ISNA(VLOOKUP(A53,'Données projet'!$A$139:$I$159,3,0)),0,VLOOKUP(A53,'Données projet'!$A$139:$I$159,3,0))</f>
        <v>8</v>
      </c>
      <c r="DB53" s="15">
        <f>IF(ISNA(VLOOKUP(A53,'Données projet'!$A$139:$I$159,4,0)),0,VLOOKUP(A53,'Données projet'!$A$139:$I$159,4,0))</f>
        <v>17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5.667100957870022</v>
      </c>
      <c r="DG53" s="21">
        <f>EXP(-LN(2)/25)*DG52+(1-EXP(-LN(2)/25))/(LN(2)/25)*Calculateur!DB53*Calculateur!DD53*VLOOKUP('Données projet'!$B$13,Paramètres!$A$1:$I$89,3,0)*0.475*44/12</f>
        <v>6.2102954638230443</v>
      </c>
      <c r="DH53" s="21">
        <f>EXP(-LN(2)/2)*DH52+(1-EXP(-LN(2)/2))/(LN(2)/2)*DB53*DE53*VLOOKUP('Données projet'!$B$13,Paramètres!$A$1:$I$89,3,0)*0.475*44/12</f>
        <v>8.7623521199463334E-3</v>
      </c>
      <c r="DI53" s="22">
        <f t="shared" si="15"/>
        <v>11.886158773813014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>
        <f>VLOOKUP(A53,'Données projet'!$A$165:$I$185,2,0)</f>
        <v>246</v>
      </c>
      <c r="DM53" s="12">
        <f>VLOOKUP(A53,'Données projet'!$A$165:$I$185,9,0)</f>
        <v>7.4</v>
      </c>
      <c r="DN53" s="12">
        <f t="array" ref="DN53">INDEX(DM:DM,MIN(IF(ISNUMBER(DM53:DM249),ROW(DM53:DM249),"")))</f>
        <v>7.4</v>
      </c>
      <c r="DO53" s="12">
        <f>IF('Données projet'!$A$166&gt;35,DO52+DN53-DW52,IF(A53&lt;'Données projet'!$A$166,$DL$205^A53,IF(A53='Données projet'!$A$166,'Données projet'!$B$166,DO52+DN53-DW52)))</f>
        <v>246</v>
      </c>
      <c r="DP53" s="17">
        <f>DO53*VLOOKUP('Données projet'!$B$14,Paramètres!$A$1:$I$89,3,0)*VLOOKUP('Données projet'!$B$14,Paramètres!$A$1:$I$89,5,0)</f>
        <v>161.17920000000001</v>
      </c>
      <c r="DQ53" s="13">
        <f t="shared" si="43"/>
        <v>41.108373485541968</v>
      </c>
      <c r="DR53" s="20">
        <f t="shared" si="16"/>
        <v>352.31752382065224</v>
      </c>
      <c r="DS53" s="59">
        <f t="shared" si="17"/>
        <v>645.6508571539855</v>
      </c>
      <c r="DT53" s="59">
        <f ca="1">AVERAGE(OFFSET($DS$3,0,0,'Données projet'!$E$14+1,1))-AVERAGE(OFFSET($H$3,0,0,'Données projet'!$E$14+1,1))</f>
        <v>295.92103934364718</v>
      </c>
      <c r="DU53" s="59">
        <f t="shared" si="44"/>
        <v>304.84379909635476</v>
      </c>
      <c r="DV53" s="15">
        <f>IF(ISNA(VLOOKUP(A53,'Données projet'!$A$165:$I$185,3,0)),0,VLOOKUP(A53,'Données projet'!$A$165:$I$185,3,0))</f>
        <v>9</v>
      </c>
      <c r="DW53" s="15">
        <f>IF(ISNA(VLOOKUP(A53,'Données projet'!$A$165:$I$185,4,0)),0,VLOOKUP(A53,'Données projet'!$A$165:$I$185,4,0))</f>
        <v>27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3.0015946252653221</v>
      </c>
      <c r="EB53" s="21">
        <f>EXP(-LN(2)/25)*EB52+(1-EXP(-LN(2)/25))/(LN(2)/25)*Calculateur!DW53*Calculateur!DY53*VLOOKUP('Données projet'!$B$14,Paramètres!$A$1:$I$89,3,0)*0.475*44/12</f>
        <v>4.1078321452665705</v>
      </c>
      <c r="EC53" s="21">
        <f>EXP(-LN(2)/2)*EC52+(1-EXP(-LN(2)/2))/(LN(2)/2)*DW53*DZ53*VLOOKUP('Données projet'!$B$14,Paramètres!$A$1:$I$89,3,0)*0.475*44/12</f>
        <v>5.6198383803449364E-3</v>
      </c>
      <c r="ED53" s="22">
        <f t="shared" si="18"/>
        <v>7.1150466089122375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13.5</v>
      </c>
      <c r="N54" s="13">
        <f>IF('Données projet'!$A$36&gt;35,N53+M54-V53,IF(A54&lt;'Données projet'!$A$36,$K$205^A54,IF(A54='Données projet'!$A$36,'Données projet'!$B$36,N53+M54-V53)))</f>
        <v>226.99999999999989</v>
      </c>
      <c r="O54" s="13">
        <f>N54*VLOOKUP('Données projet'!$B$9,Paramètres!$A$1:$I$89,3,0)*VLOOKUP('Données projet'!$B$9,Paramètres!$A$1:$I$89,5,0)</f>
        <v>106.23599999999995</v>
      </c>
      <c r="P54" s="13">
        <f t="shared" si="33"/>
        <v>28.442367793282852</v>
      </c>
      <c r="Q54" s="20">
        <f t="shared" si="53"/>
        <v>234.56482390663419</v>
      </c>
      <c r="R54" s="59">
        <f t="shared" si="0"/>
        <v>527.89815723996753</v>
      </c>
      <c r="S54" s="59">
        <f ca="1">AVERAGE(OFFSET($R$3,0,0,'Données projet'!$E$9+1,1))-AVERAGE(OFFSET($H$3,0,0,'Données projet'!$E$9+1,1))</f>
        <v>319.22903094674564</v>
      </c>
      <c r="T54" s="59">
        <f t="shared" si="34"/>
        <v>254.58690973142848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5.9880371670636636</v>
      </c>
      <c r="AA54" s="21">
        <f>EXP(-LN(2)/25)*AA53+(1-EXP(-LN(2)/25))/(LN(2)/25)*Calculateur!V54*Calculateur!X54*VLOOKUP('Données projet'!$B$9,Paramètres!$A$1:$I$89,3,0)*0.475*44/12</f>
        <v>6.2296133253161941</v>
      </c>
      <c r="AB54" s="21">
        <f>EXP(-LN(2)/2)*AB53+(1-EXP(-LN(2)/2))/(LN(2)/2)*V54*Y54*VLOOKUP('Données projet'!$B$9,Paramètres!$A$1:$I$89,3,0)*0.475*44/12</f>
        <v>7.6256554193396544E-3</v>
      </c>
      <c r="AC54" s="22">
        <f t="shared" si="3"/>
        <v>12.225276147799196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15.4</v>
      </c>
      <c r="AI54" s="13">
        <f>IF('Données projet'!$A$62&gt;35,AI53+AH54-AQ53,IF(A54&lt;'Données projet'!$A$62,$AF$205^A54,IF(A54='Données projet'!$A$62,'Données projet'!$B$62,AI53+AH54-AQ53)))</f>
        <v>677.39999999999952</v>
      </c>
      <c r="AJ54" s="13">
        <f>AI54*VLOOKUP('Données projet'!$B$10,Paramètres!$A$1:$I$89,3,0)*VLOOKUP('Données projet'!$B$10,Paramètres!$A$1:$I$89,5,0)</f>
        <v>378.66659999999979</v>
      </c>
      <c r="AK54" s="13">
        <f t="shared" si="35"/>
        <v>87.437946637883755</v>
      </c>
      <c r="AL54" s="20">
        <f t="shared" si="4"/>
        <v>811.79875206098052</v>
      </c>
      <c r="AM54" s="59">
        <f t="shared" si="5"/>
        <v>1105.1320853943139</v>
      </c>
      <c r="AN54" s="59">
        <f ca="1">AVERAGE(OFFSET($AM$3,0,0,'Données projet'!$E$10+1,1))-AVERAGE(OFFSET($H$3,0,0,'Données projet'!$E$10+1,1))</f>
        <v>544.48194192356823</v>
      </c>
      <c r="AO54" s="59">
        <f t="shared" si="36"/>
        <v>668.20427590250733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4.8434783356295732</v>
      </c>
      <c r="AV54" s="21">
        <f>EXP(-LN(2)/25)*AV53+(1-EXP(-LN(2)/25))/(LN(2)/25)*Calculateur!AQ54*Calculateur!AS54*VLOOKUP('Données projet'!$B$10,Paramètres!$A$1:$I$89,3,0)*0.475*44/12</f>
        <v>23.805044667840381</v>
      </c>
      <c r="AW54" s="21">
        <f>EXP(-LN(2)/2)*AW53+(1-EXP(-LN(2)/2))/(LN(2)/2)*AQ54*AT54*VLOOKUP('Données projet'!$B$10,Paramètres!$A$1:$I$89,3,0)*0.475*44/12</f>
        <v>9.9560895569406477E-3</v>
      </c>
      <c r="AX54" s="21">
        <f t="shared" si="6"/>
        <v>28.658479093026894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10.199999999999999</v>
      </c>
      <c r="BD54" s="12">
        <f>IF('Données projet'!$A$88&gt;35,BD53+BC54-BL53,IF(A54&lt;'Données projet'!$A$88,$BA$205^A54,IF(A54='Données projet'!$A$88,'Données projet'!$B$88,BD53+BC54-BL53)))</f>
        <v>213.20000000000002</v>
      </c>
      <c r="BE54" s="13">
        <f>BD54*VLOOKUP('Données projet'!$B$11,Paramètres!$A$1:$I$89,3,0)*VLOOKUP('Données projet'!$B$11,Paramètres!$A$1:$I$89,5,0)</f>
        <v>192.90336000000002</v>
      </c>
      <c r="BF54" s="13">
        <f t="shared" si="37"/>
        <v>48.181276881765257</v>
      </c>
      <c r="BG54" s="20">
        <f t="shared" si="7"/>
        <v>419.88907590240791</v>
      </c>
      <c r="BH54" s="59">
        <f t="shared" si="8"/>
        <v>713.22240923574122</v>
      </c>
      <c r="BI54" s="59">
        <f ca="1">AVERAGE(OFFSET($BH$3,0,0,'Données projet'!$E$11+1,1))-AVERAGE(OFFSET($H$3,0,0,'Données projet'!$E$11+1,1))</f>
        <v>405.7176439604217</v>
      </c>
      <c r="BJ54" s="59">
        <f t="shared" si="38"/>
        <v>278.21741231699929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4.8217751984845787</v>
      </c>
      <c r="BQ54" s="21">
        <f>EXP(-LN(2)/25)*BQ53+(1-EXP(-LN(2)/25))/(LN(2)/25)*Calculateur!BL54*Calculateur!BN54*VLOOKUP('Données projet'!$B$11,Paramètres!$A$1:$I$89,3,0)*0.475*44/12</f>
        <v>5.2315663726597732</v>
      </c>
      <c r="BR54" s="21">
        <f>EXP(-LN(2)/2)*BR53+(1-EXP(-LN(2)/2))/(LN(2)/2)*BL54*BO54*VLOOKUP('Données projet'!$B$11,Paramètres!$A$1:$I$89,3,0)*0.475*44/12</f>
        <v>5.8935917970826483E-3</v>
      </c>
      <c r="BS54" s="22">
        <f t="shared" si="9"/>
        <v>10.059235162941434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7.4</v>
      </c>
      <c r="BY54" s="12">
        <f>IF('Données projet'!$A$114&gt;35,BY53+BX54-CG53,IF(A54&lt;'Données projet'!$A$114,$BV$205^A54,IF(A54='Données projet'!$A$114,'Données projet'!$B$114,BY53+BX54-CG53)))</f>
        <v>209.40000000000009</v>
      </c>
      <c r="BZ54" s="13">
        <f>BY54*VLOOKUP('Données projet'!$B$12,Paramètres!$A$1:$I$89,3,0)*VLOOKUP('Données projet'!$B$12,Paramètres!$A$1:$I$89,5,0)</f>
        <v>182.93184000000011</v>
      </c>
      <c r="CA54" s="13">
        <f t="shared" si="39"/>
        <v>45.973851929814685</v>
      </c>
      <c r="CB54" s="20">
        <f t="shared" si="10"/>
        <v>398.67741344442743</v>
      </c>
      <c r="CC54" s="59">
        <f t="shared" si="11"/>
        <v>692.01074677776069</v>
      </c>
      <c r="CD54" s="59">
        <f ca="1">AVERAGE(OFFSET($CC$3,0,0,'Données projet'!$E$12+1,1))-AVERAGE(OFFSET($H$3,0,0,'Données projet'!$E$12+1,1))</f>
        <v>381.72225529388083</v>
      </c>
      <c r="CE54" s="59">
        <f t="shared" si="40"/>
        <v>360.05900046417361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3.1744650651780337</v>
      </c>
      <c r="CL54" s="21">
        <f>EXP(-LN(2)/25)*CL53+(1-EXP(-LN(2)/25))/(LN(2)/25)*Calculateur!CG54*Calculateur!CI54*VLOOKUP('Données projet'!$B$12,Paramètres!$A$1:$I$89,3,0)*0.475*44/12</f>
        <v>6.3015888721183879</v>
      </c>
      <c r="CM54" s="21">
        <f>EXP(-LN(2)/2)*CM53+(1-EXP(-LN(2)/2))/(LN(2)/2)*CG54*CJ54*VLOOKUP('Données projet'!$B$12,Paramètres!$A$1:$I$89,3,0)*0.475*44/12</f>
        <v>4.8320154415216155E-3</v>
      </c>
      <c r="CN54" s="22">
        <f t="shared" si="12"/>
        <v>9.4808859527379443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6</v>
      </c>
      <c r="CT54" s="12">
        <f>IF('Données projet'!$A$140&gt;35,CT53+CS54-DB53,IF(A54&lt;'Données projet'!$A$140,$CQ$205^A54,IF(A54='Données projet'!$A$140,'Données projet'!$B$140,CT53+CS54-DB53)))</f>
        <v>207.99999999999989</v>
      </c>
      <c r="CU54" s="17">
        <f>CT54*VLOOKUP('Données projet'!$B$13,Paramètres!$A$1:$I$89,3,0)*VLOOKUP('Données projet'!$B$13,Paramètres!$A$1:$I$89,5,0)</f>
        <v>165.48479999999992</v>
      </c>
      <c r="CV54" s="13">
        <f t="shared" si="41"/>
        <v>42.077190125964002</v>
      </c>
      <c r="CW54" s="20">
        <f t="shared" si="13"/>
        <v>361.5037994693871</v>
      </c>
      <c r="CX54" s="59">
        <f t="shared" si="14"/>
        <v>654.83713280272036</v>
      </c>
      <c r="CY54" s="59">
        <f ca="1">AVERAGE(OFFSET($CX$3,0,0,'Données projet'!$E$13+1,1))-AVERAGE(OFFSET($H$3,0,0,'Données projet'!$E$13+1,1))</f>
        <v>299.10536994156814</v>
      </c>
      <c r="CZ54" s="59">
        <f t="shared" si="42"/>
        <v>292.57799203101769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5.5559725646764653</v>
      </c>
      <c r="DG54" s="21">
        <f>EXP(-LN(2)/25)*DG53+(1-EXP(-LN(2)/25))/(LN(2)/25)*Calculateur!DB54*Calculateur!DD54*VLOOKUP('Données projet'!$B$13,Paramètres!$A$1:$I$89,3,0)*0.475*44/12</f>
        <v>6.0404746077795588</v>
      </c>
      <c r="DH54" s="21">
        <f>EXP(-LN(2)/2)*DH53+(1-EXP(-LN(2)/2))/(LN(2)/2)*DB54*DE54*VLOOKUP('Données projet'!$B$13,Paramètres!$A$1:$I$89,3,0)*0.475*44/12</f>
        <v>6.195918603158373E-3</v>
      </c>
      <c r="DI54" s="22">
        <f t="shared" si="15"/>
        <v>11.602643091059182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6.8</v>
      </c>
      <c r="DO54" s="12">
        <f>IF('Données projet'!$A$166&gt;35,DO53+DN54-DW53,IF(A54&lt;'Données projet'!$A$166,$DL$205^A54,IF(A54='Données projet'!$A$166,'Données projet'!$B$166,DO53+DN54-DW53)))</f>
        <v>225.8</v>
      </c>
      <c r="DP54" s="17">
        <f>DO54*VLOOKUP('Données projet'!$B$14,Paramètres!$A$1:$I$89,3,0)*VLOOKUP('Données projet'!$B$14,Paramètres!$A$1:$I$89,5,0)</f>
        <v>147.94416000000001</v>
      </c>
      <c r="DQ54" s="13">
        <f t="shared" si="43"/>
        <v>38.111014021992816</v>
      </c>
      <c r="DR54" s="20">
        <f t="shared" si="16"/>
        <v>324.0460947549708</v>
      </c>
      <c r="DS54" s="59">
        <f t="shared" si="17"/>
        <v>617.37942808830417</v>
      </c>
      <c r="DT54" s="59">
        <f ca="1">AVERAGE(OFFSET($DS$3,0,0,'Données projet'!$E$14+1,1))-AVERAGE(OFFSET($H$3,0,0,'Données projet'!$E$14+1,1))</f>
        <v>295.92103934364718</v>
      </c>
      <c r="DU54" s="59">
        <f t="shared" si="44"/>
        <v>304.84379909635476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2.942735185455815</v>
      </c>
      <c r="EB54" s="21">
        <f>EXP(-LN(2)/25)*EB53+(1-EXP(-LN(2)/25))/(LN(2)/25)*Calculateur!DW54*Calculateur!DY54*VLOOKUP('Données projet'!$B$14,Paramètres!$A$1:$I$89,3,0)*0.475*44/12</f>
        <v>3.995503259232752</v>
      </c>
      <c r="EC54" s="21">
        <f>EXP(-LN(2)/2)*EC53+(1-EXP(-LN(2)/2))/(LN(2)/2)*DW54*DZ54*VLOOKUP('Données projet'!$B$14,Paramètres!$A$1:$I$89,3,0)*0.475*44/12</f>
        <v>3.9738258279143285E-3</v>
      </c>
      <c r="ED54" s="22">
        <f t="shared" si="18"/>
        <v>6.9422122705164817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13.5</v>
      </c>
      <c r="N55" s="13">
        <f>IF('Données projet'!$A$36&gt;35,N54+M55-V54,IF(A55&lt;'Données projet'!$A$36,$K$205^A55,IF(A55='Données projet'!$A$36,'Données projet'!$B$36,N54+M55-V54)))</f>
        <v>240.49999999999989</v>
      </c>
      <c r="O55" s="13">
        <f>N55*VLOOKUP('Données projet'!$B$9,Paramètres!$A$1:$I$89,3,0)*VLOOKUP('Données projet'!$B$9,Paramètres!$A$1:$I$89,5,0)</f>
        <v>112.55399999999995</v>
      </c>
      <c r="P55" s="13">
        <f t="shared" si="33"/>
        <v>29.931920700323165</v>
      </c>
      <c r="Q55" s="20">
        <f t="shared" si="53"/>
        <v>248.16297855306274</v>
      </c>
      <c r="R55" s="59">
        <f t="shared" si="0"/>
        <v>541.49631188639603</v>
      </c>
      <c r="S55" s="59">
        <f ca="1">AVERAGE(OFFSET($R$3,0,0,'Données projet'!$E$9+1,1))-AVERAGE(OFFSET($H$3,0,0,'Données projet'!$E$9+1,1))</f>
        <v>319.22903094674564</v>
      </c>
      <c r="T55" s="59">
        <f t="shared" si="34"/>
        <v>254.58690973142848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5.8706154105595783</v>
      </c>
      <c r="AA55" s="21">
        <f>EXP(-LN(2)/25)*AA54+(1-EXP(-LN(2)/25))/(LN(2)/25)*Calculateur!V55*Calculateur!X55*VLOOKUP('Données projet'!$B$9,Paramètres!$A$1:$I$89,3,0)*0.475*44/12</f>
        <v>6.0592642213342955</v>
      </c>
      <c r="AB55" s="21">
        <f>EXP(-LN(2)/2)*AB54+(1-EXP(-LN(2)/2))/(LN(2)/2)*V55*Y55*VLOOKUP('Données projet'!$B$9,Paramètres!$A$1:$I$89,3,0)*0.475*44/12</f>
        <v>5.3921526580070159E-3</v>
      </c>
      <c r="AC55" s="22">
        <f t="shared" si="3"/>
        <v>11.935271784551881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15.4</v>
      </c>
      <c r="AI55" s="13">
        <f>IF('Données projet'!$A$62&gt;35,AI54+AH55-AQ54,IF(A55&lt;'Données projet'!$A$62,$AF$205^A55,IF(A55='Données projet'!$A$62,'Données projet'!$B$62,AI54+AH55-AQ54)))</f>
        <v>692.7999999999995</v>
      </c>
      <c r="AJ55" s="13">
        <f>AI55*VLOOKUP('Données projet'!$B$10,Paramètres!$A$1:$I$89,3,0)*VLOOKUP('Données projet'!$B$10,Paramètres!$A$1:$I$89,5,0)</f>
        <v>387.2751999999997</v>
      </c>
      <c r="AK55" s="13">
        <f t="shared" si="35"/>
        <v>89.192073473767834</v>
      </c>
      <c r="AL55" s="20">
        <f t="shared" si="4"/>
        <v>829.84716796681175</v>
      </c>
      <c r="AM55" s="59">
        <f t="shared" si="5"/>
        <v>1123.1805013001451</v>
      </c>
      <c r="AN55" s="59">
        <f ca="1">AVERAGE(OFFSET($AM$3,0,0,'Données projet'!$E$10+1,1))-AVERAGE(OFFSET($H$3,0,0,'Données projet'!$E$10+1,1))</f>
        <v>544.48194192356823</v>
      </c>
      <c r="AO55" s="59">
        <f t="shared" si="36"/>
        <v>668.20427590250733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4.7485006796979556</v>
      </c>
      <c r="AV55" s="21">
        <f>EXP(-LN(2)/25)*AV54+(1-EXP(-LN(2)/25))/(LN(2)/25)*Calculateur!AQ55*Calculateur!AS55*VLOOKUP('Données projet'!$B$10,Paramètres!$A$1:$I$89,3,0)*0.475*44/12</f>
        <v>23.154094469545395</v>
      </c>
      <c r="AW55" s="21">
        <f>EXP(-LN(2)/2)*AW54+(1-EXP(-LN(2)/2))/(LN(2)/2)*AQ55*AT55*VLOOKUP('Données projet'!$B$10,Paramètres!$A$1:$I$89,3,0)*0.475*44/12</f>
        <v>7.0400184398133015E-3</v>
      </c>
      <c r="AX55" s="21">
        <f t="shared" si="6"/>
        <v>27.909635167683163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10.199999999999999</v>
      </c>
      <c r="BD55" s="12">
        <f>IF('Données projet'!$A$88&gt;35,BD54+BC55-BL54,IF(A55&lt;'Données projet'!$A$88,$BA$205^A55,IF(A55='Données projet'!$A$88,'Données projet'!$B$88,BD54+BC55-BL54)))</f>
        <v>223.4</v>
      </c>
      <c r="BE55" s="13">
        <f>BD55*VLOOKUP('Données projet'!$B$11,Paramètres!$A$1:$I$89,3,0)*VLOOKUP('Données projet'!$B$11,Paramètres!$A$1:$I$89,5,0)</f>
        <v>202.13232000000002</v>
      </c>
      <c r="BF55" s="13">
        <f t="shared" si="37"/>
        <v>50.212497488959627</v>
      </c>
      <c r="BG55" s="20">
        <f t="shared" si="7"/>
        <v>439.50055712660469</v>
      </c>
      <c r="BH55" s="59">
        <f t="shared" si="8"/>
        <v>732.83389045993795</v>
      </c>
      <c r="BI55" s="59">
        <f ca="1">AVERAGE(OFFSET($BH$3,0,0,'Données projet'!$E$11+1,1))-AVERAGE(OFFSET($H$3,0,0,'Données projet'!$E$11+1,1))</f>
        <v>405.7176439604217</v>
      </c>
      <c r="BJ55" s="59">
        <f t="shared" si="38"/>
        <v>278.21741231699929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4.7272231278347681</v>
      </c>
      <c r="BQ55" s="21">
        <f>EXP(-LN(2)/25)*BQ54+(1-EXP(-LN(2)/25))/(LN(2)/25)*Calculateur!BL55*Calculateur!BN55*VLOOKUP('Données projet'!$B$11,Paramètres!$A$1:$I$89,3,0)*0.475*44/12</f>
        <v>5.0885089150832732</v>
      </c>
      <c r="BR55" s="21">
        <f>EXP(-LN(2)/2)*BR54+(1-EXP(-LN(2)/2))/(LN(2)/2)*BL55*BO55*VLOOKUP('Données projet'!$B$11,Paramètres!$A$1:$I$89,3,0)*0.475*44/12</f>
        <v>4.1673987252625515E-3</v>
      </c>
      <c r="BS55" s="22">
        <f t="shared" si="9"/>
        <v>9.8198994416433045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7.4</v>
      </c>
      <c r="BY55" s="12">
        <f>IF('Données projet'!$A$114&gt;35,BY54+BX55-CG54,IF(A55&lt;'Données projet'!$A$114,$BV$205^A55,IF(A55='Données projet'!$A$114,'Données projet'!$B$114,BY54+BX55-CG54)))</f>
        <v>216.8000000000001</v>
      </c>
      <c r="BZ55" s="13">
        <f>BY55*VLOOKUP('Données projet'!$B$12,Paramètres!$A$1:$I$89,3,0)*VLOOKUP('Données projet'!$B$12,Paramètres!$A$1:$I$89,5,0)</f>
        <v>189.39648000000011</v>
      </c>
      <c r="CA55" s="13">
        <f t="shared" si="39"/>
        <v>47.406498452084548</v>
      </c>
      <c r="CB55" s="20">
        <f t="shared" si="10"/>
        <v>412.43185413738075</v>
      </c>
      <c r="CC55" s="59">
        <f t="shared" si="11"/>
        <v>705.76518747071407</v>
      </c>
      <c r="CD55" s="59">
        <f ca="1">AVERAGE(OFFSET($CC$3,0,0,'Données projet'!$E$12+1,1))-AVERAGE(OFFSET($H$3,0,0,'Données projet'!$E$12+1,1))</f>
        <v>381.72225529388083</v>
      </c>
      <c r="CE55" s="59">
        <f t="shared" si="40"/>
        <v>360.05900046417361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3.112215741482395</v>
      </c>
      <c r="CL55" s="21">
        <f>EXP(-LN(2)/25)*CL54+(1-EXP(-LN(2)/25))/(LN(2)/25)*Calculateur!CG55*Calculateur!CI55*VLOOKUP('Données projet'!$B$12,Paramètres!$A$1:$I$89,3,0)*0.475*44/12</f>
        <v>6.1292715930241544</v>
      </c>
      <c r="CM55" s="21">
        <f>EXP(-LN(2)/2)*CM54+(1-EXP(-LN(2)/2))/(LN(2)/2)*CG55*CJ55*VLOOKUP('Données projet'!$B$12,Paramètres!$A$1:$I$89,3,0)*0.475*44/12</f>
        <v>3.4167508854980439E-3</v>
      </c>
      <c r="CN55" s="22">
        <f t="shared" si="12"/>
        <v>9.2449040853920472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6</v>
      </c>
      <c r="CT55" s="12">
        <f>IF('Données projet'!$A$140&gt;35,CT54+CS55-DB54,IF(A55&lt;'Données projet'!$A$140,$CQ$205^A55,IF(A55='Données projet'!$A$140,'Données projet'!$B$140,CT54+CS55-DB54)))</f>
        <v>213.99999999999989</v>
      </c>
      <c r="CU55" s="17">
        <f>CT55*VLOOKUP('Données projet'!$B$13,Paramètres!$A$1:$I$89,3,0)*VLOOKUP('Données projet'!$B$13,Paramètres!$A$1:$I$89,5,0)</f>
        <v>170.25839999999991</v>
      </c>
      <c r="CV55" s="13">
        <f t="shared" si="41"/>
        <v>43.147891472685018</v>
      </c>
      <c r="CW55" s="20">
        <f t="shared" si="13"/>
        <v>371.68262431492622</v>
      </c>
      <c r="CX55" s="59">
        <f t="shared" si="14"/>
        <v>665.01595764825947</v>
      </c>
      <c r="CY55" s="59">
        <f ca="1">AVERAGE(OFFSET($CX$3,0,0,'Données projet'!$E$13+1,1))-AVERAGE(OFFSET($H$3,0,0,'Données projet'!$E$13+1,1))</f>
        <v>299.10536994156814</v>
      </c>
      <c r="CZ55" s="59">
        <f t="shared" si="42"/>
        <v>292.57799203101769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5.4470233314918071</v>
      </c>
      <c r="DG55" s="21">
        <f>EXP(-LN(2)/25)*DG54+(1-EXP(-LN(2)/25))/(LN(2)/25)*Calculateur!DB55*Calculateur!DD55*VLOOKUP('Données projet'!$B$13,Paramètres!$A$1:$I$89,3,0)*0.475*44/12</f>
        <v>5.8752975119750728</v>
      </c>
      <c r="DH55" s="21">
        <f>EXP(-LN(2)/2)*DH54+(1-EXP(-LN(2)/2))/(LN(2)/2)*DB55*DE55*VLOOKUP('Données projet'!$B$13,Paramètres!$A$1:$I$89,3,0)*0.475*44/12</f>
        <v>4.3811760599731667E-3</v>
      </c>
      <c r="DI55" s="22">
        <f t="shared" si="15"/>
        <v>11.326702019526852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6.8</v>
      </c>
      <c r="DO55" s="12">
        <f>IF('Données projet'!$A$166&gt;35,DO54+DN55-DW54,IF(A55&lt;'Données projet'!$A$166,$DL$205^A55,IF(A55='Données projet'!$A$166,'Données projet'!$B$166,DO54+DN55-DW54)))</f>
        <v>232.60000000000002</v>
      </c>
      <c r="DP55" s="17">
        <f>DO55*VLOOKUP('Données projet'!$B$14,Paramètres!$A$1:$I$89,3,0)*VLOOKUP('Données projet'!$B$14,Paramètres!$A$1:$I$89,5,0)</f>
        <v>152.39952000000002</v>
      </c>
      <c r="DQ55" s="13">
        <f t="shared" si="43"/>
        <v>39.123380466709264</v>
      </c>
      <c r="DR55" s="20">
        <f t="shared" si="16"/>
        <v>333.56905164618536</v>
      </c>
      <c r="DS55" s="59">
        <f t="shared" si="17"/>
        <v>626.90238497951873</v>
      </c>
      <c r="DT55" s="59">
        <f ca="1">AVERAGE(OFFSET($DS$3,0,0,'Données projet'!$E$14+1,1))-AVERAGE(OFFSET($H$3,0,0,'Données projet'!$E$14+1,1))</f>
        <v>295.92103934364718</v>
      </c>
      <c r="DU55" s="59">
        <f t="shared" si="44"/>
        <v>304.84379909635476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2.8850299433602586</v>
      </c>
      <c r="EB55" s="21">
        <f>EXP(-LN(2)/25)*EB54+(1-EXP(-LN(2)/25))/(LN(2)/25)*Calculateur!DW55*Calculateur!DY55*VLOOKUP('Données projet'!$B$14,Paramètres!$A$1:$I$89,3,0)*0.475*44/12</f>
        <v>3.8862460124946479</v>
      </c>
      <c r="EC55" s="21">
        <f>EXP(-LN(2)/2)*EC54+(1-EXP(-LN(2)/2))/(LN(2)/2)*DW55*DZ55*VLOOKUP('Données projet'!$B$14,Paramètres!$A$1:$I$89,3,0)*0.475*44/12</f>
        <v>2.8099191901724682E-3</v>
      </c>
      <c r="ED55" s="22">
        <f t="shared" si="18"/>
        <v>6.7740858750450785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13.5</v>
      </c>
      <c r="N56" s="13">
        <f>IF('Données projet'!$A$36&gt;35,N55+M56-V55,IF(A56&lt;'Données projet'!$A$36,$K$205^A56,IF(A56='Données projet'!$A$36,'Données projet'!$B$36,N55+M56-V55)))</f>
        <v>253.99999999999989</v>
      </c>
      <c r="O56" s="13">
        <f>N56*VLOOKUP('Données projet'!$B$9,Paramètres!$A$1:$I$89,3,0)*VLOOKUP('Données projet'!$B$9,Paramètres!$A$1:$I$89,5,0)</f>
        <v>118.87199999999994</v>
      </c>
      <c r="P56" s="13">
        <f t="shared" si="33"/>
        <v>31.411767382096219</v>
      </c>
      <c r="Q56" s="20">
        <f t="shared" si="53"/>
        <v>261.74422819048414</v>
      </c>
      <c r="R56" s="59">
        <f t="shared" si="0"/>
        <v>555.07756152381739</v>
      </c>
      <c r="S56" s="59">
        <f ca="1">AVERAGE(OFFSET($R$3,0,0,'Données projet'!$E$9+1,1))-AVERAGE(OFFSET($H$3,0,0,'Données projet'!$E$9+1,1))</f>
        <v>319.22903094674564</v>
      </c>
      <c r="T56" s="59">
        <f t="shared" si="34"/>
        <v>254.58690973142848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5.7554962230803381</v>
      </c>
      <c r="AA56" s="21">
        <f>EXP(-LN(2)/25)*AA55+(1-EXP(-LN(2)/25))/(LN(2)/25)*Calculateur!V56*Calculateur!X56*VLOOKUP('Données projet'!$B$9,Paramètres!$A$1:$I$89,3,0)*0.475*44/12</f>
        <v>5.8935733225590523</v>
      </c>
      <c r="AB56" s="21">
        <f>EXP(-LN(2)/2)*AB55+(1-EXP(-LN(2)/2))/(LN(2)/2)*V56*Y56*VLOOKUP('Données projet'!$B$9,Paramètres!$A$1:$I$89,3,0)*0.475*44/12</f>
        <v>3.8128277096698281E-3</v>
      </c>
      <c r="AC56" s="22">
        <f t="shared" si="3"/>
        <v>11.65288237334906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15.4</v>
      </c>
      <c r="AI56" s="13">
        <f>IF('Données projet'!$A$62&gt;35,AI55+AH56-AQ55,IF(A56&lt;'Données projet'!$A$62,$AF$205^A56,IF(A56='Données projet'!$A$62,'Données projet'!$B$62,AI55+AH56-AQ55)))</f>
        <v>708.19999999999948</v>
      </c>
      <c r="AJ56" s="13">
        <f>AI56*VLOOKUP('Données projet'!$B$10,Paramètres!$A$1:$I$89,3,0)*VLOOKUP('Données projet'!$B$10,Paramètres!$A$1:$I$89,5,0)</f>
        <v>395.88379999999972</v>
      </c>
      <c r="AK56" s="13">
        <f t="shared" si="35"/>
        <v>90.941667130422957</v>
      </c>
      <c r="AL56" s="20">
        <f t="shared" si="4"/>
        <v>847.8876885854861</v>
      </c>
      <c r="AM56" s="59">
        <f t="shared" si="5"/>
        <v>1141.2210219188194</v>
      </c>
      <c r="AN56" s="59">
        <f ca="1">AVERAGE(OFFSET($AM$3,0,0,'Données projet'!$E$10+1,1))-AVERAGE(OFFSET($H$3,0,0,'Données projet'!$E$10+1,1))</f>
        <v>544.48194192356823</v>
      </c>
      <c r="AO56" s="59">
        <f t="shared" si="36"/>
        <v>668.20427590250733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4.6553854776685073</v>
      </c>
      <c r="AV56" s="21">
        <f>EXP(-LN(2)/25)*AV55+(1-EXP(-LN(2)/25))/(LN(2)/25)*Calculateur!AQ56*Calculateur!AS56*VLOOKUP('Données projet'!$B$10,Paramètres!$A$1:$I$89,3,0)*0.475*44/12</f>
        <v>22.520944538654767</v>
      </c>
      <c r="AW56" s="21">
        <f>EXP(-LN(2)/2)*AW55+(1-EXP(-LN(2)/2))/(LN(2)/2)*AQ56*AT56*VLOOKUP('Données projet'!$B$10,Paramètres!$A$1:$I$89,3,0)*0.475*44/12</f>
        <v>4.9780447784703238E-3</v>
      </c>
      <c r="AX56" s="21">
        <f t="shared" si="6"/>
        <v>27.181308061101745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10.199999999999999</v>
      </c>
      <c r="BD56" s="12">
        <f>IF('Données projet'!$A$88&gt;35,BD55+BC56-BL55,IF(A56&lt;'Données projet'!$A$88,$BA$205^A56,IF(A56='Données projet'!$A$88,'Données projet'!$B$88,BD55+BC56-BL55)))</f>
        <v>233.6</v>
      </c>
      <c r="BE56" s="13">
        <f>BD56*VLOOKUP('Données projet'!$B$11,Paramètres!$A$1:$I$89,3,0)*VLOOKUP('Données projet'!$B$11,Paramètres!$A$1:$I$89,5,0)</f>
        <v>211.36127999999999</v>
      </c>
      <c r="BF56" s="13">
        <f t="shared" si="37"/>
        <v>52.232947669705631</v>
      </c>
      <c r="BG56" s="20">
        <f t="shared" si="7"/>
        <v>459.09327985807062</v>
      </c>
      <c r="BH56" s="59">
        <f t="shared" si="8"/>
        <v>752.42661319140393</v>
      </c>
      <c r="BI56" s="59">
        <f ca="1">AVERAGE(OFFSET($BH$3,0,0,'Données projet'!$E$11+1,1))-AVERAGE(OFFSET($H$3,0,0,'Données projet'!$E$11+1,1))</f>
        <v>405.7176439604217</v>
      </c>
      <c r="BJ56" s="59">
        <f t="shared" si="38"/>
        <v>278.21741231699929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4.6345251656193316</v>
      </c>
      <c r="BQ56" s="21">
        <f>EXP(-LN(2)/25)*BQ55+(1-EXP(-LN(2)/25))/(LN(2)/25)*Calculateur!BL56*Calculateur!BN56*VLOOKUP('Données projet'!$B$11,Paramètres!$A$1:$I$89,3,0)*0.475*44/12</f>
        <v>4.9493633712072675</v>
      </c>
      <c r="BR56" s="21">
        <f>EXP(-LN(2)/2)*BR55+(1-EXP(-LN(2)/2))/(LN(2)/2)*BL56*BO56*VLOOKUP('Données projet'!$B$11,Paramètres!$A$1:$I$89,3,0)*0.475*44/12</f>
        <v>2.9467958985413241E-3</v>
      </c>
      <c r="BS56" s="22">
        <f t="shared" si="9"/>
        <v>9.5868353327251405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7.4</v>
      </c>
      <c r="BY56" s="12">
        <f>IF('Données projet'!$A$114&gt;35,BY55+BX56-CG55,IF(A56&lt;'Données projet'!$A$114,$BV$205^A56,IF(A56='Données projet'!$A$114,'Données projet'!$B$114,BY55+BX56-CG55)))</f>
        <v>224.2000000000001</v>
      </c>
      <c r="BZ56" s="13">
        <f>BY56*VLOOKUP('Données projet'!$B$12,Paramètres!$A$1:$I$89,3,0)*VLOOKUP('Données projet'!$B$12,Paramètres!$A$1:$I$89,5,0)</f>
        <v>195.86112000000011</v>
      </c>
      <c r="CA56" s="13">
        <f t="shared" si="39"/>
        <v>48.833463106716465</v>
      </c>
      <c r="CB56" s="20">
        <f t="shared" si="10"/>
        <v>426.17639891086469</v>
      </c>
      <c r="CC56" s="59">
        <f t="shared" si="11"/>
        <v>719.50973224419795</v>
      </c>
      <c r="CD56" s="59">
        <f ca="1">AVERAGE(OFFSET($CC$3,0,0,'Données projet'!$E$12+1,1))-AVERAGE(OFFSET($H$3,0,0,'Données projet'!$E$12+1,1))</f>
        <v>381.72225529388083</v>
      </c>
      <c r="CE56" s="59">
        <f t="shared" si="40"/>
        <v>360.05900046417361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3.0511870890560897</v>
      </c>
      <c r="CL56" s="21">
        <f>EXP(-LN(2)/25)*CL55+(1-EXP(-LN(2)/25))/(LN(2)/25)*Calculateur!CG56*Calculateur!CI56*VLOOKUP('Données projet'!$B$12,Paramètres!$A$1:$I$89,3,0)*0.475*44/12</f>
        <v>5.9616663389885245</v>
      </c>
      <c r="CM56" s="21">
        <f>EXP(-LN(2)/2)*CM55+(1-EXP(-LN(2)/2))/(LN(2)/2)*CG56*CJ56*VLOOKUP('Données projet'!$B$12,Paramètres!$A$1:$I$89,3,0)*0.475*44/12</f>
        <v>2.4160077207608078E-3</v>
      </c>
      <c r="CN56" s="22">
        <f t="shared" si="12"/>
        <v>9.0152694357653758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6</v>
      </c>
      <c r="CT56" s="12">
        <f>IF('Données projet'!$A$140&gt;35,CT55+CS56-DB55,IF(A56&lt;'Données projet'!$A$140,$CQ$205^A56,IF(A56='Données projet'!$A$140,'Données projet'!$B$140,CT55+CS56-DB55)))</f>
        <v>219.99999999999989</v>
      </c>
      <c r="CU56" s="17">
        <f>CT56*VLOOKUP('Données projet'!$B$13,Paramètres!$A$1:$I$89,3,0)*VLOOKUP('Données projet'!$B$13,Paramètres!$A$1:$I$89,5,0)</f>
        <v>175.03199999999993</v>
      </c>
      <c r="CV56" s="13">
        <f t="shared" si="41"/>
        <v>44.215103743191008</v>
      </c>
      <c r="CW56" s="20">
        <f t="shared" si="13"/>
        <v>381.85537235272426</v>
      </c>
      <c r="CX56" s="59">
        <f t="shared" si="14"/>
        <v>675.18870568605757</v>
      </c>
      <c r="CY56" s="59">
        <f ca="1">AVERAGE(OFFSET($CX$3,0,0,'Données projet'!$E$13+1,1))-AVERAGE(OFFSET($H$3,0,0,'Données projet'!$E$13+1,1))</f>
        <v>299.10536994156814</v>
      </c>
      <c r="CZ56" s="59">
        <f t="shared" si="42"/>
        <v>292.57799203101769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5.3402105263174295</v>
      </c>
      <c r="DG56" s="21">
        <f>EXP(-LN(2)/25)*DG55+(1-EXP(-LN(2)/25))/(LN(2)/25)*Calculateur!DB56*Calculateur!DD56*VLOOKUP('Données projet'!$B$13,Paramètres!$A$1:$I$89,3,0)*0.475*44/12</f>
        <v>5.7146371925416464</v>
      </c>
      <c r="DH56" s="21">
        <f>EXP(-LN(2)/2)*DH55+(1-EXP(-LN(2)/2))/(LN(2)/2)*DB56*DE56*VLOOKUP('Données projet'!$B$13,Paramètres!$A$1:$I$89,3,0)*0.475*44/12</f>
        <v>3.0979593015791865E-3</v>
      </c>
      <c r="DI56" s="22">
        <f t="shared" si="15"/>
        <v>11.057945678160655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6.8</v>
      </c>
      <c r="DO56" s="12">
        <f>IF('Données projet'!$A$166&gt;35,DO55+DN56-DW55,IF(A56&lt;'Données projet'!$A$166,$DL$205^A56,IF(A56='Données projet'!$A$166,'Données projet'!$B$166,DO55+DN56-DW55)))</f>
        <v>239.40000000000003</v>
      </c>
      <c r="DP56" s="17">
        <f>DO56*VLOOKUP('Données projet'!$B$14,Paramètres!$A$1:$I$89,3,0)*VLOOKUP('Données projet'!$B$14,Paramètres!$A$1:$I$89,5,0)</f>
        <v>156.85488000000004</v>
      </c>
      <c r="DQ56" s="13">
        <f t="shared" si="43"/>
        <v>40.132307243083858</v>
      </c>
      <c r="DR56" s="20">
        <f t="shared" si="16"/>
        <v>343.08601778170441</v>
      </c>
      <c r="DS56" s="59">
        <f t="shared" si="17"/>
        <v>636.41935111503767</v>
      </c>
      <c r="DT56" s="59">
        <f ca="1">AVERAGE(OFFSET($DS$3,0,0,'Données projet'!$E$14+1,1))-AVERAGE(OFFSET($H$3,0,0,'Données projet'!$E$14+1,1))</f>
        <v>295.92103934364718</v>
      </c>
      <c r="DU56" s="59">
        <f t="shared" si="44"/>
        <v>304.84379909635476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2.8284562658654742</v>
      </c>
      <c r="EB56" s="21">
        <f>EXP(-LN(2)/25)*EB55+(1-EXP(-LN(2)/25))/(LN(2)/25)*Calculateur!DW56*Calculateur!DY56*VLOOKUP('Données projet'!$B$14,Paramètres!$A$1:$I$89,3,0)*0.475*44/12</f>
        <v>3.7799764109141862</v>
      </c>
      <c r="EC56" s="21">
        <f>EXP(-LN(2)/2)*EC55+(1-EXP(-LN(2)/2))/(LN(2)/2)*DW56*DZ56*VLOOKUP('Données projet'!$B$14,Paramètres!$A$1:$I$89,3,0)*0.475*44/12</f>
        <v>1.9869129139571643E-3</v>
      </c>
      <c r="ED56" s="22">
        <f t="shared" si="18"/>
        <v>6.6104195896936178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13.5</v>
      </c>
      <c r="N57" s="13">
        <f>IF('Données projet'!$A$36&gt;35,N56+M57-V56,IF(A57&lt;'Données projet'!$A$36,$K$205^A57,IF(A57='Données projet'!$A$36,'Données projet'!$B$36,N56+M57-V56)))</f>
        <v>267.49999999999989</v>
      </c>
      <c r="O57" s="13">
        <f>N57*VLOOKUP('Données projet'!$B$9,Paramètres!$A$1:$I$89,3,0)*VLOOKUP('Données projet'!$B$9,Paramètres!$A$1:$I$89,5,0)</f>
        <v>125.18999999999994</v>
      </c>
      <c r="P57" s="13">
        <f t="shared" si="33"/>
        <v>32.882482546564304</v>
      </c>
      <c r="Q57" s="20">
        <f t="shared" si="53"/>
        <v>275.30957376859936</v>
      </c>
      <c r="R57" s="59">
        <f t="shared" si="0"/>
        <v>568.64290710193268</v>
      </c>
      <c r="S57" s="59">
        <f ca="1">AVERAGE(OFFSET($R$3,0,0,'Données projet'!$E$9+1,1))-AVERAGE(OFFSET($H$3,0,0,'Données projet'!$E$9+1,1))</f>
        <v>319.22903094674564</v>
      </c>
      <c r="T57" s="59">
        <f t="shared" si="34"/>
        <v>254.58690973142848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5.6426344526517953</v>
      </c>
      <c r="AA57" s="21">
        <f>EXP(-LN(2)/25)*AA56+(1-EXP(-LN(2)/25))/(LN(2)/25)*Calculateur!V57*Calculateur!X57*VLOOKUP('Données projet'!$B$9,Paramètres!$A$1:$I$89,3,0)*0.475*44/12</f>
        <v>5.7324132501241243</v>
      </c>
      <c r="AB57" s="21">
        <f>EXP(-LN(2)/2)*AB56+(1-EXP(-LN(2)/2))/(LN(2)/2)*V57*Y57*VLOOKUP('Données projet'!$B$9,Paramètres!$A$1:$I$89,3,0)*0.475*44/12</f>
        <v>2.6960763290035084E-3</v>
      </c>
      <c r="AC57" s="22">
        <f t="shared" si="3"/>
        <v>11.377743779104923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15.4</v>
      </c>
      <c r="AI57" s="13">
        <f>IF('Données projet'!$A$62&gt;35,AI56+AH57-AQ56,IF(A57&lt;'Données projet'!$A$62,$AF$205^A57,IF(A57='Données projet'!$A$62,'Données projet'!$B$62,AI56+AH57-AQ56)))</f>
        <v>723.59999999999945</v>
      </c>
      <c r="AJ57" s="13">
        <f>AI57*VLOOKUP('Données projet'!$B$10,Paramètres!$A$1:$I$89,3,0)*VLOOKUP('Données projet'!$B$10,Paramètres!$A$1:$I$89,5,0)</f>
        <v>404.49239999999969</v>
      </c>
      <c r="AK57" s="13">
        <f t="shared" si="35"/>
        <v>92.686837535548761</v>
      </c>
      <c r="AL57" s="20">
        <f t="shared" si="4"/>
        <v>865.92050537441344</v>
      </c>
      <c r="AM57" s="59">
        <f t="shared" si="5"/>
        <v>1159.2538387077468</v>
      </c>
      <c r="AN57" s="59">
        <f ca="1">AVERAGE(OFFSET($AM$3,0,0,'Données projet'!$E$10+1,1))-AVERAGE(OFFSET($H$3,0,0,'Données projet'!$E$10+1,1))</f>
        <v>544.48194192356823</v>
      </c>
      <c r="AO57" s="59">
        <f t="shared" si="36"/>
        <v>668.20427590250733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4.5640962079561911</v>
      </c>
      <c r="AV57" s="21">
        <f>EXP(-LN(2)/25)*AV56+(1-EXP(-LN(2)/25))/(LN(2)/25)*Calculateur!AQ57*Calculateur!AS57*VLOOKUP('Données projet'!$B$10,Paramètres!$A$1:$I$89,3,0)*0.475*44/12</f>
        <v>21.90510812592025</v>
      </c>
      <c r="AW57" s="21">
        <f>EXP(-LN(2)/2)*AW56+(1-EXP(-LN(2)/2))/(LN(2)/2)*AQ57*AT57*VLOOKUP('Données projet'!$B$10,Paramètres!$A$1:$I$89,3,0)*0.475*44/12</f>
        <v>3.5200092199066508E-3</v>
      </c>
      <c r="AX57" s="21">
        <f t="shared" si="6"/>
        <v>26.472724343096349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10.199999999999999</v>
      </c>
      <c r="BD57" s="12">
        <f>IF('Données projet'!$A$88&gt;35,BD56+BC57-BL56,IF(A57&lt;'Données projet'!$A$88,$BA$205^A57,IF(A57='Données projet'!$A$88,'Données projet'!$B$88,BD56+BC57-BL56)))</f>
        <v>243.79999999999998</v>
      </c>
      <c r="BE57" s="13">
        <f>BD57*VLOOKUP('Données projet'!$B$11,Paramètres!$A$1:$I$89,3,0)*VLOOKUP('Données projet'!$B$11,Paramètres!$A$1:$I$89,5,0)</f>
        <v>220.59023999999997</v>
      </c>
      <c r="BF57" s="13">
        <f t="shared" si="37"/>
        <v>54.24315145708789</v>
      </c>
      <c r="BG57" s="20">
        <f t="shared" si="7"/>
        <v>478.66815678776129</v>
      </c>
      <c r="BH57" s="59">
        <f t="shared" si="8"/>
        <v>772.00149012109455</v>
      </c>
      <c r="BI57" s="59">
        <f ca="1">AVERAGE(OFFSET($BH$3,0,0,'Données projet'!$E$11+1,1))-AVERAGE(OFFSET($H$3,0,0,'Données projet'!$E$11+1,1))</f>
        <v>405.7176439604217</v>
      </c>
      <c r="BJ57" s="59">
        <f t="shared" si="38"/>
        <v>278.21741231699929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4.5436449539027661</v>
      </c>
      <c r="BQ57" s="21">
        <f>EXP(-LN(2)/25)*BQ56+(1-EXP(-LN(2)/25))/(LN(2)/25)*Calculateur!BL57*Calculateur!BN57*VLOOKUP('Données projet'!$B$11,Paramètres!$A$1:$I$89,3,0)*0.475*44/12</f>
        <v>4.8140227695458968</v>
      </c>
      <c r="BR57" s="21">
        <f>EXP(-LN(2)/2)*BR56+(1-EXP(-LN(2)/2))/(LN(2)/2)*BL57*BO57*VLOOKUP('Données projet'!$B$11,Paramètres!$A$1:$I$89,3,0)*0.475*44/12</f>
        <v>2.0836993626312758E-3</v>
      </c>
      <c r="BS57" s="22">
        <f t="shared" si="9"/>
        <v>9.3597514228112946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7.4</v>
      </c>
      <c r="BY57" s="12">
        <f>IF('Données projet'!$A$114&gt;35,BY56+BX57-CG56,IF(A57&lt;'Données projet'!$A$114,$BV$205^A57,IF(A57='Données projet'!$A$114,'Données projet'!$B$114,BY56+BX57-CG56)))</f>
        <v>231.60000000000011</v>
      </c>
      <c r="BZ57" s="13">
        <f>BY57*VLOOKUP('Données projet'!$B$12,Paramètres!$A$1:$I$89,3,0)*VLOOKUP('Données projet'!$B$12,Paramètres!$A$1:$I$89,5,0)</f>
        <v>202.32576000000014</v>
      </c>
      <c r="CA57" s="13">
        <f t="shared" si="39"/>
        <v>50.254954935552938</v>
      </c>
      <c r="CB57" s="20">
        <f t="shared" si="10"/>
        <v>439.91141184608824</v>
      </c>
      <c r="CC57" s="59">
        <f t="shared" si="11"/>
        <v>733.24474517942156</v>
      </c>
      <c r="CD57" s="59">
        <f ca="1">AVERAGE(OFFSET($CC$3,0,0,'Données projet'!$E$12+1,1))-AVERAGE(OFFSET($H$3,0,0,'Données projet'!$E$12+1,1))</f>
        <v>381.72225529388083</v>
      </c>
      <c r="CE57" s="59">
        <f t="shared" si="40"/>
        <v>360.05900046417361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2.9913551712800617</v>
      </c>
      <c r="CL57" s="21">
        <f>EXP(-LN(2)/25)*CL56+(1-EXP(-LN(2)/25))/(LN(2)/25)*Calculateur!CG57*Calculateur!CI57*VLOOKUP('Données projet'!$B$12,Paramètres!$A$1:$I$89,3,0)*0.475*44/12</f>
        <v>5.7986442594384764</v>
      </c>
      <c r="CM57" s="21">
        <f>EXP(-LN(2)/2)*CM56+(1-EXP(-LN(2)/2))/(LN(2)/2)*CG57*CJ57*VLOOKUP('Données projet'!$B$12,Paramètres!$A$1:$I$89,3,0)*0.475*44/12</f>
        <v>1.7083754427490219E-3</v>
      </c>
      <c r="CN57" s="22">
        <f t="shared" si="12"/>
        <v>8.7917078061612877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6</v>
      </c>
      <c r="CT57" s="12">
        <f>IF('Données projet'!$A$140&gt;35,CT56+CS57-DB56,IF(A57&lt;'Données projet'!$A$140,$CQ$205^A57,IF(A57='Données projet'!$A$140,'Données projet'!$B$140,CT56+CS57-DB56)))</f>
        <v>225.99999999999989</v>
      </c>
      <c r="CU57" s="17">
        <f>CT57*VLOOKUP('Données projet'!$B$13,Paramètres!$A$1:$I$89,3,0)*VLOOKUP('Données projet'!$B$13,Paramètres!$A$1:$I$89,5,0)</f>
        <v>179.80559999999991</v>
      </c>
      <c r="CV57" s="13">
        <f t="shared" si="41"/>
        <v>45.278933028529984</v>
      </c>
      <c r="CW57" s="20">
        <f t="shared" si="13"/>
        <v>392.02222835802286</v>
      </c>
      <c r="CX57" s="59">
        <f t="shared" si="14"/>
        <v>685.35556169135612</v>
      </c>
      <c r="CY57" s="59">
        <f ca="1">AVERAGE(OFFSET($CX$3,0,0,'Données projet'!$E$13+1,1))-AVERAGE(OFFSET($H$3,0,0,'Données projet'!$E$13+1,1))</f>
        <v>299.10536994156814</v>
      </c>
      <c r="CZ57" s="59">
        <f t="shared" si="42"/>
        <v>292.57799203101769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5.2354922551031438</v>
      </c>
      <c r="DG57" s="21">
        <f>EXP(-LN(2)/25)*DG56+(1-EXP(-LN(2)/25))/(LN(2)/25)*Calculateur!DB57*Calculateur!DD57*VLOOKUP('Données projet'!$B$13,Paramètres!$A$1:$I$89,3,0)*0.475*44/12</f>
        <v>5.5583701379918864</v>
      </c>
      <c r="DH57" s="21">
        <f>EXP(-LN(2)/2)*DH56+(1-EXP(-LN(2)/2))/(LN(2)/2)*DB57*DE57*VLOOKUP('Données projet'!$B$13,Paramètres!$A$1:$I$89,3,0)*0.475*44/12</f>
        <v>2.1905880299865834E-3</v>
      </c>
      <c r="DI57" s="22">
        <f t="shared" si="15"/>
        <v>10.796052981125015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6.8</v>
      </c>
      <c r="DO57" s="12">
        <f>IF('Données projet'!$A$166&gt;35,DO56+DN57-DW56,IF(A57&lt;'Données projet'!$A$166,$DL$205^A57,IF(A57='Données projet'!$A$166,'Données projet'!$B$166,DO56+DN57-DW56)))</f>
        <v>246.20000000000005</v>
      </c>
      <c r="DP57" s="17">
        <f>DO57*VLOOKUP('Données projet'!$B$14,Paramètres!$A$1:$I$89,3,0)*VLOOKUP('Données projet'!$B$14,Paramètres!$A$1:$I$89,5,0)</f>
        <v>161.31024000000002</v>
      </c>
      <c r="DQ57" s="13">
        <f t="shared" si="43"/>
        <v>41.137903274661106</v>
      </c>
      <c r="DR57" s="20">
        <f t="shared" si="16"/>
        <v>352.59718287003483</v>
      </c>
      <c r="DS57" s="59">
        <f t="shared" si="17"/>
        <v>645.93051620336814</v>
      </c>
      <c r="DT57" s="59">
        <f ca="1">AVERAGE(OFFSET($DS$3,0,0,'Données projet'!$E$14+1,1))-AVERAGE(OFFSET($H$3,0,0,'Données projet'!$E$14+1,1))</f>
        <v>295.92103934364718</v>
      </c>
      <c r="DU57" s="59">
        <f t="shared" si="44"/>
        <v>304.84379909635476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2.7729919636798264</v>
      </c>
      <c r="EB57" s="21">
        <f>EXP(-LN(2)/25)*EB56+(1-EXP(-LN(2)/25))/(LN(2)/25)*Calculateur!DW57*Calculateur!DY57*VLOOKUP('Données projet'!$B$14,Paramètres!$A$1:$I$89,3,0)*0.475*44/12</f>
        <v>3.6766127571774176</v>
      </c>
      <c r="EC57" s="21">
        <f>EXP(-LN(2)/2)*EC56+(1-EXP(-LN(2)/2))/(LN(2)/2)*DW57*DZ57*VLOOKUP('Données projet'!$B$14,Paramètres!$A$1:$I$89,3,0)*0.475*44/12</f>
        <v>1.4049595950862341E-3</v>
      </c>
      <c r="ED57" s="22">
        <f t="shared" si="18"/>
        <v>6.45100968045233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13.5</v>
      </c>
      <c r="N58" s="13">
        <f>IF('Données projet'!$A$36&gt;35,N57+M58-V57,IF(A58&lt;'Données projet'!$A$36,$K$205^A58,IF(A58='Données projet'!$A$36,'Données projet'!$B$36,N57+M58-V57)))</f>
        <v>280.99999999999989</v>
      </c>
      <c r="O58" s="13">
        <f>N58*VLOOKUP('Données projet'!$B$9,Paramètres!$A$1:$I$89,3,0)*VLOOKUP('Données projet'!$B$9,Paramètres!$A$1:$I$89,5,0)</f>
        <v>131.50799999999995</v>
      </c>
      <c r="P58" s="13">
        <f t="shared" si="33"/>
        <v>34.344579617082481</v>
      </c>
      <c r="Q58" s="20">
        <f t="shared" si="53"/>
        <v>288.85990949975189</v>
      </c>
      <c r="R58" s="59">
        <f t="shared" si="0"/>
        <v>582.19324283308515</v>
      </c>
      <c r="S58" s="59">
        <f ca="1">AVERAGE(OFFSET($R$3,0,0,'Données projet'!$E$9+1,1))-AVERAGE(OFFSET($H$3,0,0,'Données projet'!$E$9+1,1))</f>
        <v>319.22903094674564</v>
      </c>
      <c r="T58" s="59">
        <f t="shared" si="34"/>
        <v>254.58690973142848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5.5319858327024729</v>
      </c>
      <c r="AA58" s="21">
        <f>EXP(-LN(2)/25)*AA57+(1-EXP(-LN(2)/25))/(LN(2)/25)*Calculateur!V58*Calculateur!X58*VLOOKUP('Données projet'!$B$9,Paramètres!$A$1:$I$89,3,0)*0.475*44/12</f>
        <v>5.5756601083449686</v>
      </c>
      <c r="AB58" s="21">
        <f>EXP(-LN(2)/2)*AB57+(1-EXP(-LN(2)/2))/(LN(2)/2)*V58*Y58*VLOOKUP('Données projet'!$B$9,Paramètres!$A$1:$I$89,3,0)*0.475*44/12</f>
        <v>1.9064138548349143E-3</v>
      </c>
      <c r="AC58" s="22">
        <f t="shared" si="3"/>
        <v>11.109552354902275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739</v>
      </c>
      <c r="AG58" s="12">
        <f>VLOOKUP(A58,'Données projet'!$A$61:$I$81,9,0)</f>
        <v>15.4</v>
      </c>
      <c r="AH58" s="12">
        <f t="array" ref="AH58">INDEX(AG:AG,MIN(IF(ISNUMBER(AG58:AG254),ROW(AG58:AG254),"")))</f>
        <v>15.4</v>
      </c>
      <c r="AI58" s="13">
        <f>IF('Données projet'!$A$62&gt;35,AI57+AH58-AQ57,IF(A58&lt;'Données projet'!$A$62,$AF$205^A58,IF(A58='Données projet'!$A$62,'Données projet'!$B$62,AI57+AH58-AQ57)))</f>
        <v>738.99999999999943</v>
      </c>
      <c r="AJ58" s="13">
        <f>AI58*VLOOKUP('Données projet'!$B$10,Paramètres!$A$1:$I$89,3,0)*VLOOKUP('Données projet'!$B$10,Paramètres!$A$1:$I$89,5,0)</f>
        <v>413.10099999999971</v>
      </c>
      <c r="AK58" s="13">
        <f t="shared" si="35"/>
        <v>94.427689670462271</v>
      </c>
      <c r="AL58" s="20">
        <f t="shared" si="4"/>
        <v>883.94580117605472</v>
      </c>
      <c r="AM58" s="59">
        <f t="shared" si="5"/>
        <v>1177.2791345093881</v>
      </c>
      <c r="AN58" s="59">
        <f ca="1">AVERAGE(OFFSET($AM$3,0,0,'Données projet'!$E$10+1,1))-AVERAGE(OFFSET($H$3,0,0,'Données projet'!$E$10+1,1))</f>
        <v>544.48194192356823</v>
      </c>
      <c r="AO58" s="59">
        <f t="shared" si="36"/>
        <v>668.20427590250733</v>
      </c>
      <c r="AP58" s="15">
        <f>IF(ISNA(VLOOKUP(A58,'Données projet'!$A$61:$I$81,3,0)),0,VLOOKUP(A58,'Données projet'!$A$61:$I$81,3,0))</f>
        <v>8</v>
      </c>
      <c r="AQ58" s="15">
        <f>IF(ISNA(VLOOKUP(A58,'Données projet'!$A$61:$I$81,4,0)),0,VLOOKUP(A58,'Données projet'!$A$61:$I$81,4,0))</f>
        <v>46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4.4745970651419773</v>
      </c>
      <c r="AV58" s="21">
        <f>EXP(-LN(2)/25)*AV57+(1-EXP(-LN(2)/25))/(LN(2)/25)*Calculateur!AQ58*Calculateur!AS58*VLOOKUP('Données projet'!$B$10,Paramètres!$A$1:$I$89,3,0)*0.475*44/12</f>
        <v>21.306111792277388</v>
      </c>
      <c r="AW58" s="21">
        <f>EXP(-LN(2)/2)*AW57+(1-EXP(-LN(2)/2))/(LN(2)/2)*AQ58*AT58*VLOOKUP('Données projet'!$B$10,Paramètres!$A$1:$I$89,3,0)*0.475*44/12</f>
        <v>2.4890223892351619E-3</v>
      </c>
      <c r="AX58" s="21">
        <f t="shared" si="6"/>
        <v>25.783197879808601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254</v>
      </c>
      <c r="BB58" s="12">
        <f>VLOOKUP(A58,'Données projet'!$A$87:$I$107,9,0)</f>
        <v>10.199999999999999</v>
      </c>
      <c r="BC58" s="12">
        <f t="array" ref="BC58">INDEX(BB:BB,MIN(IF(ISNUMBER(BB58:BB254),ROW(BB58:BB254),"")))</f>
        <v>10.199999999999999</v>
      </c>
      <c r="BD58" s="12">
        <f>IF('Données projet'!$A$88&gt;35,BD57+BC58-BL57,IF(A58&lt;'Données projet'!$A$88,$BA$205^A58,IF(A58='Données projet'!$A$88,'Données projet'!$B$88,BD57+BC58-BL57)))</f>
        <v>253.99999999999997</v>
      </c>
      <c r="BE58" s="13">
        <f>BD58*VLOOKUP('Données projet'!$B$11,Paramètres!$A$1:$I$89,3,0)*VLOOKUP('Données projet'!$B$11,Paramètres!$A$1:$I$89,5,0)</f>
        <v>229.81919999999997</v>
      </c>
      <c r="BF58" s="13">
        <f t="shared" si="37"/>
        <v>56.243586554989342</v>
      </c>
      <c r="BG58" s="20">
        <f t="shared" si="7"/>
        <v>498.22601991660639</v>
      </c>
      <c r="BH58" s="59">
        <f t="shared" si="8"/>
        <v>791.5593532499397</v>
      </c>
      <c r="BI58" s="59">
        <f ca="1">AVERAGE(OFFSET($BH$3,0,0,'Données projet'!$E$11+1,1))-AVERAGE(OFFSET($H$3,0,0,'Données projet'!$E$11+1,1))</f>
        <v>405.7176439604217</v>
      </c>
      <c r="BJ58" s="59">
        <f t="shared" si="38"/>
        <v>278.21741231699929</v>
      </c>
      <c r="BK58" s="15">
        <f>IF(ISNA(VLOOKUP(A58,'Données projet'!$A$87:$I$107,3,0)),0,VLOOKUP(A58,'Données projet'!$A$87:$I$107,3,0))</f>
        <v>8</v>
      </c>
      <c r="BL58" s="15">
        <f>IF(ISNA(VLOOKUP(A58,'Données projet'!$A$87:$I$107,4,0)),0,VLOOKUP(A58,'Données projet'!$A$87:$I$107,4,0))</f>
        <v>28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4.4545468477065064</v>
      </c>
      <c r="BQ58" s="21">
        <f>EXP(-LN(2)/25)*BQ57+(1-EXP(-LN(2)/25))/(LN(2)/25)*Calculateur!BL58*Calculateur!BN58*VLOOKUP('Données projet'!$B$11,Paramètres!$A$1:$I$89,3,0)*0.475*44/12</f>
        <v>4.6823830637542097</v>
      </c>
      <c r="BR58" s="21">
        <f>EXP(-LN(2)/2)*BR57+(1-EXP(-LN(2)/2))/(LN(2)/2)*BL58*BO58*VLOOKUP('Données projet'!$B$11,Paramètres!$A$1:$I$89,3,0)*0.475*44/12</f>
        <v>1.4733979492706621E-3</v>
      </c>
      <c r="BS58" s="22">
        <f t="shared" si="9"/>
        <v>9.1384033094099859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>
        <f>VLOOKUP(A58,'Données projet'!$A$113:$I$133,2,0)</f>
        <v>239</v>
      </c>
      <c r="BW58" s="12">
        <f>VLOOKUP(A58,'Données projet'!$A$113:$I$133,9,0)</f>
        <v>7.4</v>
      </c>
      <c r="BX58" s="12">
        <f t="array" ref="BX58">INDEX(BW:BW,MIN(IF(ISNUMBER(BW58:BW254),ROW(BW58:BW254),"")))</f>
        <v>7.4</v>
      </c>
      <c r="BY58" s="12">
        <f>IF('Données projet'!$A$114&gt;35,BY57+BX58-CG57,IF(A58&lt;'Données projet'!$A$114,$BV$205^A58,IF(A58='Données projet'!$A$114,'Données projet'!$B$114,BY57+BX58-CG57)))</f>
        <v>239.00000000000011</v>
      </c>
      <c r="BZ58" s="13">
        <f>BY58*VLOOKUP('Données projet'!$B$12,Paramètres!$A$1:$I$89,3,0)*VLOOKUP('Données projet'!$B$12,Paramètres!$A$1:$I$89,5,0)</f>
        <v>208.79040000000015</v>
      </c>
      <c r="CA58" s="13">
        <f t="shared" si="39"/>
        <v>51.671168863475195</v>
      </c>
      <c r="CB58" s="20">
        <f t="shared" si="10"/>
        <v>453.63723243721955</v>
      </c>
      <c r="CC58" s="59">
        <f t="shared" si="11"/>
        <v>746.97056577055287</v>
      </c>
      <c r="CD58" s="59">
        <f ca="1">AVERAGE(OFFSET($CC$3,0,0,'Données projet'!$E$12+1,1))-AVERAGE(OFFSET($H$3,0,0,'Données projet'!$E$12+1,1))</f>
        <v>381.72225529388083</v>
      </c>
      <c r="CE58" s="59">
        <f t="shared" si="40"/>
        <v>360.05900046417361</v>
      </c>
      <c r="CF58" s="15">
        <f>IF(ISNA(VLOOKUP(A58,'Données projet'!$A$113:$I$133,3,0)),0,VLOOKUP(A58,'Données projet'!$A$113:$I$133,3,0))</f>
        <v>9</v>
      </c>
      <c r="CG58" s="15">
        <f>IF(ISNA(VLOOKUP(A58,'Données projet'!$A$113:$I$133,4,0)),0,VLOOKUP(A58,'Données projet'!$A$113:$I$133,4,0))</f>
        <v>26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2.9326965209177551</v>
      </c>
      <c r="CL58" s="21">
        <f>EXP(-LN(2)/25)*CL57+(1-EXP(-LN(2)/25))/(LN(2)/25)*Calculateur!CG58*Calculateur!CI58*VLOOKUP('Données projet'!$B$12,Paramètres!$A$1:$I$89,3,0)*0.475*44/12</f>
        <v>5.6400800272266824</v>
      </c>
      <c r="CM58" s="21">
        <f>EXP(-LN(2)/2)*CM57+(1-EXP(-LN(2)/2))/(LN(2)/2)*CG58*CJ58*VLOOKUP('Données projet'!$B$12,Paramètres!$A$1:$I$89,3,0)*0.475*44/12</f>
        <v>1.2080038603804039E-3</v>
      </c>
      <c r="CN58" s="22">
        <f t="shared" si="12"/>
        <v>8.5739845520048181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>
        <f>VLOOKUP(A58,'Données projet'!$A$139:$I$159,2,0)</f>
        <v>232</v>
      </c>
      <c r="CR58" s="12">
        <f>VLOOKUP(A58,'Données projet'!$A$139:$I$159,9,0)</f>
        <v>6</v>
      </c>
      <c r="CS58" s="12">
        <f t="array" ref="CS58">INDEX(CR:CR,MIN(IF(ISNUMBER(CR58:CR254),ROW(CR58:CR254),"")))</f>
        <v>6</v>
      </c>
      <c r="CT58" s="12">
        <f>IF('Données projet'!$A$140&gt;35,CT57+CS58-DB57,IF(A58&lt;'Données projet'!$A$140,$CQ$205^A58,IF(A58='Données projet'!$A$140,'Données projet'!$B$140,CT57+CS58-DB57)))</f>
        <v>231.99999999999989</v>
      </c>
      <c r="CU58" s="17">
        <f>CT58*VLOOKUP('Données projet'!$B$13,Paramètres!$A$1:$I$89,3,0)*VLOOKUP('Données projet'!$B$13,Paramètres!$A$1:$I$89,5,0)</f>
        <v>184.57919999999993</v>
      </c>
      <c r="CV58" s="13">
        <f t="shared" si="41"/>
        <v>46.339479465836618</v>
      </c>
      <c r="CW58" s="20">
        <f t="shared" si="13"/>
        <v>402.18336673633195</v>
      </c>
      <c r="CX58" s="59">
        <f t="shared" si="14"/>
        <v>695.51670006966526</v>
      </c>
      <c r="CY58" s="59">
        <f ca="1">AVERAGE(OFFSET($CX$3,0,0,'Données projet'!$E$13+1,1))-AVERAGE(OFFSET($H$3,0,0,'Données projet'!$E$13+1,1))</f>
        <v>299.10536994156814</v>
      </c>
      <c r="CZ58" s="59">
        <f t="shared" si="42"/>
        <v>292.57799203101769</v>
      </c>
      <c r="DA58" s="15">
        <f>IF(ISNA(VLOOKUP(A58,'Données projet'!$A$139:$I$159,3,0)),0,VLOOKUP(A58,'Données projet'!$A$139:$I$159,3,0))</f>
        <v>9</v>
      </c>
      <c r="DB58" s="15">
        <f>IF(ISNA(VLOOKUP(A58,'Données projet'!$A$139:$I$159,4,0)),0,VLOOKUP(A58,'Données projet'!$A$139:$I$159,4,0))</f>
        <v>13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5.1328274453155309</v>
      </c>
      <c r="DG58" s="21">
        <f>EXP(-LN(2)/25)*DG57+(1-EXP(-LN(2)/25))/(LN(2)/25)*Calculateur!DB58*Calculateur!DD58*VLOOKUP('Données projet'!$B$13,Paramètres!$A$1:$I$89,3,0)*0.475*44/12</f>
        <v>5.4063762142665164</v>
      </c>
      <c r="DH58" s="21">
        <f>EXP(-LN(2)/2)*DH57+(1-EXP(-LN(2)/2))/(LN(2)/2)*DB58*DE58*VLOOKUP('Données projet'!$B$13,Paramètres!$A$1:$I$89,3,0)*0.475*44/12</f>
        <v>1.5489796507895932E-3</v>
      </c>
      <c r="DI58" s="22">
        <f t="shared" si="15"/>
        <v>10.540752639232837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>
        <f>VLOOKUP(A58,'Données projet'!$A$165:$I$185,2,0)</f>
        <v>253</v>
      </c>
      <c r="DM58" s="12">
        <f>VLOOKUP(A58,'Données projet'!$A$165:$I$185,9,0)</f>
        <v>6.8</v>
      </c>
      <c r="DN58" s="12">
        <f t="array" ref="DN58">INDEX(DM:DM,MIN(IF(ISNUMBER(DM58:DM254),ROW(DM58:DM254),"")))</f>
        <v>6.8</v>
      </c>
      <c r="DO58" s="12">
        <f>IF('Données projet'!$A$166&gt;35,DO57+DN58-DW57,IF(A58&lt;'Données projet'!$A$166,$DL$205^A58,IF(A58='Données projet'!$A$166,'Données projet'!$B$166,DO57+DN58-DW57)))</f>
        <v>253.00000000000006</v>
      </c>
      <c r="DP58" s="17">
        <f>DO58*VLOOKUP('Données projet'!$B$14,Paramètres!$A$1:$I$89,3,0)*VLOOKUP('Données projet'!$B$14,Paramètres!$A$1:$I$89,5,0)</f>
        <v>165.76560000000003</v>
      </c>
      <c r="DQ58" s="13">
        <f t="shared" si="43"/>
        <v>42.140271125684265</v>
      </c>
      <c r="DR58" s="20">
        <f t="shared" si="16"/>
        <v>362.10272554390014</v>
      </c>
      <c r="DS58" s="59">
        <f t="shared" si="17"/>
        <v>655.43605887723345</v>
      </c>
      <c r="DT58" s="59">
        <f ca="1">AVERAGE(OFFSET($DS$3,0,0,'Données projet'!$E$14+1,1))-AVERAGE(OFFSET($H$3,0,0,'Données projet'!$E$14+1,1))</f>
        <v>295.92103934364718</v>
      </c>
      <c r="DU58" s="59">
        <f t="shared" si="44"/>
        <v>304.84379909635476</v>
      </c>
      <c r="DV58" s="15">
        <f>IF(ISNA(VLOOKUP(A58,'Données projet'!$A$165:$I$185,3,0)),0,VLOOKUP(A58,'Données projet'!$A$165:$I$185,3,0))</f>
        <v>10</v>
      </c>
      <c r="DW58" s="15">
        <f>IF(ISNA(VLOOKUP(A58,'Données projet'!$A$165:$I$185,4,0)),0,VLOOKUP(A58,'Données projet'!$A$165:$I$185,4,0))</f>
        <v>25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2.7186152826301551</v>
      </c>
      <c r="EB58" s="21">
        <f>EXP(-LN(2)/25)*EB57+(1-EXP(-LN(2)/25))/(LN(2)/25)*Calculateur!DW58*Calculateur!DY58*VLOOKUP('Données projet'!$B$14,Paramètres!$A$1:$I$89,3,0)*0.475*44/12</f>
        <v>3.5760755879877393</v>
      </c>
      <c r="EC58" s="21">
        <f>EXP(-LN(2)/2)*EC57+(1-EXP(-LN(2)/2))/(LN(2)/2)*DW58*DZ58*VLOOKUP('Données projet'!$B$14,Paramètres!$A$1:$I$89,3,0)*0.475*44/12</f>
        <v>9.9345645697858213E-4</v>
      </c>
      <c r="ED58" s="22">
        <f t="shared" si="18"/>
        <v>6.2956843270748726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13.5</v>
      </c>
      <c r="N59" s="13">
        <f>IF('Données projet'!$A$36&gt;35,N58+M59-V58,IF(A59&lt;'Données projet'!$A$36,$K$205^A59,IF(A59='Données projet'!$A$36,'Données projet'!$B$36,N58+M59-V58)))</f>
        <v>294.49999999999989</v>
      </c>
      <c r="O59" s="13">
        <f>N59*VLOOKUP('Données projet'!$B$9,Paramètres!$A$1:$I$89,3,0)*VLOOKUP('Données projet'!$B$9,Paramètres!$A$1:$I$89,5,0)</f>
        <v>137.82599999999994</v>
      </c>
      <c r="P59" s="13">
        <f t="shared" si="33"/>
        <v>35.798519897115497</v>
      </c>
      <c r="Q59" s="20">
        <f t="shared" si="53"/>
        <v>302.39603882080934</v>
      </c>
      <c r="R59" s="59">
        <f t="shared" si="0"/>
        <v>595.72937215414265</v>
      </c>
      <c r="S59" s="59">
        <f ca="1">AVERAGE(OFFSET($R$3,0,0,'Données projet'!$E$9+1,1))-AVERAGE(OFFSET($H$3,0,0,'Données projet'!$E$9+1,1))</f>
        <v>319.22903094674564</v>
      </c>
      <c r="T59" s="59">
        <f t="shared" si="34"/>
        <v>254.58690973142848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5.423506964701363</v>
      </c>
      <c r="AA59" s="21">
        <f>EXP(-LN(2)/25)*AA58+(1-EXP(-LN(2)/25))/(LN(2)/25)*Calculateur!V59*Calculateur!X59*VLOOKUP('Données projet'!$B$9,Paramètres!$A$1:$I$89,3,0)*0.475*44/12</f>
        <v>5.423193389471054</v>
      </c>
      <c r="AB59" s="21">
        <f>EXP(-LN(2)/2)*AB58+(1-EXP(-LN(2)/2))/(LN(2)/2)*V59*Y59*VLOOKUP('Données projet'!$B$9,Paramètres!$A$1:$I$89,3,0)*0.475*44/12</f>
        <v>1.3480381645017544E-3</v>
      </c>
      <c r="AC59" s="22">
        <f t="shared" si="3"/>
        <v>10.848048392336917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12.2</v>
      </c>
      <c r="AI59" s="13">
        <f>IF('Données projet'!$A$62&gt;35,AI58+AH59-AQ58,IF(A59&lt;'Données projet'!$A$62,$AF$205^A59,IF(A59='Données projet'!$A$62,'Données projet'!$B$62,AI58+AH59-AQ58)))</f>
        <v>705.19999999999948</v>
      </c>
      <c r="AJ59" s="13">
        <f>AI59*VLOOKUP('Données projet'!$B$10,Paramètres!$A$1:$I$89,3,0)*VLOOKUP('Données projet'!$B$10,Paramètres!$A$1:$I$89,5,0)</f>
        <v>394.2067999999997</v>
      </c>
      <c r="AK59" s="13">
        <f t="shared" si="35"/>
        <v>90.601187466199292</v>
      </c>
      <c r="AL59" s="20">
        <f t="shared" si="4"/>
        <v>844.37391150362998</v>
      </c>
      <c r="AM59" s="59">
        <f t="shared" si="5"/>
        <v>1137.7072448369634</v>
      </c>
      <c r="AN59" s="59">
        <f ca="1">AVERAGE(OFFSET($AM$3,0,0,'Données projet'!$E$10+1,1))-AVERAGE(OFFSET($H$3,0,0,'Données projet'!$E$10+1,1))</f>
        <v>544.48194192356823</v>
      </c>
      <c r="AO59" s="59">
        <f t="shared" si="36"/>
        <v>668.20427590250733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4.3868529459292631</v>
      </c>
      <c r="AV59" s="21">
        <f>EXP(-LN(2)/25)*AV58+(1-EXP(-LN(2)/25))/(LN(2)/25)*Calculateur!AQ59*Calculateur!AS59*VLOOKUP('Données projet'!$B$10,Paramètres!$A$1:$I$89,3,0)*0.475*44/12</f>
        <v>20.72349504487784</v>
      </c>
      <c r="AW59" s="21">
        <f>EXP(-LN(2)/2)*AW58+(1-EXP(-LN(2)/2))/(LN(2)/2)*AQ59*AT59*VLOOKUP('Données projet'!$B$10,Paramètres!$A$1:$I$89,3,0)*0.475*44/12</f>
        <v>1.7600046099533254E-3</v>
      </c>
      <c r="AX59" s="21">
        <f t="shared" si="6"/>
        <v>25.112107995417055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9.4</v>
      </c>
      <c r="BD59" s="12">
        <f>IF('Données projet'!$A$88&gt;35,BD58+BC59-BL58,IF(A59&lt;'Données projet'!$A$88,$BA$205^A59,IF(A59='Données projet'!$A$88,'Données projet'!$B$88,BD58+BC59-BL58)))</f>
        <v>235.39999999999998</v>
      </c>
      <c r="BE59" s="13">
        <f>BD59*VLOOKUP('Données projet'!$B$11,Paramètres!$A$1:$I$89,3,0)*VLOOKUP('Données projet'!$B$11,Paramètres!$A$1:$I$89,5,0)</f>
        <v>212.98991999999998</v>
      </c>
      <c r="BF59" s="13">
        <f t="shared" si="37"/>
        <v>52.588419883221171</v>
      </c>
      <c r="BG59" s="20">
        <f t="shared" si="7"/>
        <v>462.54894196327677</v>
      </c>
      <c r="BH59" s="59">
        <f t="shared" si="8"/>
        <v>755.88227529661003</v>
      </c>
      <c r="BI59" s="59">
        <f ca="1">AVERAGE(OFFSET($BH$3,0,0,'Données projet'!$E$11+1,1))-AVERAGE(OFFSET($H$3,0,0,'Données projet'!$E$11+1,1))</f>
        <v>405.7176439604217</v>
      </c>
      <c r="BJ59" s="59">
        <f t="shared" si="38"/>
        <v>278.21741231699929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4.3671959010282766</v>
      </c>
      <c r="BQ59" s="21">
        <f>EXP(-LN(2)/25)*BQ58+(1-EXP(-LN(2)/25))/(LN(2)/25)*Calculateur!BL59*Calculateur!BN59*VLOOKUP('Données projet'!$B$11,Paramètres!$A$1:$I$89,3,0)*0.475*44/12</f>
        <v>4.5543430526400268</v>
      </c>
      <c r="BR59" s="21">
        <f>EXP(-LN(2)/2)*BR58+(1-EXP(-LN(2)/2))/(LN(2)/2)*BL59*BO59*VLOOKUP('Données projet'!$B$11,Paramètres!$A$1:$I$89,3,0)*0.475*44/12</f>
        <v>1.0418496813156379E-3</v>
      </c>
      <c r="BS59" s="22">
        <f t="shared" si="9"/>
        <v>8.9225808033496197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6.6</v>
      </c>
      <c r="BY59" s="12">
        <f>IF('Données projet'!$A$114&gt;35,BY58+BX59-CG58,IF(A59&lt;'Données projet'!$A$114,$BV$205^A59,IF(A59='Données projet'!$A$114,'Données projet'!$B$114,BY58+BX59-CG58)))</f>
        <v>219.60000000000011</v>
      </c>
      <c r="BZ59" s="13">
        <f>BY59*VLOOKUP('Données projet'!$B$12,Paramètres!$A$1:$I$89,3,0)*VLOOKUP('Données projet'!$B$12,Paramètres!$A$1:$I$89,5,0)</f>
        <v>191.84256000000011</v>
      </c>
      <c r="CA59" s="13">
        <f t="shared" si="39"/>
        <v>47.947087613384845</v>
      </c>
      <c r="CB59" s="20">
        <f t="shared" si="10"/>
        <v>417.6336362599788</v>
      </c>
      <c r="CC59" s="59">
        <f t="shared" si="11"/>
        <v>710.96696959331211</v>
      </c>
      <c r="CD59" s="59">
        <f ca="1">AVERAGE(OFFSET($CC$3,0,0,'Données projet'!$E$12+1,1))-AVERAGE(OFFSET($H$3,0,0,'Données projet'!$E$12+1,1))</f>
        <v>381.72225529388083</v>
      </c>
      <c r="CE59" s="59">
        <f t="shared" si="40"/>
        <v>360.05900046417361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2.8751881309108094</v>
      </c>
      <c r="CL59" s="21">
        <f>EXP(-LN(2)/25)*CL58+(1-EXP(-LN(2)/25))/(LN(2)/25)*Calculateur!CG59*Calculateur!CI59*VLOOKUP('Données projet'!$B$12,Paramètres!$A$1:$I$89,3,0)*0.475*44/12</f>
        <v>5.4858517422832511</v>
      </c>
      <c r="CM59" s="21">
        <f>EXP(-LN(2)/2)*CM58+(1-EXP(-LN(2)/2))/(LN(2)/2)*CG59*CJ59*VLOOKUP('Données projet'!$B$12,Paramètres!$A$1:$I$89,3,0)*0.475*44/12</f>
        <v>8.5418772137451097E-4</v>
      </c>
      <c r="CN59" s="22">
        <f t="shared" si="12"/>
        <v>8.3618940609154357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5.2</v>
      </c>
      <c r="CT59" s="12">
        <f>IF('Données projet'!$A$140&gt;35,CT58+CS59-DB58,IF(A59&lt;'Données projet'!$A$140,$CQ$205^A59,IF(A59='Données projet'!$A$140,'Données projet'!$B$140,CT58+CS59-DB58)))</f>
        <v>224.19999999999987</v>
      </c>
      <c r="CU59" s="17">
        <f>CT59*VLOOKUP('Données projet'!$B$13,Paramètres!$A$1:$I$89,3,0)*VLOOKUP('Données projet'!$B$13,Paramètres!$A$1:$I$89,5,0)</f>
        <v>178.37351999999993</v>
      </c>
      <c r="CV59" s="13">
        <f t="shared" si="41"/>
        <v>44.960133388294842</v>
      </c>
      <c r="CW59" s="20">
        <f t="shared" si="13"/>
        <v>388.97277965128006</v>
      </c>
      <c r="CX59" s="59">
        <f t="shared" si="14"/>
        <v>682.30611298461338</v>
      </c>
      <c r="CY59" s="59">
        <f ca="1">AVERAGE(OFFSET($CX$3,0,0,'Données projet'!$E$13+1,1))-AVERAGE(OFFSET($H$3,0,0,'Données projet'!$E$13+1,1))</f>
        <v>299.10536994156814</v>
      </c>
      <c r="CZ59" s="59">
        <f t="shared" si="42"/>
        <v>292.57799203101769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5.0321758298285024</v>
      </c>
      <c r="DG59" s="21">
        <f>EXP(-LN(2)/25)*DG58+(1-EXP(-LN(2)/25))/(LN(2)/25)*Calculateur!DB59*Calculateur!DD59*VLOOKUP('Données projet'!$B$13,Paramètres!$A$1:$I$89,3,0)*0.475*44/12</f>
        <v>5.2585385723784297</v>
      </c>
      <c r="DH59" s="21">
        <f>EXP(-LN(2)/2)*DH58+(1-EXP(-LN(2)/2))/(LN(2)/2)*DB59*DE59*VLOOKUP('Données projet'!$B$13,Paramètres!$A$1:$I$89,3,0)*0.475*44/12</f>
        <v>1.0952940149932917E-3</v>
      </c>
      <c r="DI59" s="22">
        <f t="shared" si="15"/>
        <v>10.291809696221925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6.4</v>
      </c>
      <c r="DO59" s="12">
        <f>IF('Données projet'!$A$166&gt;35,DO58+DN59-DW58,IF(A59&lt;'Données projet'!$A$166,$DL$205^A59,IF(A59='Données projet'!$A$166,'Données projet'!$B$166,DO58+DN59-DW58)))</f>
        <v>234.40000000000003</v>
      </c>
      <c r="DP59" s="17">
        <f>DO59*VLOOKUP('Données projet'!$B$14,Paramètres!$A$1:$I$89,3,0)*VLOOKUP('Données projet'!$B$14,Paramètres!$A$1:$I$89,5,0)</f>
        <v>153.57888000000003</v>
      </c>
      <c r="DQ59" s="13">
        <f t="shared" si="43"/>
        <v>39.390779474606148</v>
      </c>
      <c r="DR59" s="20">
        <f t="shared" si="16"/>
        <v>336.08882358493906</v>
      </c>
      <c r="DS59" s="59">
        <f t="shared" si="17"/>
        <v>629.42215691827232</v>
      </c>
      <c r="DT59" s="59">
        <f ca="1">AVERAGE(OFFSET($DS$3,0,0,'Données projet'!$E$14+1,1))-AVERAGE(OFFSET($H$3,0,0,'Données projet'!$E$14+1,1))</f>
        <v>295.92103934364718</v>
      </c>
      <c r="DU59" s="59">
        <f t="shared" si="44"/>
        <v>304.84379909635476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2.6653048951293674</v>
      </c>
      <c r="EB59" s="21">
        <f>EXP(-LN(2)/25)*EB58+(1-EXP(-LN(2)/25))/(LN(2)/25)*Calculateur!DW59*Calculateur!DY59*VLOOKUP('Données projet'!$B$14,Paramètres!$A$1:$I$89,3,0)*0.475*44/12</f>
        <v>3.4782876129765725</v>
      </c>
      <c r="EC59" s="21">
        <f>EXP(-LN(2)/2)*EC58+(1-EXP(-LN(2)/2))/(LN(2)/2)*DW59*DZ59*VLOOKUP('Données projet'!$B$14,Paramètres!$A$1:$I$89,3,0)*0.475*44/12</f>
        <v>7.0247979754311705E-4</v>
      </c>
      <c r="ED59" s="22">
        <f t="shared" si="18"/>
        <v>6.1442949879034829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13.5</v>
      </c>
      <c r="N60" s="13">
        <f>IF('Données projet'!$A$36&gt;35,N59+M60-V59,IF(A60&lt;'Données projet'!$A$36,$K$205^A60,IF(A60='Données projet'!$A$36,'Données projet'!$B$36,N59+M60-V59)))</f>
        <v>307.99999999999989</v>
      </c>
      <c r="O60" s="13">
        <f>N60*VLOOKUP('Données projet'!$B$9,Paramètres!$A$1:$I$89,3,0)*VLOOKUP('Données projet'!$B$9,Paramètres!$A$1:$I$89,5,0)</f>
        <v>144.14399999999995</v>
      </c>
      <c r="P60" s="13">
        <f t="shared" si="33"/>
        <v>37.244720006976216</v>
      </c>
      <c r="Q60" s="20">
        <f t="shared" si="53"/>
        <v>315.91868734548348</v>
      </c>
      <c r="R60" s="59">
        <f t="shared" si="0"/>
        <v>609.25202067881673</v>
      </c>
      <c r="S60" s="59">
        <f ca="1">AVERAGE(OFFSET($R$3,0,0,'Données projet'!$E$9+1,1))-AVERAGE(OFFSET($H$3,0,0,'Données projet'!$E$9+1,1))</f>
        <v>319.22903094674564</v>
      </c>
      <c r="T60" s="59">
        <f t="shared" si="34"/>
        <v>254.58690973142848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5.3171553011361787</v>
      </c>
      <c r="AA60" s="21">
        <f>EXP(-LN(2)/25)*AA59+(1-EXP(-LN(2)/25))/(LN(2)/25)*Calculateur!V60*Calculateur!X60*VLOOKUP('Données projet'!$B$9,Paramètres!$A$1:$I$89,3,0)*0.475*44/12</f>
        <v>5.2748958810426227</v>
      </c>
      <c r="AB60" s="21">
        <f>EXP(-LN(2)/2)*AB59+(1-EXP(-LN(2)/2))/(LN(2)/2)*V60*Y60*VLOOKUP('Données projet'!$B$9,Paramètres!$A$1:$I$89,3,0)*0.475*44/12</f>
        <v>9.5320692741745724E-4</v>
      </c>
      <c r="AC60" s="22">
        <f t="shared" si="3"/>
        <v>10.59300438910622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12.2</v>
      </c>
      <c r="AI60" s="13">
        <f>IF('Données projet'!$A$62&gt;35,AI59+AH60-AQ59,IF(A60&lt;'Données projet'!$A$62,$AF$205^A60,IF(A60='Données projet'!$A$62,'Données projet'!$B$62,AI59+AH60-AQ59)))</f>
        <v>717.39999999999952</v>
      </c>
      <c r="AJ60" s="13">
        <f>AI60*VLOOKUP('Données projet'!$B$10,Paramètres!$A$1:$I$89,3,0)*VLOOKUP('Données projet'!$B$10,Paramètres!$A$1:$I$89,5,0)</f>
        <v>401.02659999999975</v>
      </c>
      <c r="AK60" s="13">
        <f t="shared" si="35"/>
        <v>91.984761558101539</v>
      </c>
      <c r="AL60" s="20">
        <f t="shared" si="4"/>
        <v>858.66145471369293</v>
      </c>
      <c r="AM60" s="59">
        <f t="shared" si="5"/>
        <v>1151.9947880470263</v>
      </c>
      <c r="AN60" s="59">
        <f ca="1">AVERAGE(OFFSET($AM$3,0,0,'Données projet'!$E$10+1,1))-AVERAGE(OFFSET($H$3,0,0,'Données projet'!$E$10+1,1))</f>
        <v>544.48194192356823</v>
      </c>
      <c r="AO60" s="59">
        <f t="shared" si="36"/>
        <v>668.20427590250733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4.3008294353756824</v>
      </c>
      <c r="AV60" s="21">
        <f>EXP(-LN(2)/25)*AV59+(1-EXP(-LN(2)/25))/(LN(2)/25)*Calculateur!AQ60*Calculateur!AS60*VLOOKUP('Données projet'!$B$10,Paramètres!$A$1:$I$89,3,0)*0.475*44/12</f>
        <v>20.156809983074414</v>
      </c>
      <c r="AW60" s="21">
        <f>EXP(-LN(2)/2)*AW59+(1-EXP(-LN(2)/2))/(LN(2)/2)*AQ60*AT60*VLOOKUP('Données projet'!$B$10,Paramètres!$A$1:$I$89,3,0)*0.475*44/12</f>
        <v>1.244511194617581E-3</v>
      </c>
      <c r="AX60" s="21">
        <f t="shared" si="6"/>
        <v>24.458883929644713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9.4</v>
      </c>
      <c r="BD60" s="12">
        <f>IF('Données projet'!$A$88&gt;35,BD59+BC60-BL59,IF(A60&lt;'Données projet'!$A$88,$BA$205^A60,IF(A60='Données projet'!$A$88,'Données projet'!$B$88,BD59+BC60-BL59)))</f>
        <v>244.79999999999998</v>
      </c>
      <c r="BE60" s="13">
        <f>BD60*VLOOKUP('Données projet'!$B$11,Paramètres!$A$1:$I$89,3,0)*VLOOKUP('Données projet'!$B$11,Paramètres!$A$1:$I$89,5,0)</f>
        <v>221.49503999999999</v>
      </c>
      <c r="BF60" s="13">
        <f t="shared" si="37"/>
        <v>54.439697086174412</v>
      </c>
      <c r="BG60" s="20">
        <f t="shared" si="7"/>
        <v>480.58633375842032</v>
      </c>
      <c r="BH60" s="59">
        <f t="shared" si="8"/>
        <v>773.91966709175358</v>
      </c>
      <c r="BI60" s="59">
        <f ca="1">AVERAGE(OFFSET($BH$3,0,0,'Données projet'!$E$11+1,1))-AVERAGE(OFFSET($H$3,0,0,'Données projet'!$E$11+1,1))</f>
        <v>405.7176439604217</v>
      </c>
      <c r="BJ60" s="59">
        <f t="shared" si="38"/>
        <v>278.21741231699929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4.2815578531355909</v>
      </c>
      <c r="BQ60" s="21">
        <f>EXP(-LN(2)/25)*BQ59+(1-EXP(-LN(2)/25))/(LN(2)/25)*Calculateur!BL60*Calculateur!BN60*VLOOKUP('Données projet'!$B$11,Paramètres!$A$1:$I$89,3,0)*0.475*44/12</f>
        <v>4.4298043023630935</v>
      </c>
      <c r="BR60" s="21">
        <f>EXP(-LN(2)/2)*BR59+(1-EXP(-LN(2)/2))/(LN(2)/2)*BL60*BO60*VLOOKUP('Données projet'!$B$11,Paramètres!$A$1:$I$89,3,0)*0.475*44/12</f>
        <v>7.3669897463533103E-4</v>
      </c>
      <c r="BS60" s="22">
        <f t="shared" si="9"/>
        <v>8.712098854473318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6.6</v>
      </c>
      <c r="BY60" s="12">
        <f>IF('Données projet'!$A$114&gt;35,BY59+BX60-CG59,IF(A60&lt;'Données projet'!$A$114,$BV$205^A60,IF(A60='Données projet'!$A$114,'Données projet'!$B$114,BY59+BX60-CG59)))</f>
        <v>226.2000000000001</v>
      </c>
      <c r="BZ60" s="13">
        <f>BY60*VLOOKUP('Données projet'!$B$12,Paramètres!$A$1:$I$89,3,0)*VLOOKUP('Données projet'!$B$12,Paramètres!$A$1:$I$89,5,0)</f>
        <v>197.60832000000011</v>
      </c>
      <c r="CA60" s="13">
        <f t="shared" si="39"/>
        <v>49.218181392381403</v>
      </c>
      <c r="CB60" s="20">
        <f t="shared" si="10"/>
        <v>429.88948992506448</v>
      </c>
      <c r="CC60" s="59">
        <f t="shared" si="11"/>
        <v>723.22282325839774</v>
      </c>
      <c r="CD60" s="59">
        <f ca="1">AVERAGE(OFFSET($CC$3,0,0,'Données projet'!$E$12+1,1))-AVERAGE(OFFSET($H$3,0,0,'Données projet'!$E$12+1,1))</f>
        <v>381.72225529388083</v>
      </c>
      <c r="CE60" s="59">
        <f t="shared" si="40"/>
        <v>360.05900046417361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2.8188074453552456</v>
      </c>
      <c r="CL60" s="21">
        <f>EXP(-LN(2)/25)*CL59+(1-EXP(-LN(2)/25))/(LN(2)/25)*Calculateur!CG60*Calculateur!CI60*VLOOKUP('Données projet'!$B$12,Paramètres!$A$1:$I$89,3,0)*0.475*44/12</f>
        <v>5.3358408379021105</v>
      </c>
      <c r="CM60" s="21">
        <f>EXP(-LN(2)/2)*CM59+(1-EXP(-LN(2)/2))/(LN(2)/2)*CG60*CJ60*VLOOKUP('Données projet'!$B$12,Paramètres!$A$1:$I$89,3,0)*0.475*44/12</f>
        <v>6.0400193019020194E-4</v>
      </c>
      <c r="CN60" s="22">
        <f t="shared" si="12"/>
        <v>8.1552522851875455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5.2</v>
      </c>
      <c r="CT60" s="12">
        <f>IF('Données projet'!$A$140&gt;35,CT59+CS60-DB59,IF(A60&lt;'Données projet'!$A$140,$CQ$205^A60,IF(A60='Données projet'!$A$140,'Données projet'!$B$140,CT59+CS60-DB59)))</f>
        <v>229.39999999999986</v>
      </c>
      <c r="CU60" s="17">
        <f>CT60*VLOOKUP('Données projet'!$B$13,Paramètres!$A$1:$I$89,3,0)*VLOOKUP('Données projet'!$B$13,Paramètres!$A$1:$I$89,5,0)</f>
        <v>182.51063999999988</v>
      </c>
      <c r="CV60" s="13">
        <f t="shared" si="41"/>
        <v>45.880306213791371</v>
      </c>
      <c r="CW60" s="20">
        <f t="shared" si="13"/>
        <v>397.78089798901971</v>
      </c>
      <c r="CX60" s="59">
        <f t="shared" si="14"/>
        <v>691.11423132235302</v>
      </c>
      <c r="CY60" s="59">
        <f ca="1">AVERAGE(OFFSET($CX$3,0,0,'Données projet'!$E$13+1,1))-AVERAGE(OFFSET($H$3,0,0,'Données projet'!$E$13+1,1))</f>
        <v>299.10536994156814</v>
      </c>
      <c r="CZ60" s="59">
        <f t="shared" si="42"/>
        <v>292.57799203101769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4.9334979311297511</v>
      </c>
      <c r="DG60" s="21">
        <f>EXP(-LN(2)/25)*DG59+(1-EXP(-LN(2)/25))/(LN(2)/25)*Calculateur!DB60*Calculateur!DD60*VLOOKUP('Données projet'!$B$13,Paramètres!$A$1:$I$89,3,0)*0.475*44/12</f>
        <v>5.1147435585822167</v>
      </c>
      <c r="DH60" s="21">
        <f>EXP(-LN(2)/2)*DH59+(1-EXP(-LN(2)/2))/(LN(2)/2)*DB60*DE60*VLOOKUP('Données projet'!$B$13,Paramètres!$A$1:$I$89,3,0)*0.475*44/12</f>
        <v>7.7448982539479662E-4</v>
      </c>
      <c r="DI60" s="22">
        <f t="shared" si="15"/>
        <v>10.049015979537362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6.4</v>
      </c>
      <c r="DO60" s="12">
        <f>IF('Données projet'!$A$166&gt;35,DO59+DN60-DW59,IF(A60&lt;'Données projet'!$A$166,$DL$205^A60,IF(A60='Données projet'!$A$166,'Données projet'!$B$166,DO59+DN60-DW59)))</f>
        <v>240.80000000000004</v>
      </c>
      <c r="DP60" s="17">
        <f>DO60*VLOOKUP('Données projet'!$B$14,Paramètres!$A$1:$I$89,3,0)*VLOOKUP('Données projet'!$B$14,Paramètres!$A$1:$I$89,5,0)</f>
        <v>157.77216000000001</v>
      </c>
      <c r="DQ60" s="13">
        <f t="shared" si="43"/>
        <v>40.339610539653599</v>
      </c>
      <c r="DR60" s="20">
        <f t="shared" si="16"/>
        <v>345.04466702323003</v>
      </c>
      <c r="DS60" s="59">
        <f t="shared" si="17"/>
        <v>638.37800035656335</v>
      </c>
      <c r="DT60" s="59">
        <f ca="1">AVERAGE(OFFSET($DS$3,0,0,'Données projet'!$E$14+1,1))-AVERAGE(OFFSET($H$3,0,0,'Données projet'!$E$14+1,1))</f>
        <v>295.92103934364718</v>
      </c>
      <c r="DU60" s="59">
        <f t="shared" si="44"/>
        <v>304.84379909635476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2.6130398918113444</v>
      </c>
      <c r="EB60" s="21">
        <f>EXP(-LN(2)/25)*EB59+(1-EXP(-LN(2)/25))/(LN(2)/25)*Calculateur!DW60*Calculateur!DY60*VLOOKUP('Données projet'!$B$14,Paramètres!$A$1:$I$89,3,0)*0.475*44/12</f>
        <v>3.3831736552845322</v>
      </c>
      <c r="EC60" s="21">
        <f>EXP(-LN(2)/2)*EC59+(1-EXP(-LN(2)/2))/(LN(2)/2)*DW60*DZ60*VLOOKUP('Données projet'!$B$14,Paramètres!$A$1:$I$89,3,0)*0.475*44/12</f>
        <v>4.9672822848929106E-4</v>
      </c>
      <c r="ED60" s="22">
        <f t="shared" si="18"/>
        <v>5.9967102753243662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13.5</v>
      </c>
      <c r="N61" s="13">
        <f>IF('Données projet'!$A$36&gt;35,N60+M61-V60,IF(A61&lt;'Données projet'!$A$36,$K$205^A61,IF(A61='Données projet'!$A$36,'Données projet'!$B$36,N60+M61-V60)))</f>
        <v>321.49999999999989</v>
      </c>
      <c r="O61" s="13">
        <f>N61*VLOOKUP('Données projet'!$B$9,Paramètres!$A$1:$I$89,3,0)*VLOOKUP('Données projet'!$B$9,Paramètres!$A$1:$I$89,5,0)</f>
        <v>150.46199999999993</v>
      </c>
      <c r="P61" s="13">
        <f t="shared" si="33"/>
        <v>38.683557979918994</v>
      </c>
      <c r="Q61" s="20">
        <f t="shared" si="53"/>
        <v>329.42851348169211</v>
      </c>
      <c r="R61" s="59">
        <f t="shared" si="0"/>
        <v>622.76184681502536</v>
      </c>
      <c r="S61" s="59">
        <f ca="1">AVERAGE(OFFSET($R$3,0,0,'Données projet'!$E$9+1,1))-AVERAGE(OFFSET($H$3,0,0,'Données projet'!$E$9+1,1))</f>
        <v>319.22903094674564</v>
      </c>
      <c r="T61" s="59">
        <f t="shared" si="34"/>
        <v>254.58690973142848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5.212889128825398</v>
      </c>
      <c r="AA61" s="21">
        <f>EXP(-LN(2)/25)*AA60+(1-EXP(-LN(2)/25))/(LN(2)/25)*Calculateur!V61*Calculateur!X61*VLOOKUP('Données projet'!$B$9,Paramètres!$A$1:$I$89,3,0)*0.475*44/12</f>
        <v>5.1306535757807934</v>
      </c>
      <c r="AB61" s="21">
        <f>EXP(-LN(2)/2)*AB60+(1-EXP(-LN(2)/2))/(LN(2)/2)*V61*Y61*VLOOKUP('Données projet'!$B$9,Paramètres!$A$1:$I$89,3,0)*0.475*44/12</f>
        <v>6.7401908225087732E-4</v>
      </c>
      <c r="AC61" s="22">
        <f t="shared" si="3"/>
        <v>10.344216723688442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12.2</v>
      </c>
      <c r="AI61" s="13">
        <f>IF('Données projet'!$A$62&gt;35,AI60+AH61-AQ60,IF(A61&lt;'Données projet'!$A$62,$AF$205^A61,IF(A61='Données projet'!$A$62,'Données projet'!$B$62,AI60+AH61-AQ60)))</f>
        <v>729.59999999999957</v>
      </c>
      <c r="AJ61" s="13">
        <f>AI61*VLOOKUP('Données projet'!$B$10,Paramètres!$A$1:$I$89,3,0)*VLOOKUP('Données projet'!$B$10,Paramètres!$A$1:$I$89,5,0)</f>
        <v>407.84639999999973</v>
      </c>
      <c r="AK61" s="13">
        <f t="shared" si="35"/>
        <v>93.365599460181741</v>
      </c>
      <c r="AL61" s="20">
        <f t="shared" si="4"/>
        <v>872.94423239314926</v>
      </c>
      <c r="AM61" s="59">
        <f t="shared" si="5"/>
        <v>1166.2775657264826</v>
      </c>
      <c r="AN61" s="59">
        <f ca="1">AVERAGE(OFFSET($AM$3,0,0,'Données projet'!$E$10+1,1))-AVERAGE(OFFSET($H$3,0,0,'Données projet'!$E$10+1,1))</f>
        <v>544.48194192356823</v>
      </c>
      <c r="AO61" s="59">
        <f t="shared" si="36"/>
        <v>668.20427590250733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4.216492793394897</v>
      </c>
      <c r="AV61" s="21">
        <f>EXP(-LN(2)/25)*AV60+(1-EXP(-LN(2)/25))/(LN(2)/25)*Calculateur!AQ61*Calculateur!AS61*VLOOKUP('Données projet'!$B$10,Paramètres!$A$1:$I$89,3,0)*0.475*44/12</f>
        <v>19.605620954086675</v>
      </c>
      <c r="AW61" s="21">
        <f>EXP(-LN(2)/2)*AW60+(1-EXP(-LN(2)/2))/(LN(2)/2)*AQ61*AT61*VLOOKUP('Données projet'!$B$10,Paramètres!$A$1:$I$89,3,0)*0.475*44/12</f>
        <v>8.8000230497666269E-4</v>
      </c>
      <c r="AX61" s="21">
        <f t="shared" si="6"/>
        <v>23.822993749786551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9.4</v>
      </c>
      <c r="BD61" s="12">
        <f>IF('Données projet'!$A$88&gt;35,BD60+BC61-BL60,IF(A61&lt;'Données projet'!$A$88,$BA$205^A61,IF(A61='Données projet'!$A$88,'Données projet'!$B$88,BD60+BC61-BL60)))</f>
        <v>254.2</v>
      </c>
      <c r="BE61" s="13">
        <f>BD61*VLOOKUP('Données projet'!$B$11,Paramètres!$A$1:$I$89,3,0)*VLOOKUP('Données projet'!$B$11,Paramètres!$A$1:$I$89,5,0)</f>
        <v>230.00015999999997</v>
      </c>
      <c r="BF61" s="13">
        <f t="shared" si="37"/>
        <v>56.282716126880423</v>
      </c>
      <c r="BG61" s="20">
        <f t="shared" si="7"/>
        <v>498.60934258765002</v>
      </c>
      <c r="BH61" s="59">
        <f t="shared" si="8"/>
        <v>791.94267592098333</v>
      </c>
      <c r="BI61" s="59">
        <f ca="1">AVERAGE(OFFSET($BH$3,0,0,'Données projet'!$E$11+1,1))-AVERAGE(OFFSET($H$3,0,0,'Données projet'!$E$11+1,1))</f>
        <v>405.7176439604217</v>
      </c>
      <c r="BJ61" s="59">
        <f t="shared" si="38"/>
        <v>278.21741231699929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4.1975991151280292</v>
      </c>
      <c r="BQ61" s="21">
        <f>EXP(-LN(2)/25)*BQ60+(1-EXP(-LN(2)/25))/(LN(2)/25)*Calculateur!BL61*Calculateur!BN61*VLOOKUP('Données projet'!$B$11,Paramètres!$A$1:$I$89,3,0)*0.475*44/12</f>
        <v>4.3086710707616911</v>
      </c>
      <c r="BR61" s="21">
        <f>EXP(-LN(2)/2)*BR60+(1-EXP(-LN(2)/2))/(LN(2)/2)*BL61*BO61*VLOOKUP('Données projet'!$B$11,Paramètres!$A$1:$I$89,3,0)*0.475*44/12</f>
        <v>5.2092484065781894E-4</v>
      </c>
      <c r="BS61" s="22">
        <f t="shared" si="9"/>
        <v>8.5067911107303775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6.6</v>
      </c>
      <c r="BY61" s="12">
        <f>IF('Données projet'!$A$114&gt;35,BY60+BX61-CG60,IF(A61&lt;'Données projet'!$A$114,$BV$205^A61,IF(A61='Données projet'!$A$114,'Données projet'!$B$114,BY60+BX61-CG60)))</f>
        <v>232.8000000000001</v>
      </c>
      <c r="BZ61" s="13">
        <f>BY61*VLOOKUP('Données projet'!$B$12,Paramètres!$A$1:$I$89,3,0)*VLOOKUP('Données projet'!$B$12,Paramètres!$A$1:$I$89,5,0)</f>
        <v>203.37408000000013</v>
      </c>
      <c r="CA61" s="13">
        <f t="shared" si="39"/>
        <v>50.484964849140624</v>
      </c>
      <c r="CB61" s="20">
        <f t="shared" si="10"/>
        <v>442.1378364455868</v>
      </c>
      <c r="CC61" s="59">
        <f t="shared" si="11"/>
        <v>735.47116977892006</v>
      </c>
      <c r="CD61" s="59">
        <f ca="1">AVERAGE(OFFSET($CC$3,0,0,'Données projet'!$E$12+1,1))-AVERAGE(OFFSET($H$3,0,0,'Données projet'!$E$12+1,1))</f>
        <v>381.72225529388083</v>
      </c>
      <c r="CE61" s="59">
        <f t="shared" si="40"/>
        <v>360.05900046417361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2.7635323506546037</v>
      </c>
      <c r="CL61" s="21">
        <f>EXP(-LN(2)/25)*CL60+(1-EXP(-LN(2)/25))/(LN(2)/25)*Calculateur!CG61*Calculateur!CI61*VLOOKUP('Données projet'!$B$12,Paramètres!$A$1:$I$89,3,0)*0.475*44/12</f>
        <v>5.1899319895900025</v>
      </c>
      <c r="CM61" s="21">
        <f>EXP(-LN(2)/2)*CM60+(1-EXP(-LN(2)/2))/(LN(2)/2)*CG61*CJ61*VLOOKUP('Données projet'!$B$12,Paramètres!$A$1:$I$89,3,0)*0.475*44/12</f>
        <v>4.2709386068725549E-4</v>
      </c>
      <c r="CN61" s="22">
        <f t="shared" si="12"/>
        <v>7.9538914341052935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5.2</v>
      </c>
      <c r="CT61" s="12">
        <f>IF('Données projet'!$A$140&gt;35,CT60+CS61-DB60,IF(A61&lt;'Données projet'!$A$140,$CQ$205^A61,IF(A61='Données projet'!$A$140,'Données projet'!$B$140,CT60+CS61-DB60)))</f>
        <v>234.59999999999985</v>
      </c>
      <c r="CU61" s="17">
        <f>CT61*VLOOKUP('Données projet'!$B$13,Paramètres!$A$1:$I$89,3,0)*VLOOKUP('Données projet'!$B$13,Paramètres!$A$1:$I$89,5,0)</f>
        <v>186.64775999999989</v>
      </c>
      <c r="CV61" s="13">
        <f t="shared" si="41"/>
        <v>46.79805411155214</v>
      </c>
      <c r="CW61" s="20">
        <f t="shared" si="13"/>
        <v>406.58479291095313</v>
      </c>
      <c r="CX61" s="59">
        <f t="shared" si="14"/>
        <v>699.91812624428644</v>
      </c>
      <c r="CY61" s="59">
        <f ca="1">AVERAGE(OFFSET($CX$3,0,0,'Données projet'!$E$13+1,1))-AVERAGE(OFFSET($H$3,0,0,'Données projet'!$E$13+1,1))</f>
        <v>299.10536994156814</v>
      </c>
      <c r="CZ61" s="59">
        <f t="shared" si="42"/>
        <v>292.57799203101769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4.8367550458369069</v>
      </c>
      <c r="DG61" s="21">
        <f>EXP(-LN(2)/25)*DG60+(1-EXP(-LN(2)/25))/(LN(2)/25)*Calculateur!DB61*Calculateur!DD61*VLOOKUP('Données projet'!$B$13,Paramètres!$A$1:$I$89,3,0)*0.475*44/12</f>
        <v>4.974880627000112</v>
      </c>
      <c r="DH61" s="21">
        <f>EXP(-LN(2)/2)*DH60+(1-EXP(-LN(2)/2))/(LN(2)/2)*DB61*DE61*VLOOKUP('Données projet'!$B$13,Paramètres!$A$1:$I$89,3,0)*0.475*44/12</f>
        <v>5.4764700749664584E-4</v>
      </c>
      <c r="DI61" s="22">
        <f t="shared" si="15"/>
        <v>9.8121833198445163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6.4</v>
      </c>
      <c r="DO61" s="12">
        <f>IF('Données projet'!$A$166&gt;35,DO60+DN61-DW60,IF(A61&lt;'Données projet'!$A$166,$DL$205^A61,IF(A61='Données projet'!$A$166,'Données projet'!$B$166,DO60+DN61-DW60)))</f>
        <v>247.20000000000005</v>
      </c>
      <c r="DP61" s="17">
        <f>DO61*VLOOKUP('Données projet'!$B$14,Paramètres!$A$1:$I$89,3,0)*VLOOKUP('Données projet'!$B$14,Paramètres!$A$1:$I$89,5,0)</f>
        <v>161.96544000000003</v>
      </c>
      <c r="DQ61" s="13">
        <f t="shared" si="43"/>
        <v>41.285510388923619</v>
      </c>
      <c r="DR61" s="20">
        <f t="shared" si="16"/>
        <v>353.99540526070876</v>
      </c>
      <c r="DS61" s="59">
        <f t="shared" si="17"/>
        <v>647.32873859404208</v>
      </c>
      <c r="DT61" s="59">
        <f ca="1">AVERAGE(OFFSET($DS$3,0,0,'Données projet'!$E$14+1,1))-AVERAGE(OFFSET($H$3,0,0,'Données projet'!$E$14+1,1))</f>
        <v>295.92103934364718</v>
      </c>
      <c r="DU61" s="59">
        <f t="shared" si="44"/>
        <v>304.84379909635476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2.5617997733298834</v>
      </c>
      <c r="EB61" s="21">
        <f>EXP(-LN(2)/25)*EB60+(1-EXP(-LN(2)/25))/(LN(2)/25)*Calculateur!DW61*Calculateur!DY61*VLOOKUP('Données projet'!$B$14,Paramètres!$A$1:$I$89,3,0)*0.475*44/12</f>
        <v>3.2906605937674063</v>
      </c>
      <c r="EC61" s="21">
        <f>EXP(-LN(2)/2)*EC60+(1-EXP(-LN(2)/2))/(LN(2)/2)*DW61*DZ61*VLOOKUP('Données projet'!$B$14,Paramètres!$A$1:$I$89,3,0)*0.475*44/12</f>
        <v>3.5123989877155852E-4</v>
      </c>
      <c r="ED61" s="22">
        <f t="shared" si="18"/>
        <v>5.8528116069960614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13.5</v>
      </c>
      <c r="N62" s="13">
        <f>IF('Données projet'!$A$36&gt;35,N61+M62-V61,IF(A62&lt;'Données projet'!$A$36,$K$205^A62,IF(A62='Données projet'!$A$36,'Données projet'!$B$36,N61+M62-V61)))</f>
        <v>334.99999999999989</v>
      </c>
      <c r="O62" s="13">
        <f>N62*VLOOKUP('Données projet'!$B$9,Paramètres!$A$1:$I$89,3,0)*VLOOKUP('Données projet'!$B$9,Paramètres!$A$1:$I$89,5,0)</f>
        <v>156.77999999999994</v>
      </c>
      <c r="P62" s="13">
        <f t="shared" si="33"/>
        <v>40.115378305457938</v>
      </c>
      <c r="Q62" s="20">
        <f t="shared" si="53"/>
        <v>342.92611721533916</v>
      </c>
      <c r="R62" s="59">
        <f t="shared" si="0"/>
        <v>636.25945054867248</v>
      </c>
      <c r="S62" s="59">
        <f ca="1">AVERAGE(OFFSET($R$3,0,0,'Données projet'!$E$9+1,1))-AVERAGE(OFFSET($H$3,0,0,'Données projet'!$E$9+1,1))</f>
        <v>319.22903094674564</v>
      </c>
      <c r="T62" s="59">
        <f t="shared" si="34"/>
        <v>254.58690973142848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5.1106675525575458</v>
      </c>
      <c r="AA62" s="21">
        <f>EXP(-LN(2)/25)*AA61+(1-EXP(-LN(2)/25))/(LN(2)/25)*Calculateur!V62*Calculateur!X62*VLOOKUP('Données projet'!$B$9,Paramètres!$A$1:$I$89,3,0)*0.475*44/12</f>
        <v>4.9903555839417226</v>
      </c>
      <c r="AB62" s="21">
        <f>EXP(-LN(2)/2)*AB61+(1-EXP(-LN(2)/2))/(LN(2)/2)*V62*Y62*VLOOKUP('Données projet'!$B$9,Paramètres!$A$1:$I$89,3,0)*0.475*44/12</f>
        <v>4.7660346370872873E-4</v>
      </c>
      <c r="AC62" s="22">
        <f t="shared" si="3"/>
        <v>10.101499739962977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12.2</v>
      </c>
      <c r="AI62" s="13">
        <f>IF('Données projet'!$A$62&gt;35,AI61+AH62-AQ61,IF(A62&lt;'Données projet'!$A$62,$AF$205^A62,IF(A62='Données projet'!$A$62,'Données projet'!$B$62,AI61+AH62-AQ61)))</f>
        <v>741.79999999999961</v>
      </c>
      <c r="AJ62" s="13">
        <f>AI62*VLOOKUP('Données projet'!$B$10,Paramètres!$A$1:$I$89,3,0)*VLOOKUP('Données projet'!$B$10,Paramètres!$A$1:$I$89,5,0)</f>
        <v>414.66619999999978</v>
      </c>
      <c r="AK62" s="13">
        <f t="shared" si="35"/>
        <v>94.743752206399009</v>
      </c>
      <c r="AL62" s="20">
        <f t="shared" si="4"/>
        <v>887.22233342614447</v>
      </c>
      <c r="AM62" s="59">
        <f t="shared" si="5"/>
        <v>1180.5556667594778</v>
      </c>
      <c r="AN62" s="59">
        <f ca="1">AVERAGE(OFFSET($AM$3,0,0,'Données projet'!$E$10+1,1))-AVERAGE(OFFSET($H$3,0,0,'Données projet'!$E$10+1,1))</f>
        <v>544.48194192356823</v>
      </c>
      <c r="AO62" s="59">
        <f t="shared" si="36"/>
        <v>668.20427590250733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4.133809941523082</v>
      </c>
      <c r="AV62" s="21">
        <f>EXP(-LN(2)/25)*AV61+(1-EXP(-LN(2)/25))/(LN(2)/25)*Calculateur!AQ62*Calculateur!AS62*VLOOKUP('Données projet'!$B$10,Paramètres!$A$1:$I$89,3,0)*0.475*44/12</f>
        <v>19.069504218082379</v>
      </c>
      <c r="AW62" s="21">
        <f>EXP(-LN(2)/2)*AW61+(1-EXP(-LN(2)/2))/(LN(2)/2)*AQ62*AT62*VLOOKUP('Données projet'!$B$10,Paramètres!$A$1:$I$89,3,0)*0.475*44/12</f>
        <v>6.2225559730879048E-4</v>
      </c>
      <c r="AX62" s="21">
        <f t="shared" si="6"/>
        <v>23.203936415202772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9.4</v>
      </c>
      <c r="BD62" s="12">
        <f>IF('Données projet'!$A$88&gt;35,BD61+BC62-BL61,IF(A62&lt;'Données projet'!$A$88,$BA$205^A62,IF(A62='Données projet'!$A$88,'Données projet'!$B$88,BD61+BC62-BL61)))</f>
        <v>263.59999999999997</v>
      </c>
      <c r="BE62" s="13">
        <f>BD62*VLOOKUP('Données projet'!$B$11,Paramètres!$A$1:$I$89,3,0)*VLOOKUP('Données projet'!$B$11,Paramètres!$A$1:$I$89,5,0)</f>
        <v>238.50527999999997</v>
      </c>
      <c r="BF62" s="13">
        <f t="shared" si="37"/>
        <v>58.117817352909881</v>
      </c>
      <c r="BG62" s="20">
        <f t="shared" si="7"/>
        <v>516.61856122298457</v>
      </c>
      <c r="BH62" s="59">
        <f t="shared" si="8"/>
        <v>809.95189455631794</v>
      </c>
      <c r="BI62" s="59">
        <f ca="1">AVERAGE(OFFSET($BH$3,0,0,'Données projet'!$E$11+1,1))-AVERAGE(OFFSET($H$3,0,0,'Données projet'!$E$11+1,1))</f>
        <v>405.7176439604217</v>
      </c>
      <c r="BJ62" s="59">
        <f t="shared" si="38"/>
        <v>278.21741231699929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4.1152867567630222</v>
      </c>
      <c r="BQ62" s="21">
        <f>EXP(-LN(2)/25)*BQ61+(1-EXP(-LN(2)/25))/(LN(2)/25)*Calculateur!BL62*Calculateur!BN62*VLOOKUP('Données projet'!$B$11,Paramètres!$A$1:$I$89,3,0)*0.475*44/12</f>
        <v>4.1908502337485487</v>
      </c>
      <c r="BR62" s="21">
        <f>EXP(-LN(2)/2)*BR61+(1-EXP(-LN(2)/2))/(LN(2)/2)*BL62*BO62*VLOOKUP('Données projet'!$B$11,Paramètres!$A$1:$I$89,3,0)*0.475*44/12</f>
        <v>3.6834948731766552E-4</v>
      </c>
      <c r="BS62" s="22">
        <f t="shared" si="9"/>
        <v>8.3065053399988891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6.6</v>
      </c>
      <c r="BY62" s="12">
        <f>IF('Données projet'!$A$114&gt;35,BY61+BX62-CG61,IF(A62&lt;'Données projet'!$A$114,$BV$205^A62,IF(A62='Données projet'!$A$114,'Données projet'!$B$114,BY61+BX62-CG61)))</f>
        <v>239.40000000000009</v>
      </c>
      <c r="BZ62" s="13">
        <f>BY62*VLOOKUP('Données projet'!$B$12,Paramètres!$A$1:$I$89,3,0)*VLOOKUP('Données projet'!$B$12,Paramètres!$A$1:$I$89,5,0)</f>
        <v>209.13984000000008</v>
      </c>
      <c r="CA62" s="13">
        <f t="shared" si="39"/>
        <v>51.747574219710266</v>
      </c>
      <c r="CB62" s="20">
        <f t="shared" si="10"/>
        <v>454.37891309932888</v>
      </c>
      <c r="CC62" s="59">
        <f t="shared" si="11"/>
        <v>747.71224643266214</v>
      </c>
      <c r="CD62" s="59">
        <f ca="1">AVERAGE(OFFSET($CC$3,0,0,'Données projet'!$E$12+1,1))-AVERAGE(OFFSET($H$3,0,0,'Données projet'!$E$12+1,1))</f>
        <v>381.72225529388083</v>
      </c>
      <c r="CE62" s="59">
        <f t="shared" si="40"/>
        <v>360.05900046417361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2.7093411668465626</v>
      </c>
      <c r="CL62" s="21">
        <f>EXP(-LN(2)/25)*CL61+(1-EXP(-LN(2)/25))/(LN(2)/25)*Calculateur!CG62*Calculateur!CI62*VLOOKUP('Données projet'!$B$12,Paramètres!$A$1:$I$89,3,0)*0.475*44/12</f>
        <v>5.0480130264080021</v>
      </c>
      <c r="CM62" s="21">
        <f>EXP(-LN(2)/2)*CM61+(1-EXP(-LN(2)/2))/(LN(2)/2)*CG62*CJ62*VLOOKUP('Données projet'!$B$12,Paramètres!$A$1:$I$89,3,0)*0.475*44/12</f>
        <v>3.0200096509510097E-4</v>
      </c>
      <c r="CN62" s="22">
        <f t="shared" si="12"/>
        <v>7.7576561942196598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5.2</v>
      </c>
      <c r="CT62" s="12">
        <f>IF('Données projet'!$A$140&gt;35,CT61+CS62-DB61,IF(A62&lt;'Données projet'!$A$140,$CQ$205^A62,IF(A62='Données projet'!$A$140,'Données projet'!$B$140,CT61+CS62-DB61)))</f>
        <v>239.79999999999984</v>
      </c>
      <c r="CU62" s="17">
        <f>CT62*VLOOKUP('Données projet'!$B$13,Paramètres!$A$1:$I$89,3,0)*VLOOKUP('Données projet'!$B$13,Paramètres!$A$1:$I$89,5,0)</f>
        <v>190.78487999999987</v>
      </c>
      <c r="CV62" s="13">
        <f t="shared" si="41"/>
        <v>47.713437020051622</v>
      </c>
      <c r="CW62" s="20">
        <f t="shared" si="13"/>
        <v>415.384568809923</v>
      </c>
      <c r="CX62" s="59">
        <f t="shared" si="14"/>
        <v>708.71790214325631</v>
      </c>
      <c r="CY62" s="59">
        <f ca="1">AVERAGE(OFFSET($CX$3,0,0,'Données projet'!$E$13+1,1))-AVERAGE(OFFSET($H$3,0,0,'Données projet'!$E$13+1,1))</f>
        <v>299.10536994156814</v>
      </c>
      <c r="CZ62" s="59">
        <f t="shared" si="42"/>
        <v>292.57799203101769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4.7419092295173222</v>
      </c>
      <c r="DG62" s="21">
        <f>EXP(-LN(2)/25)*DG61+(1-EXP(-LN(2)/25))/(LN(2)/25)*Calculateur!DB62*Calculateur!DD62*VLOOKUP('Données projet'!$B$13,Paramètres!$A$1:$I$89,3,0)*0.475*44/12</f>
        <v>4.8388422546371919</v>
      </c>
      <c r="DH62" s="21">
        <f>EXP(-LN(2)/2)*DH61+(1-EXP(-LN(2)/2))/(LN(2)/2)*DB62*DE62*VLOOKUP('Données projet'!$B$13,Paramètres!$A$1:$I$89,3,0)*0.475*44/12</f>
        <v>3.8724491269739831E-4</v>
      </c>
      <c r="DI62" s="22">
        <f t="shared" si="15"/>
        <v>9.581138729067213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6.4</v>
      </c>
      <c r="DO62" s="12">
        <f>IF('Données projet'!$A$166&gt;35,DO61+DN62-DW61,IF(A62&lt;'Données projet'!$A$166,$DL$205^A62,IF(A62='Données projet'!$A$166,'Données projet'!$B$166,DO61+DN62-DW61)))</f>
        <v>253.60000000000005</v>
      </c>
      <c r="DP62" s="17">
        <f>DO62*VLOOKUP('Données projet'!$B$14,Paramètres!$A$1:$I$89,3,0)*VLOOKUP('Données projet'!$B$14,Paramètres!$A$1:$I$89,5,0)</f>
        <v>166.15872000000002</v>
      </c>
      <c r="DQ62" s="13">
        <f t="shared" si="43"/>
        <v>42.228563636586422</v>
      </c>
      <c r="DR62" s="20">
        <f t="shared" si="16"/>
        <v>362.9411856670547</v>
      </c>
      <c r="DS62" s="59">
        <f t="shared" si="17"/>
        <v>656.27451900038795</v>
      </c>
      <c r="DT62" s="59">
        <f ca="1">AVERAGE(OFFSET($DS$3,0,0,'Données projet'!$E$14+1,1))-AVERAGE(OFFSET($H$3,0,0,'Données projet'!$E$14+1,1))</f>
        <v>295.92103934364718</v>
      </c>
      <c r="DU62" s="59">
        <f t="shared" si="44"/>
        <v>304.84379909635476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2.5115644423184578</v>
      </c>
      <c r="EB62" s="21">
        <f>EXP(-LN(2)/25)*EB61+(1-EXP(-LN(2)/25))/(LN(2)/25)*Calculateur!DW62*Calculateur!DY62*VLOOKUP('Données projet'!$B$14,Paramètres!$A$1:$I$89,3,0)*0.475*44/12</f>
        <v>3.2006773067825169</v>
      </c>
      <c r="EC62" s="21">
        <f>EXP(-LN(2)/2)*EC61+(1-EXP(-LN(2)/2))/(LN(2)/2)*DW62*DZ62*VLOOKUP('Données projet'!$B$14,Paramètres!$A$1:$I$89,3,0)*0.475*44/12</f>
        <v>2.4836411424464553E-4</v>
      </c>
      <c r="ED62" s="22">
        <f t="shared" si="18"/>
        <v>5.7124901132152193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348.5</v>
      </c>
      <c r="L63" s="12">
        <f>VLOOKUP(A63,'Données projet'!$A$35:$I$55,9,0)</f>
        <v>13.5</v>
      </c>
      <c r="M63" s="12">
        <f t="array" ref="M63">INDEX(L:L,MIN(IF(ISNUMBER(L63:L259),ROW(L63:L259),"")))</f>
        <v>13.5</v>
      </c>
      <c r="N63" s="13">
        <f>IF('Données projet'!$A$36&gt;35,N62+M63-V62,IF(A63&lt;'Données projet'!$A$36,$K$205^A63,IF(A63='Données projet'!$A$36,'Données projet'!$B$36,N62+M63-V62)))</f>
        <v>348.49999999999989</v>
      </c>
      <c r="O63" s="13">
        <f>N63*VLOOKUP('Données projet'!$B$9,Paramètres!$A$1:$I$89,3,0)*VLOOKUP('Données projet'!$B$9,Paramètres!$A$1:$I$89,5,0)</f>
        <v>163.09799999999993</v>
      </c>
      <c r="P63" s="13">
        <f t="shared" si="33"/>
        <v>41.540496136845142</v>
      </c>
      <c r="Q63" s="20">
        <f t="shared" si="53"/>
        <v>356.4120474383385</v>
      </c>
      <c r="R63" s="59">
        <f t="shared" si="0"/>
        <v>649.74538077167176</v>
      </c>
      <c r="S63" s="59">
        <f ca="1">AVERAGE(OFFSET($R$3,0,0,'Données projet'!$E$9+1,1))-AVERAGE(OFFSET($H$3,0,0,'Données projet'!$E$9+1,1))</f>
        <v>319.22903094674564</v>
      </c>
      <c r="T63" s="59">
        <f t="shared" si="34"/>
        <v>254.58690973142848</v>
      </c>
      <c r="U63" s="15">
        <f>IF(ISNA(VLOOKUP(A63,'Données projet'!$A$35:$I$55,3,0)),0,VLOOKUP(A63,'Données projet'!$A$35:$I$55,3,0))</f>
        <v>5</v>
      </c>
      <c r="V63" s="15">
        <f>IF(ISNA(VLOOKUP(A63,'Données projet'!$A$35:$I$55,4,0)),0,VLOOKUP(A63,'Données projet'!$A$35:$I$55,4,0))</f>
        <v>80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5.0104504790513014</v>
      </c>
      <c r="AA63" s="21">
        <f>EXP(-LN(2)/25)*AA62+(1-EXP(-LN(2)/25))/(LN(2)/25)*Calculateur!V63*Calculateur!X63*VLOOKUP('Données projet'!$B$9,Paramètres!$A$1:$I$89,3,0)*0.475*44/12</f>
        <v>4.853894048067442</v>
      </c>
      <c r="AB63" s="21">
        <f>EXP(-LN(2)/2)*AB62+(1-EXP(-LN(2)/2))/(LN(2)/2)*V63*Y63*VLOOKUP('Données projet'!$B$9,Paramètres!$A$1:$I$89,3,0)*0.475*44/12</f>
        <v>3.3700954112543871E-4</v>
      </c>
      <c r="AC63" s="22">
        <f t="shared" si="3"/>
        <v>9.8646815366598677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754</v>
      </c>
      <c r="AG63" s="12">
        <f>VLOOKUP(A63,'Données projet'!$A$61:$I$81,9,0)</f>
        <v>12.2</v>
      </c>
      <c r="AH63" s="12">
        <f t="array" ref="AH63">INDEX(AG:AG,MIN(IF(ISNUMBER(AG63:AG259),ROW(AG63:AG259),"")))</f>
        <v>12.2</v>
      </c>
      <c r="AI63" s="13">
        <f>IF('Données projet'!$A$62&gt;35,AI62+AH63-AQ62,IF(A63&lt;'Données projet'!$A$62,$AF$205^A63,IF(A63='Données projet'!$A$62,'Données projet'!$B$62,AI62+AH63-AQ62)))</f>
        <v>753.99999999999966</v>
      </c>
      <c r="AJ63" s="13">
        <f>AI63*VLOOKUP('Données projet'!$B$10,Paramètres!$A$1:$I$89,3,0)*VLOOKUP('Données projet'!$B$10,Paramètres!$A$1:$I$89,5,0)</f>
        <v>421.48599999999982</v>
      </c>
      <c r="AK63" s="13">
        <f t="shared" si="35"/>
        <v>96.119269055816147</v>
      </c>
      <c r="AL63" s="20">
        <f t="shared" si="4"/>
        <v>901.49584360554616</v>
      </c>
      <c r="AM63" s="59">
        <f t="shared" si="5"/>
        <v>1194.8291769388795</v>
      </c>
      <c r="AN63" s="59">
        <f ca="1">AVERAGE(OFFSET($AM$3,0,0,'Données projet'!$E$10+1,1))-AVERAGE(OFFSET($H$3,0,0,'Données projet'!$E$10+1,1))</f>
        <v>544.48194192356823</v>
      </c>
      <c r="AO63" s="59">
        <f t="shared" si="36"/>
        <v>668.20427590250733</v>
      </c>
      <c r="AP63" s="15">
        <f>IF(ISNA(VLOOKUP(A63,'Données projet'!$A$61:$I$81,3,0)),0,VLOOKUP(A63,'Données projet'!$A$61:$I$81,3,0))</f>
        <v>9</v>
      </c>
      <c r="AQ63" s="15">
        <f>IF(ISNA(VLOOKUP(A63,'Données projet'!$A$61:$I$81,4,0)),0,VLOOKUP(A63,'Données projet'!$A$61:$I$81,4,0))</f>
        <v>35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4.0527484499449136</v>
      </c>
      <c r="AV63" s="21">
        <f>EXP(-LN(2)/25)*AV62+(1-EXP(-LN(2)/25))/(LN(2)/25)*Calculateur!AQ63*Calculateur!AS63*VLOOKUP('Données projet'!$B$10,Paramètres!$A$1:$I$89,3,0)*0.475*44/12</f>
        <v>18.548047622417272</v>
      </c>
      <c r="AW63" s="21">
        <f>EXP(-LN(2)/2)*AW62+(1-EXP(-LN(2)/2))/(LN(2)/2)*AQ63*AT63*VLOOKUP('Données projet'!$B$10,Paramètres!$A$1:$I$89,3,0)*0.475*44/12</f>
        <v>4.4000115248833135E-4</v>
      </c>
      <c r="AX63" s="21">
        <f t="shared" si="6"/>
        <v>22.601236073514674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273</v>
      </c>
      <c r="BB63" s="12">
        <f>VLOOKUP(A63,'Données projet'!$A$87:$I$107,9,0)</f>
        <v>9.4</v>
      </c>
      <c r="BC63" s="12">
        <f t="array" ref="BC63">INDEX(BB:BB,MIN(IF(ISNUMBER(BB63:BB259),ROW(BB63:BB259),"")))</f>
        <v>9.4</v>
      </c>
      <c r="BD63" s="12">
        <f>IF('Données projet'!$A$88&gt;35,BD62+BC63-BL62,IF(A63&lt;'Données projet'!$A$88,$BA$205^A63,IF(A63='Données projet'!$A$88,'Données projet'!$B$88,BD62+BC63-BL62)))</f>
        <v>272.99999999999994</v>
      </c>
      <c r="BE63" s="13">
        <f>BD63*VLOOKUP('Données projet'!$B$11,Paramètres!$A$1:$I$89,3,0)*VLOOKUP('Données projet'!$B$11,Paramètres!$A$1:$I$89,5,0)</f>
        <v>247.01039999999992</v>
      </c>
      <c r="BF63" s="13">
        <f t="shared" si="37"/>
        <v>59.945315462121812</v>
      </c>
      <c r="BG63" s="20">
        <f t="shared" si="7"/>
        <v>534.61453776319524</v>
      </c>
      <c r="BH63" s="59">
        <f t="shared" si="8"/>
        <v>827.94787109652862</v>
      </c>
      <c r="BI63" s="59">
        <f ca="1">AVERAGE(OFFSET($BH$3,0,0,'Données projet'!$E$11+1,1))-AVERAGE(OFFSET($H$3,0,0,'Données projet'!$E$11+1,1))</f>
        <v>405.7176439604217</v>
      </c>
      <c r="BJ63" s="59">
        <f t="shared" si="38"/>
        <v>278.21741231699929</v>
      </c>
      <c r="BK63" s="15">
        <f>IF(ISNA(VLOOKUP(A63,'Données projet'!$A$87:$I$107,3,0)),0,VLOOKUP(A63,'Données projet'!$A$87:$I$107,3,0))</f>
        <v>9</v>
      </c>
      <c r="BL63" s="15">
        <f>IF(ISNA(VLOOKUP(A63,'Données projet'!$A$87:$I$107,4,0)),0,VLOOKUP(A63,'Données projet'!$A$87:$I$107,4,0))</f>
        <v>28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4.0345884935399718</v>
      </c>
      <c r="BQ63" s="21">
        <f>EXP(-LN(2)/25)*BQ62+(1-EXP(-LN(2)/25))/(LN(2)/25)*Calculateur!BL63*Calculateur!BN63*VLOOKUP('Données projet'!$B$11,Paramètres!$A$1:$I$89,3,0)*0.475*44/12</f>
        <v>4.0762512137194591</v>
      </c>
      <c r="BR63" s="21">
        <f>EXP(-LN(2)/2)*BR62+(1-EXP(-LN(2)/2))/(LN(2)/2)*BL63*BO63*VLOOKUP('Données projet'!$B$11,Paramètres!$A$1:$I$89,3,0)*0.475*44/12</f>
        <v>2.6046242032890947E-4</v>
      </c>
      <c r="BS63" s="22">
        <f t="shared" si="9"/>
        <v>8.1111001696797587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246</v>
      </c>
      <c r="BW63" s="12">
        <f>VLOOKUP(A63,'Données projet'!$A$113:$I$133,9,0)</f>
        <v>6.6</v>
      </c>
      <c r="BX63" s="12">
        <f t="array" ref="BX63">INDEX(BW:BW,MIN(IF(ISNUMBER(BW63:BW259),ROW(BW63:BW259),"")))</f>
        <v>6.6</v>
      </c>
      <c r="BY63" s="12">
        <f>IF('Données projet'!$A$114&gt;35,BY62+BX63-CG62,IF(A63&lt;'Données projet'!$A$114,$BV$205^A63,IF(A63='Données projet'!$A$114,'Données projet'!$B$114,BY62+BX63-CG62)))</f>
        <v>246.00000000000009</v>
      </c>
      <c r="BZ63" s="13">
        <f>BY63*VLOOKUP('Données projet'!$B$12,Paramètres!$A$1:$I$89,3,0)*VLOOKUP('Données projet'!$B$12,Paramètres!$A$1:$I$89,5,0)</f>
        <v>214.90560000000008</v>
      </c>
      <c r="CA63" s="13">
        <f t="shared" si="39"/>
        <v>53.006137800892326</v>
      </c>
      <c r="CB63" s="20">
        <f t="shared" si="10"/>
        <v>466.61294333655428</v>
      </c>
      <c r="CC63" s="59">
        <f t="shared" si="11"/>
        <v>759.94627666988754</v>
      </c>
      <c r="CD63" s="59">
        <f ca="1">AVERAGE(OFFSET($CC$3,0,0,'Données projet'!$E$12+1,1))-AVERAGE(OFFSET($H$3,0,0,'Données projet'!$E$12+1,1))</f>
        <v>381.72225529388083</v>
      </c>
      <c r="CE63" s="59">
        <f t="shared" si="40"/>
        <v>360.05900046417361</v>
      </c>
      <c r="CF63" s="15">
        <f>IF(ISNA(VLOOKUP(A63,'Données projet'!$A$113:$I$133,3,0)),0,VLOOKUP(A63,'Données projet'!$A$113:$I$133,3,0))</f>
        <v>10</v>
      </c>
      <c r="CG63" s="15">
        <f>IF(ISNA(VLOOKUP(A63,'Données projet'!$A$113:$I$133,4,0)),0,VLOOKUP(A63,'Données projet'!$A$113:$I$133,4,0))</f>
        <v>24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2.656212639099639</v>
      </c>
      <c r="CL63" s="21">
        <f>EXP(-LN(2)/25)*CL62+(1-EXP(-LN(2)/25))/(LN(2)/25)*Calculateur!CG63*Calculateur!CI63*VLOOKUP('Données projet'!$B$12,Paramètres!$A$1:$I$89,3,0)*0.475*44/12</f>
        <v>4.9099748447374072</v>
      </c>
      <c r="CM63" s="21">
        <f>EXP(-LN(2)/2)*CM62+(1-EXP(-LN(2)/2))/(LN(2)/2)*CG63*CJ63*VLOOKUP('Données projet'!$B$12,Paramètres!$A$1:$I$89,3,0)*0.475*44/12</f>
        <v>2.1354693034362774E-4</v>
      </c>
      <c r="CN63" s="22">
        <f t="shared" si="12"/>
        <v>7.5664010307673895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245</v>
      </c>
      <c r="CR63" s="12">
        <f>VLOOKUP(A63,'Données projet'!$A$139:$I$159,9,0)</f>
        <v>5.2</v>
      </c>
      <c r="CS63" s="12">
        <f t="array" ref="CS63">INDEX(CR:CR,MIN(IF(ISNUMBER(CR63:CR259),ROW(CR63:CR259),"")))</f>
        <v>5.2</v>
      </c>
      <c r="CT63" s="12">
        <f>IF('Données projet'!$A$140&gt;35,CT62+CS63-DB62,IF(A63&lt;'Données projet'!$A$140,$CQ$205^A63,IF(A63='Données projet'!$A$140,'Données projet'!$B$140,CT62+CS63-DB62)))</f>
        <v>244.99999999999983</v>
      </c>
      <c r="CU63" s="17">
        <f>CT63*VLOOKUP('Données projet'!$B$13,Paramètres!$A$1:$I$89,3,0)*VLOOKUP('Données projet'!$B$13,Paramètres!$A$1:$I$89,5,0)</f>
        <v>194.92199999999988</v>
      </c>
      <c r="CV63" s="13">
        <f t="shared" si="41"/>
        <v>48.626512129794925</v>
      </c>
      <c r="CW63" s="20">
        <f t="shared" si="13"/>
        <v>424.18032529272591</v>
      </c>
      <c r="CX63" s="59">
        <f t="shared" si="14"/>
        <v>717.51365862605917</v>
      </c>
      <c r="CY63" s="59">
        <f ca="1">AVERAGE(OFFSET($CX$3,0,0,'Données projet'!$E$13+1,1))-AVERAGE(OFFSET($H$3,0,0,'Données projet'!$E$13+1,1))</f>
        <v>299.10536994156814</v>
      </c>
      <c r="CZ63" s="59">
        <f t="shared" si="42"/>
        <v>292.57799203101769</v>
      </c>
      <c r="DA63" s="15">
        <f>IF(ISNA(VLOOKUP(A63,'Données projet'!$A$139:$I$159,3,0)),0,VLOOKUP(A63,'Données projet'!$A$139:$I$159,3,0))</f>
        <v>10</v>
      </c>
      <c r="DB63" s="15">
        <f>IF(ISNA(VLOOKUP(A63,'Données projet'!$A$139:$I$159,4,0)),0,VLOOKUP(A63,'Données projet'!$A$139:$I$159,4,0))</f>
        <v>12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4.6489232818055291</v>
      </c>
      <c r="DG63" s="21">
        <f>EXP(-LN(2)/25)*DG62+(1-EXP(-LN(2)/25))/(LN(2)/25)*Calculateur!DB63*Calculateur!DD63*VLOOKUP('Données projet'!$B$13,Paramètres!$A$1:$I$89,3,0)*0.475*44/12</f>
        <v>4.706523858720483</v>
      </c>
      <c r="DH63" s="21">
        <f>EXP(-LN(2)/2)*DH62+(1-EXP(-LN(2)/2))/(LN(2)/2)*DB63*DE63*VLOOKUP('Données projet'!$B$13,Paramètres!$A$1:$I$89,3,0)*0.475*44/12</f>
        <v>2.7382350374832292E-4</v>
      </c>
      <c r="DI63" s="22">
        <f t="shared" si="15"/>
        <v>9.3557209640297607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>
        <f>VLOOKUP(A63,'Données projet'!$A$165:$I$185,2,0)</f>
        <v>260</v>
      </c>
      <c r="DM63" s="12">
        <f>VLOOKUP(A63,'Données projet'!$A$165:$I$185,9,0)</f>
        <v>6.4</v>
      </c>
      <c r="DN63" s="12">
        <f t="array" ref="DN63">INDEX(DM:DM,MIN(IF(ISNUMBER(DM63:DM259),ROW(DM63:DM259),"")))</f>
        <v>6.4</v>
      </c>
      <c r="DO63" s="12">
        <f>IF('Données projet'!$A$166&gt;35,DO62+DN63-DW62,IF(A63&lt;'Données projet'!$A$166,$DL$205^A63,IF(A63='Données projet'!$A$166,'Données projet'!$B$166,DO62+DN63-DW62)))</f>
        <v>260.00000000000006</v>
      </c>
      <c r="DP63" s="17">
        <f>DO63*VLOOKUP('Données projet'!$B$14,Paramètres!$A$1:$I$89,3,0)*VLOOKUP('Données projet'!$B$14,Paramètres!$A$1:$I$89,5,0)</f>
        <v>170.35200000000003</v>
      </c>
      <c r="DQ63" s="13">
        <f t="shared" si="43"/>
        <v>43.168850382694487</v>
      </c>
      <c r="DR63" s="20">
        <f t="shared" si="16"/>
        <v>371.88214774985954</v>
      </c>
      <c r="DS63" s="59">
        <f t="shared" si="17"/>
        <v>665.2154810831928</v>
      </c>
      <c r="DT63" s="59">
        <f ca="1">AVERAGE(OFFSET($DS$3,0,0,'Données projet'!$E$14+1,1))-AVERAGE(OFFSET($H$3,0,0,'Données projet'!$E$14+1,1))</f>
        <v>295.92103934364718</v>
      </c>
      <c r="DU63" s="59">
        <f t="shared" si="44"/>
        <v>304.84379909635476</v>
      </c>
      <c r="DV63" s="15">
        <f>IF(ISNA(VLOOKUP(A63,'Données projet'!$A$165:$I$185,3,0)),0,VLOOKUP(A63,'Données projet'!$A$165:$I$185,3,0))</f>
        <v>11</v>
      </c>
      <c r="DW63" s="15">
        <f>IF(ISNA(VLOOKUP(A63,'Données projet'!$A$165:$I$185,4,0)),0,VLOOKUP(A63,'Données projet'!$A$165:$I$185,4,0))</f>
        <v>24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2.46231419550764</v>
      </c>
      <c r="EB63" s="21">
        <f>EXP(-LN(2)/25)*EB62+(1-EXP(-LN(2)/25))/(LN(2)/25)*Calculateur!DW63*Calculateur!DY63*VLOOKUP('Données projet'!$B$14,Paramètres!$A$1:$I$89,3,0)*0.475*44/12</f>
        <v>3.1131546175122446</v>
      </c>
      <c r="EC63" s="21">
        <f>EXP(-LN(2)/2)*EC62+(1-EXP(-LN(2)/2))/(LN(2)/2)*DW63*DZ63*VLOOKUP('Données projet'!$B$14,Paramètres!$A$1:$I$89,3,0)*0.475*44/12</f>
        <v>1.7561994938577926E-4</v>
      </c>
      <c r="ED63" s="22">
        <f t="shared" si="18"/>
        <v>5.5756444329692707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15.5</v>
      </c>
      <c r="N64" s="13">
        <f>IF('Données projet'!$A$36&gt;35,N63+M64-V63,IF(A64&lt;'Données projet'!$A$36,$K$205^A64,IF(A64='Données projet'!$A$36,'Données projet'!$B$36,N63+M64-V63)))</f>
        <v>283.99999999999989</v>
      </c>
      <c r="O64" s="13">
        <f>N64*VLOOKUP('Données projet'!$B$9,Paramètres!$A$1:$I$89,3,0)*VLOOKUP('Données projet'!$B$9,Paramètres!$A$1:$I$89,5,0)</f>
        <v>132.91199999999995</v>
      </c>
      <c r="P64" s="13">
        <f t="shared" si="33"/>
        <v>34.668367043546574</v>
      </c>
      <c r="Q64" s="20">
        <f t="shared" si="53"/>
        <v>291.86913926751021</v>
      </c>
      <c r="R64" s="59">
        <f t="shared" si="0"/>
        <v>585.20247260084352</v>
      </c>
      <c r="S64" s="59">
        <f ca="1">AVERAGE(OFFSET($R$3,0,0,'Données projet'!$E$9+1,1))-AVERAGE(OFFSET($H$3,0,0,'Données projet'!$E$9+1,1))</f>
        <v>319.22903094674564</v>
      </c>
      <c r="T64" s="59">
        <f t="shared" si="34"/>
        <v>254.58690973142848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4.9121986012301351</v>
      </c>
      <c r="AA64" s="21">
        <f>EXP(-LN(2)/25)*AA63+(1-EXP(-LN(2)/25))/(LN(2)/25)*Calculateur!V64*Calculateur!X64*VLOOKUP('Données projet'!$B$9,Paramètres!$A$1:$I$89,3,0)*0.475*44/12</f>
        <v>4.7211640600678431</v>
      </c>
      <c r="AB64" s="21">
        <f>EXP(-LN(2)/2)*AB63+(1-EXP(-LN(2)/2))/(LN(2)/2)*V64*Y64*VLOOKUP('Données projet'!$B$9,Paramètres!$A$1:$I$89,3,0)*0.475*44/12</f>
        <v>2.3830173185436439E-4</v>
      </c>
      <c r="AC64" s="22">
        <f t="shared" si="3"/>
        <v>9.6336009630298332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10</v>
      </c>
      <c r="AI64" s="13">
        <f>IF('Données projet'!$A$62&gt;35,AI63+AH64-AQ63,IF(A64&lt;'Données projet'!$A$62,$AF$205^A64,IF(A64='Données projet'!$A$62,'Données projet'!$B$62,AI63+AH64-AQ63)))</f>
        <v>728.99999999999966</v>
      </c>
      <c r="AJ64" s="13">
        <f>AI64*VLOOKUP('Données projet'!$B$10,Paramètres!$A$1:$I$89,3,0)*VLOOKUP('Données projet'!$B$10,Paramètres!$A$1:$I$89,5,0)</f>
        <v>407.51099999999985</v>
      </c>
      <c r="AK64" s="13">
        <f t="shared" si="35"/>
        <v>93.297752590617137</v>
      </c>
      <c r="AL64" s="20">
        <f t="shared" si="4"/>
        <v>872.24191076199133</v>
      </c>
      <c r="AM64" s="59">
        <f t="shared" si="5"/>
        <v>1165.5752440953247</v>
      </c>
      <c r="AN64" s="59">
        <f ca="1">AVERAGE(OFFSET($AM$3,0,0,'Données projet'!$E$10+1,1))-AVERAGE(OFFSET($H$3,0,0,'Données projet'!$E$10+1,1))</f>
        <v>544.48194192356823</v>
      </c>
      <c r="AO64" s="59">
        <f t="shared" si="36"/>
        <v>668.20427590250733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3.9732765247739654</v>
      </c>
      <c r="AV64" s="21">
        <f>EXP(-LN(2)/25)*AV63+(1-EXP(-LN(2)/25))/(LN(2)/25)*Calculateur!AQ64*Calculateur!AS64*VLOOKUP('Données projet'!$B$10,Paramètres!$A$1:$I$89,3,0)*0.475*44/12</f>
        <v>18.040850284782838</v>
      </c>
      <c r="AW64" s="21">
        <f>EXP(-LN(2)/2)*AW63+(1-EXP(-LN(2)/2))/(LN(2)/2)*AQ64*AT64*VLOOKUP('Données projet'!$B$10,Paramètres!$A$1:$I$89,3,0)*0.475*44/12</f>
        <v>3.1112779865439524E-4</v>
      </c>
      <c r="AX64" s="21">
        <f t="shared" si="6"/>
        <v>22.014437937355456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8.8000000000000007</v>
      </c>
      <c r="BD64" s="12">
        <f>IF('Données projet'!$A$88&gt;35,BD63+BC64-BL63,IF(A64&lt;'Données projet'!$A$88,$BA$205^A64,IF(A64='Données projet'!$A$88,'Données projet'!$B$88,BD63+BC64-BL63)))</f>
        <v>253.79999999999995</v>
      </c>
      <c r="BE64" s="13">
        <f>BD64*VLOOKUP('Données projet'!$B$11,Paramètres!$A$1:$I$89,3,0)*VLOOKUP('Données projet'!$B$11,Paramètres!$A$1:$I$89,5,0)</f>
        <v>229.63823999999994</v>
      </c>
      <c r="BF64" s="13">
        <f t="shared" si="37"/>
        <v>56.204453396569633</v>
      </c>
      <c r="BG64" s="20">
        <f t="shared" si="7"/>
        <v>497.84269099902531</v>
      </c>
      <c r="BH64" s="59">
        <f t="shared" si="8"/>
        <v>791.17602433235857</v>
      </c>
      <c r="BI64" s="59">
        <f ca="1">AVERAGE(OFFSET($BH$3,0,0,'Données projet'!$E$11+1,1))-AVERAGE(OFFSET($H$3,0,0,'Données projet'!$E$11+1,1))</f>
        <v>405.7176439604217</v>
      </c>
      <c r="BJ64" s="59">
        <f t="shared" si="38"/>
        <v>278.21741231699929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3.9554726740376447</v>
      </c>
      <c r="BQ64" s="21">
        <f>EXP(-LN(2)/25)*BQ63+(1-EXP(-LN(2)/25))/(LN(2)/25)*Calculateur!BL64*Calculateur!BN64*VLOOKUP('Données projet'!$B$11,Paramètres!$A$1:$I$89,3,0)*0.475*44/12</f>
        <v>3.9647859099195655</v>
      </c>
      <c r="BR64" s="21">
        <f>EXP(-LN(2)/2)*BR63+(1-EXP(-LN(2)/2))/(LN(2)/2)*BL64*BO64*VLOOKUP('Données projet'!$B$11,Paramètres!$A$1:$I$89,3,0)*0.475*44/12</f>
        <v>1.8417474365883276E-4</v>
      </c>
      <c r="BS64" s="22">
        <f t="shared" si="9"/>
        <v>7.9204427587008688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6</v>
      </c>
      <c r="BY64" s="12">
        <f>IF('Données projet'!$A$114&gt;35,BY63+BX64-CG63,IF(A64&lt;'Données projet'!$A$114,$BV$205^A64,IF(A64='Données projet'!$A$114,'Données projet'!$B$114,BY63+BX64-CG63)))</f>
        <v>228.00000000000009</v>
      </c>
      <c r="BZ64" s="13">
        <f>BY64*VLOOKUP('Données projet'!$B$12,Paramètres!$A$1:$I$89,3,0)*VLOOKUP('Données projet'!$B$12,Paramètres!$A$1:$I$89,5,0)</f>
        <v>199.18080000000012</v>
      </c>
      <c r="CA64" s="13">
        <f t="shared" si="39"/>
        <v>49.564089376413726</v>
      </c>
      <c r="CB64" s="20">
        <f t="shared" si="10"/>
        <v>433.2306823305874</v>
      </c>
      <c r="CC64" s="59">
        <f t="shared" si="11"/>
        <v>726.56401566392071</v>
      </c>
      <c r="CD64" s="59">
        <f ca="1">AVERAGE(OFFSET($CC$3,0,0,'Données projet'!$E$12+1,1))-AVERAGE(OFFSET($H$3,0,0,'Données projet'!$E$12+1,1))</f>
        <v>381.72225529388083</v>
      </c>
      <c r="CE64" s="59">
        <f t="shared" si="40"/>
        <v>360.05900046417361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2.6041259293766306</v>
      </c>
      <c r="CL64" s="21">
        <f>EXP(-LN(2)/25)*CL63+(1-EXP(-LN(2)/25))/(LN(2)/25)*Calculateur!CG64*Calculateur!CI64*VLOOKUP('Données projet'!$B$12,Paramètres!$A$1:$I$89,3,0)*0.475*44/12</f>
        <v>4.7757113244037077</v>
      </c>
      <c r="CM64" s="21">
        <f>EXP(-LN(2)/2)*CM63+(1-EXP(-LN(2)/2))/(LN(2)/2)*CG64*CJ64*VLOOKUP('Données projet'!$B$12,Paramètres!$A$1:$I$89,3,0)*0.475*44/12</f>
        <v>1.5100048254755049E-4</v>
      </c>
      <c r="CN64" s="22">
        <f t="shared" si="12"/>
        <v>7.3799882542628854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4.4000000000000004</v>
      </c>
      <c r="CT64" s="12">
        <f>IF('Données projet'!$A$140&gt;35,CT63+CS64-DB63,IF(A64&lt;'Données projet'!$A$140,$CQ$205^A64,IF(A64='Données projet'!$A$140,'Données projet'!$B$140,CT63+CS64-DB63)))</f>
        <v>237.39999999999984</v>
      </c>
      <c r="CU64" s="17">
        <f>CT64*VLOOKUP('Données projet'!$B$13,Paramètres!$A$1:$I$89,3,0)*VLOOKUP('Données projet'!$B$13,Paramètres!$A$1:$I$89,5,0)</f>
        <v>188.87543999999988</v>
      </c>
      <c r="CV64" s="13">
        <f t="shared" si="41"/>
        <v>47.291242769027726</v>
      </c>
      <c r="CW64" s="20">
        <f t="shared" si="13"/>
        <v>411.32363915605634</v>
      </c>
      <c r="CX64" s="59">
        <f t="shared" si="14"/>
        <v>704.65697248938966</v>
      </c>
      <c r="CY64" s="59">
        <f ca="1">AVERAGE(OFFSET($CX$3,0,0,'Données projet'!$E$13+1,1))-AVERAGE(OFFSET($H$3,0,0,'Données projet'!$E$13+1,1))</f>
        <v>299.10536994156814</v>
      </c>
      <c r="CZ64" s="59">
        <f t="shared" si="42"/>
        <v>292.57799203101769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4.5577607318125359</v>
      </c>
      <c r="DG64" s="21">
        <f>EXP(-LN(2)/25)*DG63+(1-EXP(-LN(2)/25))/(LN(2)/25)*Calculateur!DB64*Calculateur!DD64*VLOOKUP('Données projet'!$B$13,Paramètres!$A$1:$I$89,3,0)*0.475*44/12</f>
        <v>4.5778237162984388</v>
      </c>
      <c r="DH64" s="21">
        <f>EXP(-LN(2)/2)*DH63+(1-EXP(-LN(2)/2))/(LN(2)/2)*DB64*DE64*VLOOKUP('Données projet'!$B$13,Paramètres!$A$1:$I$89,3,0)*0.475*44/12</f>
        <v>1.9362245634869916E-4</v>
      </c>
      <c r="DI64" s="22">
        <f t="shared" si="15"/>
        <v>9.1357780705673246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5.8</v>
      </c>
      <c r="DO64" s="12">
        <f>IF('Données projet'!$A$166&gt;35,DO63+DN64-DW63,IF(A64&lt;'Données projet'!$A$166,$DL$205^A64,IF(A64='Données projet'!$A$166,'Données projet'!$B$166,DO63+DN64-DW63)))</f>
        <v>241.80000000000007</v>
      </c>
      <c r="DP64" s="17">
        <f>DO64*VLOOKUP('Données projet'!$B$14,Paramètres!$A$1:$I$89,3,0)*VLOOKUP('Données projet'!$B$14,Paramètres!$A$1:$I$89,5,0)</f>
        <v>158.42736000000005</v>
      </c>
      <c r="DQ64" s="13">
        <f t="shared" si="43"/>
        <v>40.487598405868248</v>
      </c>
      <c r="DR64" s="20">
        <f t="shared" si="16"/>
        <v>346.44355255688725</v>
      </c>
      <c r="DS64" s="59">
        <f t="shared" si="17"/>
        <v>639.77688589022057</v>
      </c>
      <c r="DT64" s="59">
        <f ca="1">AVERAGE(OFFSET($DS$3,0,0,'Données projet'!$E$14+1,1))-AVERAGE(OFFSET($H$3,0,0,'Données projet'!$E$14+1,1))</f>
        <v>295.92103934364718</v>
      </c>
      <c r="DU64" s="59">
        <f t="shared" si="44"/>
        <v>304.84379909635476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2.4140297159970978</v>
      </c>
      <c r="EB64" s="21">
        <f>EXP(-LN(2)/25)*EB63+(1-EXP(-LN(2)/25))/(LN(2)/25)*Calculateur!DW64*Calculateur!DY64*VLOOKUP('Données projet'!$B$14,Paramètres!$A$1:$I$89,3,0)*0.475*44/12</f>
        <v>3.0280252407826862</v>
      </c>
      <c r="EC64" s="21">
        <f>EXP(-LN(2)/2)*EC63+(1-EXP(-LN(2)/2))/(LN(2)/2)*DW64*DZ64*VLOOKUP('Données projet'!$B$14,Paramètres!$A$1:$I$89,3,0)*0.475*44/12</f>
        <v>1.2418205712232277E-4</v>
      </c>
      <c r="ED64" s="22">
        <f t="shared" si="18"/>
        <v>5.4421791388369067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15.5</v>
      </c>
      <c r="N65" s="13">
        <f>IF('Données projet'!$A$36&gt;35,N64+M65-V64,IF(A65&lt;'Données projet'!$A$36,$K$205^A65,IF(A65='Données projet'!$A$36,'Données projet'!$B$36,N64+M65-V64)))</f>
        <v>299.49999999999989</v>
      </c>
      <c r="O65" s="13">
        <f>N65*VLOOKUP('Données projet'!$B$9,Paramètres!$A$1:$I$89,3,0)*VLOOKUP('Données projet'!$B$9,Paramètres!$A$1:$I$89,5,0)</f>
        <v>140.16599999999994</v>
      </c>
      <c r="P65" s="13">
        <f t="shared" si="33"/>
        <v>36.33503114084008</v>
      </c>
      <c r="Q65" s="20">
        <f t="shared" si="53"/>
        <v>307.40596257029637</v>
      </c>
      <c r="R65" s="59">
        <f t="shared" si="0"/>
        <v>600.73929590362968</v>
      </c>
      <c r="S65" s="59">
        <f ca="1">AVERAGE(OFFSET($R$3,0,0,'Données projet'!$E$9+1,1))-AVERAGE(OFFSET($H$3,0,0,'Données projet'!$E$9+1,1))</f>
        <v>319.22903094674564</v>
      </c>
      <c r="T65" s="59">
        <f t="shared" si="34"/>
        <v>254.58690973142848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4.8158733828053144</v>
      </c>
      <c r="AA65" s="21">
        <f>EXP(-LN(2)/25)*AA64+(1-EXP(-LN(2)/25))/(LN(2)/25)*Calculateur!V65*Calculateur!X65*VLOOKUP('Données projet'!$B$9,Paramètres!$A$1:$I$89,3,0)*0.475*44/12</f>
        <v>4.59206358057006</v>
      </c>
      <c r="AB65" s="21">
        <f>EXP(-LN(2)/2)*AB64+(1-EXP(-LN(2)/2))/(LN(2)/2)*V65*Y65*VLOOKUP('Données projet'!$B$9,Paramètres!$A$1:$I$89,3,0)*0.475*44/12</f>
        <v>1.6850477056271938E-4</v>
      </c>
      <c r="AC65" s="22">
        <f t="shared" si="3"/>
        <v>9.4081054681459371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10</v>
      </c>
      <c r="AI65" s="13">
        <f>IF('Données projet'!$A$62&gt;35,AI64+AH65-AQ64,IF(A65&lt;'Données projet'!$A$62,$AF$205^A65,IF(A65='Données projet'!$A$62,'Données projet'!$B$62,AI64+AH65-AQ64)))</f>
        <v>738.99999999999966</v>
      </c>
      <c r="AJ65" s="13">
        <f>AI65*VLOOKUP('Données projet'!$B$10,Paramètres!$A$1:$I$89,3,0)*VLOOKUP('Données projet'!$B$10,Paramètres!$A$1:$I$89,5,0)</f>
        <v>413.10099999999983</v>
      </c>
      <c r="AK65" s="13">
        <f t="shared" si="35"/>
        <v>94.427689670462357</v>
      </c>
      <c r="AL65" s="20">
        <f t="shared" si="4"/>
        <v>883.94580117605494</v>
      </c>
      <c r="AM65" s="59">
        <f t="shared" si="5"/>
        <v>1177.2791345093883</v>
      </c>
      <c r="AN65" s="59">
        <f ca="1">AVERAGE(OFFSET($AM$3,0,0,'Données projet'!$E$10+1,1))-AVERAGE(OFFSET($H$3,0,0,'Données projet'!$E$10+1,1))</f>
        <v>544.48194192356823</v>
      </c>
      <c r="AO65" s="59">
        <f t="shared" si="36"/>
        <v>668.20427590250733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3.8953629955825315</v>
      </c>
      <c r="AV65" s="21">
        <f>EXP(-LN(2)/25)*AV64+(1-EXP(-LN(2)/25))/(LN(2)/25)*Calculateur!AQ65*Calculateur!AS65*VLOOKUP('Données projet'!$B$10,Paramètres!$A$1:$I$89,3,0)*0.475*44/12</f>
        <v>17.547522285018367</v>
      </c>
      <c r="AW65" s="21">
        <f>EXP(-LN(2)/2)*AW64+(1-EXP(-LN(2)/2))/(LN(2)/2)*AQ65*AT65*VLOOKUP('Données projet'!$B$10,Paramètres!$A$1:$I$89,3,0)*0.475*44/12</f>
        <v>2.2000057624416567E-4</v>
      </c>
      <c r="AX65" s="21">
        <f t="shared" si="6"/>
        <v>21.443105281177143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8.8000000000000007</v>
      </c>
      <c r="BD65" s="12">
        <f>IF('Données projet'!$A$88&gt;35,BD64+BC65-BL64,IF(A65&lt;'Données projet'!$A$88,$BA$205^A65,IF(A65='Données projet'!$A$88,'Données projet'!$B$88,BD64+BC65-BL64)))</f>
        <v>262.59999999999997</v>
      </c>
      <c r="BE65" s="13">
        <f>BD65*VLOOKUP('Données projet'!$B$11,Paramètres!$A$1:$I$89,3,0)*VLOOKUP('Données projet'!$B$11,Paramètres!$A$1:$I$89,5,0)</f>
        <v>237.60047999999995</v>
      </c>
      <c r="BF65" s="13">
        <f t="shared" si="37"/>
        <v>57.922960533442058</v>
      </c>
      <c r="BG65" s="20">
        <f t="shared" si="7"/>
        <v>514.70332559574479</v>
      </c>
      <c r="BH65" s="59">
        <f t="shared" si="8"/>
        <v>808.03665892907816</v>
      </c>
      <c r="BI65" s="59">
        <f ca="1">AVERAGE(OFFSET($BH$3,0,0,'Données projet'!$E$11+1,1))-AVERAGE(OFFSET($H$3,0,0,'Données projet'!$E$11+1,1))</f>
        <v>405.7176439604217</v>
      </c>
      <c r="BJ65" s="59">
        <f t="shared" si="38"/>
        <v>278.21741231699929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3.8779082674998731</v>
      </c>
      <c r="BQ65" s="21">
        <f>EXP(-LN(2)/25)*BQ64+(1-EXP(-LN(2)/25))/(LN(2)/25)*Calculateur!BL65*Calculateur!BN65*VLOOKUP('Données projet'!$B$11,Paramètres!$A$1:$I$89,3,0)*0.475*44/12</f>
        <v>3.8563686307137854</v>
      </c>
      <c r="BR65" s="21">
        <f>EXP(-LN(2)/2)*BR64+(1-EXP(-LN(2)/2))/(LN(2)/2)*BL65*BO65*VLOOKUP('Données projet'!$B$11,Paramètres!$A$1:$I$89,3,0)*0.475*44/12</f>
        <v>1.3023121016445473E-4</v>
      </c>
      <c r="BS65" s="22">
        <f t="shared" si="9"/>
        <v>7.7344071294238228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6</v>
      </c>
      <c r="BY65" s="12">
        <f>IF('Données projet'!$A$114&gt;35,BY64+BX65-CG64,IF(A65&lt;'Données projet'!$A$114,$BV$205^A65,IF(A65='Données projet'!$A$114,'Données projet'!$B$114,BY64+BX65-CG64)))</f>
        <v>234.00000000000009</v>
      </c>
      <c r="BZ65" s="13">
        <f>BY65*VLOOKUP('Données projet'!$B$12,Paramètres!$A$1:$I$89,3,0)*VLOOKUP('Données projet'!$B$12,Paramètres!$A$1:$I$89,5,0)</f>
        <v>204.4224000000001</v>
      </c>
      <c r="CA65" s="13">
        <f t="shared" si="39"/>
        <v>50.714836797527312</v>
      </c>
      <c r="CB65" s="20">
        <f t="shared" si="10"/>
        <v>444.3640207556935</v>
      </c>
      <c r="CC65" s="59">
        <f t="shared" si="11"/>
        <v>737.69735408902682</v>
      </c>
      <c r="CD65" s="59">
        <f ca="1">AVERAGE(OFFSET($CC$3,0,0,'Données projet'!$E$12+1,1))-AVERAGE(OFFSET($H$3,0,0,'Données projet'!$E$12+1,1))</f>
        <v>381.72225529388083</v>
      </c>
      <c r="CE65" s="59">
        <f t="shared" si="40"/>
        <v>360.05900046417361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2.5530606082615344</v>
      </c>
      <c r="CL65" s="21">
        <f>EXP(-LN(2)/25)*CL64+(1-EXP(-LN(2)/25))/(LN(2)/25)*Calculateur!CG65*Calculateur!CI65*VLOOKUP('Données projet'!$B$12,Paramètres!$A$1:$I$89,3,0)*0.475*44/12</f>
        <v>4.6451192470941445</v>
      </c>
      <c r="CM65" s="21">
        <f>EXP(-LN(2)/2)*CM64+(1-EXP(-LN(2)/2))/(LN(2)/2)*CG65*CJ65*VLOOKUP('Données projet'!$B$12,Paramètres!$A$1:$I$89,3,0)*0.475*44/12</f>
        <v>1.0677346517181387E-4</v>
      </c>
      <c r="CN65" s="22">
        <f t="shared" si="12"/>
        <v>7.1982866288208509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4.4000000000000004</v>
      </c>
      <c r="CT65" s="12">
        <f>IF('Données projet'!$A$140&gt;35,CT64+CS65-DB64,IF(A65&lt;'Données projet'!$A$140,$CQ$205^A65,IF(A65='Données projet'!$A$140,'Données projet'!$B$140,CT64+CS65-DB64)))</f>
        <v>241.79999999999984</v>
      </c>
      <c r="CU65" s="17">
        <f>CT65*VLOOKUP('Données projet'!$B$13,Paramètres!$A$1:$I$89,3,0)*VLOOKUP('Données projet'!$B$13,Paramètres!$A$1:$I$89,5,0)</f>
        <v>192.37607999999989</v>
      </c>
      <c r="CV65" s="13">
        <f t="shared" si="41"/>
        <v>48.064889828485896</v>
      </c>
      <c r="CW65" s="20">
        <f t="shared" si="13"/>
        <v>418.76802245127936</v>
      </c>
      <c r="CX65" s="59">
        <f t="shared" si="14"/>
        <v>712.10135578461268</v>
      </c>
      <c r="CY65" s="59">
        <f ca="1">AVERAGE(OFFSET($CX$3,0,0,'Données projet'!$E$13+1,1))-AVERAGE(OFFSET($H$3,0,0,'Données projet'!$E$13+1,1))</f>
        <v>299.10536994156814</v>
      </c>
      <c r="CZ65" s="59">
        <f t="shared" si="42"/>
        <v>292.57799203101769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4.4683858238212402</v>
      </c>
      <c r="DG65" s="21">
        <f>EXP(-LN(2)/25)*DG64+(1-EXP(-LN(2)/25))/(LN(2)/25)*Calculateur!DB65*Calculateur!DD65*VLOOKUP('Données projet'!$B$13,Paramètres!$A$1:$I$89,3,0)*0.475*44/12</f>
        <v>4.4526428860389711</v>
      </c>
      <c r="DH65" s="21">
        <f>EXP(-LN(2)/2)*DH64+(1-EXP(-LN(2)/2))/(LN(2)/2)*DB65*DE65*VLOOKUP('Données projet'!$B$13,Paramètres!$A$1:$I$89,3,0)*0.475*44/12</f>
        <v>1.3691175187416146E-4</v>
      </c>
      <c r="DI65" s="22">
        <f t="shared" si="15"/>
        <v>8.9211656216120847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5.8</v>
      </c>
      <c r="DO65" s="12">
        <f>IF('Données projet'!$A$166&gt;35,DO64+DN65-DW64,IF(A65&lt;'Données projet'!$A$166,$DL$205^A65,IF(A65='Données projet'!$A$166,'Données projet'!$B$166,DO64+DN65-DW64)))</f>
        <v>247.60000000000008</v>
      </c>
      <c r="DP65" s="17">
        <f>DO65*VLOOKUP('Données projet'!$B$14,Paramètres!$A$1:$I$89,3,0)*VLOOKUP('Données projet'!$B$14,Paramètres!$A$1:$I$89,5,0)</f>
        <v>162.22752000000006</v>
      </c>
      <c r="DQ65" s="13">
        <f t="shared" si="43"/>
        <v>41.34453376038482</v>
      </c>
      <c r="DR65" s="20">
        <f t="shared" si="16"/>
        <v>354.554660299337</v>
      </c>
      <c r="DS65" s="59">
        <f t="shared" si="17"/>
        <v>647.88799363267026</v>
      </c>
      <c r="DT65" s="59">
        <f ca="1">AVERAGE(OFFSET($DS$3,0,0,'Données projet'!$E$14+1,1))-AVERAGE(OFFSET($H$3,0,0,'Données projet'!$E$14+1,1))</f>
        <v>295.92103934364718</v>
      </c>
      <c r="DU65" s="59">
        <f t="shared" si="44"/>
        <v>304.84379909635476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2.3666920656791328</v>
      </c>
      <c r="EB65" s="21">
        <f>EXP(-LN(2)/25)*EB64+(1-EXP(-LN(2)/25))/(LN(2)/25)*Calculateur!DW65*Calculateur!DY65*VLOOKUP('Données projet'!$B$14,Paramètres!$A$1:$I$89,3,0)*0.475*44/12</f>
        <v>2.945223731336557</v>
      </c>
      <c r="EC65" s="21">
        <f>EXP(-LN(2)/2)*EC64+(1-EXP(-LN(2)/2))/(LN(2)/2)*DW65*DZ65*VLOOKUP('Données projet'!$B$14,Paramètres!$A$1:$I$89,3,0)*0.475*44/12</f>
        <v>8.7809974692889631E-5</v>
      </c>
      <c r="ED65" s="22">
        <f t="shared" si="18"/>
        <v>5.3120036069903831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15.5</v>
      </c>
      <c r="N66" s="13">
        <f>IF('Données projet'!$A$36&gt;35,N65+M66-V65,IF(A66&lt;'Données projet'!$A$36,$K$205^A66,IF(A66='Données projet'!$A$36,'Données projet'!$B$36,N65+M66-V65)))</f>
        <v>314.99999999999989</v>
      </c>
      <c r="O66" s="13">
        <f>N66*VLOOKUP('Données projet'!$B$9,Paramètres!$A$1:$I$89,3,0)*VLOOKUP('Données projet'!$B$9,Paramètres!$A$1:$I$89,5,0)</f>
        <v>147.41999999999993</v>
      </c>
      <c r="P66" s="13">
        <f t="shared" si="33"/>
        <v>37.991680647570291</v>
      </c>
      <c r="Q66" s="20">
        <f t="shared" si="53"/>
        <v>322.92534379451814</v>
      </c>
      <c r="R66" s="59">
        <f t="shared" si="0"/>
        <v>616.25867712785146</v>
      </c>
      <c r="S66" s="59">
        <f ca="1">AVERAGE(OFFSET($R$3,0,0,'Données projet'!$E$9+1,1))-AVERAGE(OFFSET($H$3,0,0,'Données projet'!$E$9+1,1))</f>
        <v>319.22903094674564</v>
      </c>
      <c r="T66" s="59">
        <f t="shared" si="34"/>
        <v>254.58690973142848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4.721437043161222</v>
      </c>
      <c r="AA66" s="21">
        <f>EXP(-LN(2)/25)*AA65+(1-EXP(-LN(2)/25))/(LN(2)/25)*Calculateur!V66*Calculateur!X66*VLOOKUP('Données projet'!$B$9,Paramètres!$A$1:$I$89,3,0)*0.475*44/12</f>
        <v>4.4664933604732431</v>
      </c>
      <c r="AB66" s="21">
        <f>EXP(-LN(2)/2)*AB65+(1-EXP(-LN(2)/2))/(LN(2)/2)*V66*Y66*VLOOKUP('Données projet'!$B$9,Paramètres!$A$1:$I$89,3,0)*0.475*44/12</f>
        <v>1.1915086592718222E-4</v>
      </c>
      <c r="AC66" s="22">
        <f t="shared" si="3"/>
        <v>9.1880495545003917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10</v>
      </c>
      <c r="AI66" s="13">
        <f>IF('Données projet'!$A$62&gt;35,AI65+AH66-AQ65,IF(A66&lt;'Données projet'!$A$62,$AF$205^A66,IF(A66='Données projet'!$A$62,'Données projet'!$B$62,AI65+AH66-AQ65)))</f>
        <v>748.99999999999966</v>
      </c>
      <c r="AJ66" s="13">
        <f>AI66*VLOOKUP('Données projet'!$B$10,Paramètres!$A$1:$I$89,3,0)*VLOOKUP('Données projet'!$B$10,Paramètres!$A$1:$I$89,5,0)</f>
        <v>418.6909999999998</v>
      </c>
      <c r="AK66" s="13">
        <f t="shared" si="35"/>
        <v>95.555848328260851</v>
      </c>
      <c r="AL66" s="20">
        <f t="shared" si="4"/>
        <v>895.64659417172061</v>
      </c>
      <c r="AM66" s="59">
        <f t="shared" si="5"/>
        <v>1188.9799275050539</v>
      </c>
      <c r="AN66" s="59">
        <f ca="1">AVERAGE(OFFSET($AM$3,0,0,'Données projet'!$E$10+1,1))-AVERAGE(OFFSET($H$3,0,0,'Données projet'!$E$10+1,1))</f>
        <v>544.48194192356823</v>
      </c>
      <c r="AO66" s="59">
        <f t="shared" si="36"/>
        <v>668.20427590250733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3.8189773031759811</v>
      </c>
      <c r="AV66" s="21">
        <f>EXP(-LN(2)/25)*AV65+(1-EXP(-LN(2)/25))/(LN(2)/25)*Calculateur!AQ66*Calculateur!AS66*VLOOKUP('Données projet'!$B$10,Paramètres!$A$1:$I$89,3,0)*0.475*44/12</f>
        <v>17.067684365350448</v>
      </c>
      <c r="AW66" s="21">
        <f>EXP(-LN(2)/2)*AW65+(1-EXP(-LN(2)/2))/(LN(2)/2)*AQ66*AT66*VLOOKUP('Données projet'!$B$10,Paramètres!$A$1:$I$89,3,0)*0.475*44/12</f>
        <v>1.5556389932719762E-4</v>
      </c>
      <c r="AX66" s="21">
        <f t="shared" si="6"/>
        <v>20.886817232425756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8.8000000000000007</v>
      </c>
      <c r="BD66" s="12">
        <f>IF('Données projet'!$A$88&gt;35,BD65+BC66-BL65,IF(A66&lt;'Données projet'!$A$88,$BA$205^A66,IF(A66='Données projet'!$A$88,'Données projet'!$B$88,BD65+BC66-BL65)))</f>
        <v>271.39999999999998</v>
      </c>
      <c r="BE66" s="13">
        <f>BD66*VLOOKUP('Données projet'!$B$11,Paramètres!$A$1:$I$89,3,0)*VLOOKUP('Données projet'!$B$11,Paramètres!$A$1:$I$89,5,0)</f>
        <v>245.56271999999998</v>
      </c>
      <c r="BF66" s="13">
        <f t="shared" si="37"/>
        <v>59.634776048276898</v>
      </c>
      <c r="BG66" s="20">
        <f t="shared" si="7"/>
        <v>531.55230561741564</v>
      </c>
      <c r="BH66" s="59">
        <f t="shared" si="8"/>
        <v>824.8856389507489</v>
      </c>
      <c r="BI66" s="59">
        <f ca="1">AVERAGE(OFFSET($BH$3,0,0,'Données projet'!$E$11+1,1))-AVERAGE(OFFSET($H$3,0,0,'Données projet'!$E$11+1,1))</f>
        <v>405.7176439604217</v>
      </c>
      <c r="BJ66" s="59">
        <f t="shared" si="38"/>
        <v>278.21741231699929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3.8018648516646905</v>
      </c>
      <c r="BQ66" s="21">
        <f>EXP(-LN(2)/25)*BQ65+(1-EXP(-LN(2)/25))/(LN(2)/25)*Calculateur!BL66*Calculateur!BN66*VLOOKUP('Données projet'!$B$11,Paramètres!$A$1:$I$89,3,0)*0.475*44/12</f>
        <v>3.7509160277093043</v>
      </c>
      <c r="BR66" s="21">
        <f>EXP(-LN(2)/2)*BR65+(1-EXP(-LN(2)/2))/(LN(2)/2)*BL66*BO66*VLOOKUP('Données projet'!$B$11,Paramètres!$A$1:$I$89,3,0)*0.475*44/12</f>
        <v>9.2087371829416379E-5</v>
      </c>
      <c r="BS66" s="22">
        <f t="shared" si="9"/>
        <v>7.5528729667458236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6</v>
      </c>
      <c r="BY66" s="12">
        <f>IF('Données projet'!$A$114&gt;35,BY65+BX66-CG65,IF(A66&lt;'Données projet'!$A$114,$BV$205^A66,IF(A66='Données projet'!$A$114,'Données projet'!$B$114,BY65+BX66-CG65)))</f>
        <v>240.00000000000009</v>
      </c>
      <c r="BZ66" s="13">
        <f>BY66*VLOOKUP('Données projet'!$B$12,Paramètres!$A$1:$I$89,3,0)*VLOOKUP('Données projet'!$B$12,Paramètres!$A$1:$I$89,5,0)</f>
        <v>209.6640000000001</v>
      </c>
      <c r="CA66" s="13">
        <f t="shared" si="39"/>
        <v>51.862154403304537</v>
      </c>
      <c r="CB66" s="20">
        <f t="shared" si="10"/>
        <v>455.49138558575561</v>
      </c>
      <c r="CC66" s="59">
        <f t="shared" si="11"/>
        <v>748.82471891908892</v>
      </c>
      <c r="CD66" s="59">
        <f ca="1">AVERAGE(OFFSET($CC$3,0,0,'Données projet'!$E$12+1,1))-AVERAGE(OFFSET($H$3,0,0,'Données projet'!$E$12+1,1))</f>
        <v>381.72225529388083</v>
      </c>
      <c r="CE66" s="59">
        <f t="shared" si="40"/>
        <v>360.05900046417361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2.5029966469467348</v>
      </c>
      <c r="CL66" s="21">
        <f>EXP(-LN(2)/25)*CL65+(1-EXP(-LN(2)/25))/(LN(2)/25)*Calculateur!CG66*Calculateur!CI66*VLOOKUP('Données projet'!$B$12,Paramètres!$A$1:$I$89,3,0)*0.475*44/12</f>
        <v>4.5180982170061501</v>
      </c>
      <c r="CM66" s="21">
        <f>EXP(-LN(2)/2)*CM65+(1-EXP(-LN(2)/2))/(LN(2)/2)*CG66*CJ66*VLOOKUP('Données projet'!$B$12,Paramètres!$A$1:$I$89,3,0)*0.475*44/12</f>
        <v>7.5500241273775243E-5</v>
      </c>
      <c r="CN66" s="22">
        <f t="shared" si="12"/>
        <v>7.021170364194159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4.4000000000000004</v>
      </c>
      <c r="CT66" s="12">
        <f>IF('Données projet'!$A$140&gt;35,CT65+CS66-DB65,IF(A66&lt;'Données projet'!$A$140,$CQ$205^A66,IF(A66='Données projet'!$A$140,'Données projet'!$B$140,CT65+CS66-DB65)))</f>
        <v>246.19999999999985</v>
      </c>
      <c r="CU66" s="17">
        <f>CT66*VLOOKUP('Données projet'!$B$13,Paramètres!$A$1:$I$89,3,0)*VLOOKUP('Données projet'!$B$13,Paramètres!$A$1:$I$89,5,0)</f>
        <v>195.87671999999989</v>
      </c>
      <c r="CV66" s="13">
        <f t="shared" si="41"/>
        <v>48.836899853879942</v>
      </c>
      <c r="CW66" s="20">
        <f t="shared" si="13"/>
        <v>426.20955457884071</v>
      </c>
      <c r="CX66" s="59">
        <f t="shared" si="14"/>
        <v>719.54288791217402</v>
      </c>
      <c r="CY66" s="59">
        <f ca="1">AVERAGE(OFFSET($CX$3,0,0,'Données projet'!$E$13+1,1))-AVERAGE(OFFSET($H$3,0,0,'Données projet'!$E$13+1,1))</f>
        <v>299.10536994156814</v>
      </c>
      <c r="CZ66" s="59">
        <f t="shared" si="42"/>
        <v>292.57799203101769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4.3807635032623429</v>
      </c>
      <c r="DG66" s="21">
        <f>EXP(-LN(2)/25)*DG65+(1-EXP(-LN(2)/25))/(LN(2)/25)*Calculateur!DB66*Calculateur!DD66*VLOOKUP('Données projet'!$B$13,Paramètres!$A$1:$I$89,3,0)*0.475*44/12</f>
        <v>4.330885132165923</v>
      </c>
      <c r="DH66" s="21">
        <f>EXP(-LN(2)/2)*DH65+(1-EXP(-LN(2)/2))/(LN(2)/2)*DB66*DE66*VLOOKUP('Données projet'!$B$13,Paramètres!$A$1:$I$89,3,0)*0.475*44/12</f>
        <v>9.6811228174349578E-5</v>
      </c>
      <c r="DI66" s="22">
        <f t="shared" si="15"/>
        <v>8.7117454466564386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5.8</v>
      </c>
      <c r="DO66" s="12">
        <f>IF('Données projet'!$A$166&gt;35,DO65+DN66-DW65,IF(A66&lt;'Données projet'!$A$166,$DL$205^A66,IF(A66='Données projet'!$A$166,'Données projet'!$B$166,DO65+DN66-DW65)))</f>
        <v>253.40000000000009</v>
      </c>
      <c r="DP66" s="17">
        <f>DO66*VLOOKUP('Données projet'!$B$14,Paramètres!$A$1:$I$89,3,0)*VLOOKUP('Données projet'!$B$14,Paramètres!$A$1:$I$89,5,0)</f>
        <v>166.02768000000006</v>
      </c>
      <c r="DQ66" s="13">
        <f t="shared" si="43"/>
        <v>42.199135504117315</v>
      </c>
      <c r="DR66" s="20">
        <f t="shared" si="16"/>
        <v>362.66170366967111</v>
      </c>
      <c r="DS66" s="59">
        <f t="shared" si="17"/>
        <v>655.99503700300443</v>
      </c>
      <c r="DT66" s="59">
        <f ca="1">AVERAGE(OFFSET($DS$3,0,0,'Données projet'!$E$14+1,1))-AVERAGE(OFFSET($H$3,0,0,'Données projet'!$E$14+1,1))</f>
        <v>295.92103934364718</v>
      </c>
      <c r="DU66" s="59">
        <f t="shared" si="44"/>
        <v>304.84379909635476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2.3202826778107872</v>
      </c>
      <c r="EB66" s="21">
        <f>EXP(-LN(2)/25)*EB65+(1-EXP(-LN(2)/25))/(LN(2)/25)*Calculateur!DW66*Calculateur!DY66*VLOOKUP('Données projet'!$B$14,Paramètres!$A$1:$I$89,3,0)*0.475*44/12</f>
        <v>2.8646864335205744</v>
      </c>
      <c r="EC66" s="21">
        <f>EXP(-LN(2)/2)*EC65+(1-EXP(-LN(2)/2))/(LN(2)/2)*DW66*DZ66*VLOOKUP('Données projet'!$B$14,Paramètres!$A$1:$I$89,3,0)*0.475*44/12</f>
        <v>6.2091028561161383E-5</v>
      </c>
      <c r="ED66" s="22">
        <f t="shared" si="18"/>
        <v>5.185031202359923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15.5</v>
      </c>
      <c r="N67" s="13">
        <f>IF('Données projet'!$A$36&gt;35,N66+M67-V66,IF(A67&lt;'Données projet'!$A$36,$K$205^A67,IF(A67='Données projet'!$A$36,'Données projet'!$B$36,N66+M67-V66)))</f>
        <v>330.49999999999989</v>
      </c>
      <c r="O67" s="13">
        <f>N67*VLOOKUP('Données projet'!$B$9,Paramètres!$A$1:$I$89,3,0)*VLOOKUP('Données projet'!$B$9,Paramètres!$A$1:$I$89,5,0)</f>
        <v>154.67399999999995</v>
      </c>
      <c r="P67" s="13">
        <f t="shared" si="33"/>
        <v>39.63886458604275</v>
      </c>
      <c r="Q67" s="20">
        <f t="shared" ref="Q67:Q98" si="54">(O67+P67)*0.475*44/12</f>
        <v>338.42823915402437</v>
      </c>
      <c r="R67" s="59">
        <f t="shared" ref="R67:R130" si="55">Q67+(I67+J67)*44/12</f>
        <v>631.76157248735763</v>
      </c>
      <c r="S67" s="59">
        <f ca="1">AVERAGE(OFFSET($R$3,0,0,'Données projet'!$E$9+1,1))-AVERAGE(OFFSET($H$3,0,0,'Données projet'!$E$9+1,1))</f>
        <v>319.22903094674564</v>
      </c>
      <c r="T67" s="59">
        <f t="shared" si="34"/>
        <v>254.58690973142848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4.6288525425370706</v>
      </c>
      <c r="AA67" s="21">
        <f>EXP(-LN(2)/25)*AA66+(1-EXP(-LN(2)/25))/(LN(2)/25)*Calculateur!V67*Calculateur!X67*VLOOKUP('Données projet'!$B$9,Paramètres!$A$1:$I$89,3,0)*0.475*44/12</f>
        <v>4.3443568646484243</v>
      </c>
      <c r="AB67" s="21">
        <f>EXP(-LN(2)/2)*AB66+(1-EXP(-LN(2)/2))/(LN(2)/2)*V67*Y67*VLOOKUP('Données projet'!$B$9,Paramètres!$A$1:$I$89,3,0)*0.475*44/12</f>
        <v>8.4252385281359705E-5</v>
      </c>
      <c r="AC67" s="22">
        <f t="shared" si="3"/>
        <v>8.9732936595707766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10</v>
      </c>
      <c r="AI67" s="13">
        <f>IF('Données projet'!$A$62&gt;35,AI66+AH67-AQ66,IF(A67&lt;'Données projet'!$A$62,$AF$205^A67,IF(A67='Données projet'!$A$62,'Données projet'!$B$62,AI66+AH67-AQ66)))</f>
        <v>758.99999999999966</v>
      </c>
      <c r="AJ67" s="13">
        <f>AI67*VLOOKUP('Données projet'!$B$10,Paramètres!$A$1:$I$89,3,0)*VLOOKUP('Données projet'!$B$10,Paramètres!$A$1:$I$89,5,0)</f>
        <v>424.28099999999978</v>
      </c>
      <c r="AK67" s="13">
        <f t="shared" si="35"/>
        <v>96.682255052757768</v>
      </c>
      <c r="AL67" s="20">
        <f t="shared" si="4"/>
        <v>907.34433588355262</v>
      </c>
      <c r="AM67" s="59">
        <f t="shared" si="5"/>
        <v>1200.677669216886</v>
      </c>
      <c r="AN67" s="59">
        <f ca="1">AVERAGE(OFFSET($AM$3,0,0,'Données projet'!$E$10+1,1))-AVERAGE(OFFSET($H$3,0,0,'Données projet'!$E$10+1,1))</f>
        <v>544.48194192356823</v>
      </c>
      <c r="AO67" s="59">
        <f t="shared" si="36"/>
        <v>668.20427590250733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3.7440894876068511</v>
      </c>
      <c r="AV67" s="21">
        <f>EXP(-LN(2)/25)*AV66+(1-EXP(-LN(2)/25))/(LN(2)/25)*Calculateur!AQ67*Calculateur!AS67*VLOOKUP('Données projet'!$B$10,Paramètres!$A$1:$I$89,3,0)*0.475*44/12</f>
        <v>16.600967638829427</v>
      </c>
      <c r="AW67" s="21">
        <f>EXP(-LN(2)/2)*AW66+(1-EXP(-LN(2)/2))/(LN(2)/2)*AQ67*AT67*VLOOKUP('Données projet'!$B$10,Paramètres!$A$1:$I$89,3,0)*0.475*44/12</f>
        <v>1.1000028812208284E-4</v>
      </c>
      <c r="AX67" s="21">
        <f t="shared" si="6"/>
        <v>20.345167126724398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8.8000000000000007</v>
      </c>
      <c r="BD67" s="12">
        <f>IF('Données projet'!$A$88&gt;35,BD66+BC67-BL66,IF(A67&lt;'Données projet'!$A$88,$BA$205^A67,IF(A67='Données projet'!$A$88,'Données projet'!$B$88,BD66+BC67-BL66)))</f>
        <v>280.2</v>
      </c>
      <c r="BE67" s="13">
        <f>BD67*VLOOKUP('Données projet'!$B$11,Paramètres!$A$1:$I$89,3,0)*VLOOKUP('Données projet'!$B$11,Paramètres!$A$1:$I$89,5,0)</f>
        <v>253.52495999999999</v>
      </c>
      <c r="BF67" s="13">
        <f t="shared" si="37"/>
        <v>61.340141798422209</v>
      </c>
      <c r="BG67" s="20">
        <f t="shared" si="7"/>
        <v>548.39005229891859</v>
      </c>
      <c r="BH67" s="59">
        <f t="shared" si="8"/>
        <v>841.72338563225185</v>
      </c>
      <c r="BI67" s="59">
        <f ca="1">AVERAGE(OFFSET($BH$3,0,0,'Données projet'!$E$11+1,1))-AVERAGE(OFFSET($H$3,0,0,'Données projet'!$E$11+1,1))</f>
        <v>405.7176439604217</v>
      </c>
      <c r="BJ67" s="59">
        <f t="shared" si="38"/>
        <v>278.21741231699929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3.727312600832132</v>
      </c>
      <c r="BQ67" s="21">
        <f>EXP(-LN(2)/25)*BQ66+(1-EXP(-LN(2)/25))/(LN(2)/25)*Calculateur!BL67*Calculateur!BN67*VLOOKUP('Données projet'!$B$11,Paramètres!$A$1:$I$89,3,0)*0.475*44/12</f>
        <v>3.6483470316794921</v>
      </c>
      <c r="BR67" s="21">
        <f>EXP(-LN(2)/2)*BR66+(1-EXP(-LN(2)/2))/(LN(2)/2)*BL67*BO67*VLOOKUP('Données projet'!$B$11,Paramètres!$A$1:$I$89,3,0)*0.475*44/12</f>
        <v>6.5115605082227367E-5</v>
      </c>
      <c r="BS67" s="22">
        <f t="shared" si="9"/>
        <v>7.3757247481167063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6</v>
      </c>
      <c r="BY67" s="12">
        <f>IF('Données projet'!$A$114&gt;35,BY66+BX67-CG66,IF(A67&lt;'Données projet'!$A$114,$BV$205^A67,IF(A67='Données projet'!$A$114,'Données projet'!$B$114,BY66+BX67-CG66)))</f>
        <v>246.00000000000009</v>
      </c>
      <c r="BZ67" s="13">
        <f>BY67*VLOOKUP('Données projet'!$B$12,Paramètres!$A$1:$I$89,3,0)*VLOOKUP('Données projet'!$B$12,Paramètres!$A$1:$I$89,5,0)</f>
        <v>214.90560000000008</v>
      </c>
      <c r="CA67" s="13">
        <f t="shared" si="39"/>
        <v>53.006137800892326</v>
      </c>
      <c r="CB67" s="20">
        <f t="shared" si="10"/>
        <v>466.61294333655428</v>
      </c>
      <c r="CC67" s="59">
        <f t="shared" si="11"/>
        <v>759.94627666988754</v>
      </c>
      <c r="CD67" s="59">
        <f ca="1">AVERAGE(OFFSET($CC$3,0,0,'Données projet'!$E$12+1,1))-AVERAGE(OFFSET($H$3,0,0,'Données projet'!$E$12+1,1))</f>
        <v>381.72225529388083</v>
      </c>
      <c r="CE67" s="59">
        <f t="shared" si="40"/>
        <v>360.05900046417361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2.4539144093773171</v>
      </c>
      <c r="CL67" s="21">
        <f>EXP(-LN(2)/25)*CL66+(1-EXP(-LN(2)/25))/(LN(2)/25)*Calculateur!CG67*Calculateur!CI67*VLOOKUP('Données projet'!$B$12,Paramètres!$A$1:$I$89,3,0)*0.475*44/12</f>
        <v>4.3945505836656578</v>
      </c>
      <c r="CM67" s="21">
        <f>EXP(-LN(2)/2)*CM66+(1-EXP(-LN(2)/2))/(LN(2)/2)*CG67*CJ67*VLOOKUP('Données projet'!$B$12,Paramètres!$A$1:$I$89,3,0)*0.475*44/12</f>
        <v>5.3386732585906936E-5</v>
      </c>
      <c r="CN67" s="22">
        <f t="shared" si="12"/>
        <v>6.8485183797755607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4.4000000000000004</v>
      </c>
      <c r="CT67" s="12">
        <f>IF('Données projet'!$A$140&gt;35,CT66+CS67-DB66,IF(A67&lt;'Données projet'!$A$140,$CQ$205^A67,IF(A67='Données projet'!$A$140,'Données projet'!$B$140,CT66+CS67-DB66)))</f>
        <v>250.59999999999985</v>
      </c>
      <c r="CU67" s="17">
        <f>CT67*VLOOKUP('Données projet'!$B$13,Paramètres!$A$1:$I$89,3,0)*VLOOKUP('Données projet'!$B$13,Paramètres!$A$1:$I$89,5,0)</f>
        <v>199.3773599999999</v>
      </c>
      <c r="CV67" s="13">
        <f t="shared" si="41"/>
        <v>49.607305476717762</v>
      </c>
      <c r="CW67" s="20">
        <f t="shared" si="13"/>
        <v>433.64829237194994</v>
      </c>
      <c r="CX67" s="59">
        <f t="shared" si="14"/>
        <v>726.98162570528325</v>
      </c>
      <c r="CY67" s="59">
        <f ca="1">AVERAGE(OFFSET($CX$3,0,0,'Données projet'!$E$13+1,1))-AVERAGE(OFFSET($H$3,0,0,'Données projet'!$E$13+1,1))</f>
        <v>299.10536994156814</v>
      </c>
      <c r="CZ67" s="59">
        <f t="shared" si="42"/>
        <v>292.57799203101769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4.2948594029652671</v>
      </c>
      <c r="DG67" s="21">
        <f>EXP(-LN(2)/25)*DG66+(1-EXP(-LN(2)/25))/(LN(2)/25)*Calculateur!DB67*Calculateur!DD67*VLOOKUP('Données projet'!$B$13,Paramètres!$A$1:$I$89,3,0)*0.475*44/12</f>
        <v>4.2124568504754949</v>
      </c>
      <c r="DH67" s="21">
        <f>EXP(-LN(2)/2)*DH66+(1-EXP(-LN(2)/2))/(LN(2)/2)*DB67*DE67*VLOOKUP('Données projet'!$B$13,Paramètres!$A$1:$I$89,3,0)*0.475*44/12</f>
        <v>6.845587593708073E-5</v>
      </c>
      <c r="DI67" s="22">
        <f t="shared" si="15"/>
        <v>8.5073847093166997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5.8</v>
      </c>
      <c r="DO67" s="12">
        <f>IF('Données projet'!$A$166&gt;35,DO66+DN67-DW66,IF(A67&lt;'Données projet'!$A$166,$DL$205^A67,IF(A67='Données projet'!$A$166,'Données projet'!$B$166,DO66+DN67-DW66)))</f>
        <v>259.2000000000001</v>
      </c>
      <c r="DP67" s="17">
        <f>DO67*VLOOKUP('Données projet'!$B$14,Paramètres!$A$1:$I$89,3,0)*VLOOKUP('Données projet'!$B$14,Paramètres!$A$1:$I$89,5,0)</f>
        <v>169.82784000000007</v>
      </c>
      <c r="DQ67" s="13">
        <f t="shared" si="43"/>
        <v>43.051463198873812</v>
      </c>
      <c r="DR67" s="20">
        <f t="shared" si="16"/>
        <v>370.76478640470532</v>
      </c>
      <c r="DS67" s="59">
        <f t="shared" si="17"/>
        <v>664.09811973803858</v>
      </c>
      <c r="DT67" s="59">
        <f ca="1">AVERAGE(OFFSET($DS$3,0,0,'Données projet'!$E$14+1,1))-AVERAGE(OFFSET($H$3,0,0,'Données projet'!$E$14+1,1))</f>
        <v>295.92103934364718</v>
      </c>
      <c r="DU67" s="59">
        <f t="shared" si="44"/>
        <v>304.84379909635476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2.2747833497316083</v>
      </c>
      <c r="EB67" s="21">
        <f>EXP(-LN(2)/25)*EB66+(1-EXP(-LN(2)/25))/(LN(2)/25)*Calculateur!DW67*Calculateur!DY67*VLOOKUP('Données projet'!$B$14,Paramètres!$A$1:$I$89,3,0)*0.475*44/12</f>
        <v>2.786351432348642</v>
      </c>
      <c r="EC67" s="21">
        <f>EXP(-LN(2)/2)*EC66+(1-EXP(-LN(2)/2))/(LN(2)/2)*DW67*DZ67*VLOOKUP('Données projet'!$B$14,Paramètres!$A$1:$I$89,3,0)*0.475*44/12</f>
        <v>4.3904987346444815E-5</v>
      </c>
      <c r="ED67" s="22">
        <f t="shared" si="18"/>
        <v>5.0611786870675965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15.5</v>
      </c>
      <c r="N68" s="13">
        <f>IF('Données projet'!$A$36&gt;35,N67+M68-V67,IF(A68&lt;'Données projet'!$A$36,$K$205^A68,IF(A68='Données projet'!$A$36,'Données projet'!$B$36,N67+M68-V67)))</f>
        <v>345.99999999999989</v>
      </c>
      <c r="O68" s="13">
        <f>N68*VLOOKUP('Données projet'!$B$9,Paramètres!$A$1:$I$89,3,0)*VLOOKUP('Données projet'!$B$9,Paramètres!$A$1:$I$89,5,0)</f>
        <v>161.92799999999994</v>
      </c>
      <c r="P68" s="13">
        <f t="shared" si="33"/>
        <v>41.277077571585316</v>
      </c>
      <c r="Q68" s="20">
        <f t="shared" si="54"/>
        <v>353.91551010384433</v>
      </c>
      <c r="R68" s="59">
        <f t="shared" si="55"/>
        <v>647.24884343717758</v>
      </c>
      <c r="S68" s="59">
        <f ca="1">AVERAGE(OFFSET($R$3,0,0,'Données projet'!$E$9+1,1))-AVERAGE(OFFSET($H$3,0,0,'Données projet'!$E$9+1,1))</f>
        <v>319.22903094674564</v>
      </c>
      <c r="T68" s="59">
        <f t="shared" si="34"/>
        <v>254.58690973142848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4.5380835674991902</v>
      </c>
      <c r="AA68" s="21">
        <f>EXP(-LN(2)/25)*AA67+(1-EXP(-LN(2)/25))/(LN(2)/25)*Calculateur!V68*Calculateur!X68*VLOOKUP('Données projet'!$B$9,Paramètres!$A$1:$I$89,3,0)*0.475*44/12</f>
        <v>4.2255601977248149</v>
      </c>
      <c r="AB68" s="21">
        <f>EXP(-LN(2)/2)*AB67+(1-EXP(-LN(2)/2))/(LN(2)/2)*V68*Y68*VLOOKUP('Données projet'!$B$9,Paramètres!$A$1:$I$89,3,0)*0.475*44/12</f>
        <v>5.9575432963591118E-5</v>
      </c>
      <c r="AC68" s="22">
        <f t="shared" ref="AC68:AC131" si="57">SUM(Z68:AB68)</f>
        <v>8.7637033406569689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projet'!$A$61:$I$81,2,0)</f>
        <v>769</v>
      </c>
      <c r="AG68" s="12">
        <f>VLOOKUP(A68,'Données projet'!$A$61:$I$81,9,0)</f>
        <v>10</v>
      </c>
      <c r="AH68" s="12">
        <f t="array" ref="AH68">INDEX(AG:AG,MIN(IF(ISNUMBER(AG68:AG264),ROW(AG68:AG264),"")))</f>
        <v>10</v>
      </c>
      <c r="AI68" s="13">
        <f>IF('Données projet'!$A$62&gt;35,AI67+AH68-AQ67,IF(A68&lt;'Données projet'!$A$62,$AF$205^A68,IF(A68='Données projet'!$A$62,'Données projet'!$B$62,AI67+AH68-AQ67)))</f>
        <v>768.99999999999966</v>
      </c>
      <c r="AJ68" s="13">
        <f>AI68*VLOOKUP('Données projet'!$B$10,Paramètres!$A$1:$I$89,3,0)*VLOOKUP('Données projet'!$B$10,Paramètres!$A$1:$I$89,5,0)</f>
        <v>429.87099999999981</v>
      </c>
      <c r="AK68" s="13">
        <f t="shared" si="35"/>
        <v>97.806935594587088</v>
      </c>
      <c r="AL68" s="20">
        <f t="shared" ref="AL68:AL131" si="58">(AJ68+AK68)*0.475*44/12</f>
        <v>919.03907116057201</v>
      </c>
      <c r="AM68" s="59">
        <f t="shared" ref="AM68:AM131" si="59">AL68+(AD68+AE68)*44/12</f>
        <v>1212.3724044939054</v>
      </c>
      <c r="AN68" s="59">
        <f ca="1">AVERAGE(OFFSET($AM$3,0,0,'Données projet'!$E$10+1,1))-AVERAGE(OFFSET($H$3,0,0,'Données projet'!$E$10+1,1))</f>
        <v>544.48194192356823</v>
      </c>
      <c r="AO68" s="59">
        <f t="shared" si="36"/>
        <v>668.20427590250733</v>
      </c>
      <c r="AP68" s="15">
        <f>IF(ISNA(VLOOKUP(A68,'Données projet'!$A$61:$I$81,3,0)),0,VLOOKUP(A68,'Données projet'!$A$61:$I$81,3,0))</f>
        <v>10</v>
      </c>
      <c r="AQ68" s="15">
        <f>IF(ISNA(VLOOKUP(A68,'Données projet'!$A$61:$I$81,4,0)),0,VLOOKUP(A68,'Données projet'!$A$61:$I$81,4,0))</f>
        <v>769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3.6706701764239744</v>
      </c>
      <c r="AV68" s="21">
        <f>EXP(-LN(2)/25)*AV67+(1-EXP(-LN(2)/25))/(LN(2)/25)*Calculateur!AQ68*Calculateur!AS68*VLOOKUP('Données projet'!$B$10,Paramètres!$A$1:$I$89,3,0)*0.475*44/12</f>
        <v>16.147013305738689</v>
      </c>
      <c r="AW68" s="21">
        <f>EXP(-LN(2)/2)*AW67+(1-EXP(-LN(2)/2))/(LN(2)/2)*AQ68*AT68*VLOOKUP('Données projet'!$B$10,Paramètres!$A$1:$I$89,3,0)*0.475*44/12</f>
        <v>7.778194966359881E-5</v>
      </c>
      <c r="AX68" s="21">
        <f t="shared" ref="AX68:AX131" si="60">SUM(AU68:AW68)</f>
        <v>19.817761264112328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289</v>
      </c>
      <c r="BB68" s="12">
        <f>VLOOKUP(A68,'Données projet'!$A$87:$I$107,9,0)</f>
        <v>8.8000000000000007</v>
      </c>
      <c r="BC68" s="12">
        <f t="array" ref="BC68">INDEX(BB:BB,MIN(IF(ISNUMBER(BB68:BB264),ROW(BB68:BB264),"")))</f>
        <v>8.8000000000000007</v>
      </c>
      <c r="BD68" s="12">
        <f>IF('Données projet'!$A$88&gt;35,BD67+BC68-BL67,IF(A68&lt;'Données projet'!$A$88,$BA$205^A68,IF(A68='Données projet'!$A$88,'Données projet'!$B$88,BD67+BC68-BL67)))</f>
        <v>289</v>
      </c>
      <c r="BE68" s="13">
        <f>BD68*VLOOKUP('Données projet'!$B$11,Paramètres!$A$1:$I$89,3,0)*VLOOKUP('Données projet'!$B$11,Paramètres!$A$1:$I$89,5,0)</f>
        <v>261.48719999999997</v>
      </c>
      <c r="BF68" s="13">
        <f t="shared" si="37"/>
        <v>63.039283586802391</v>
      </c>
      <c r="BG68" s="20">
        <f t="shared" ref="BG68:BG131" si="61">(BE68+BF68)*0.475*44/12</f>
        <v>565.21695891368086</v>
      </c>
      <c r="BH68" s="59">
        <f t="shared" ref="BH68:BH131" si="62">BG68+(AY68+AZ68)*44/12</f>
        <v>858.55029224701411</v>
      </c>
      <c r="BI68" s="59">
        <f ca="1">AVERAGE(OFFSET($BH$3,0,0,'Données projet'!$E$11+1,1))-AVERAGE(OFFSET($H$3,0,0,'Données projet'!$E$11+1,1))</f>
        <v>405.7176439604217</v>
      </c>
      <c r="BJ68" s="59">
        <f t="shared" si="38"/>
        <v>278.21741231699929</v>
      </c>
      <c r="BK68" s="15">
        <f>IF(ISNA(VLOOKUP(A68,'Données projet'!$A$87:$I$107,3,0)),0,VLOOKUP(A68,'Données projet'!$A$87:$I$107,3,0))</f>
        <v>10</v>
      </c>
      <c r="BL68" s="15">
        <f>IF(ISNA(VLOOKUP(A68,'Données projet'!$A$87:$I$107,4,0)),0,VLOOKUP(A68,'Données projet'!$A$87:$I$107,4,0))</f>
        <v>28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3.6542222741660173</v>
      </c>
      <c r="BQ68" s="21">
        <f>EXP(-LN(2)/25)*BQ67+(1-EXP(-LN(2)/25))/(LN(2)/25)*Calculateur!BL68*Calculateur!BN68*VLOOKUP('Données projet'!$B$11,Paramètres!$A$1:$I$89,3,0)*0.475*44/12</f>
        <v>3.5485827902399842</v>
      </c>
      <c r="BR68" s="21">
        <f>EXP(-LN(2)/2)*BR67+(1-EXP(-LN(2)/2))/(LN(2)/2)*BL68*BO68*VLOOKUP('Données projet'!$B$11,Paramètres!$A$1:$I$89,3,0)*0.475*44/12</f>
        <v>4.604368591470819E-5</v>
      </c>
      <c r="BS68" s="22">
        <f t="shared" ref="BS68:BS131" si="63">SUM(BP68:BR68)</f>
        <v>7.2028511080919166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>
        <f>VLOOKUP(A68,'Données projet'!$A$113:$I$133,2,0)</f>
        <v>252</v>
      </c>
      <c r="BW68" s="12">
        <f>VLOOKUP(A68,'Données projet'!$A$113:$I$133,9,0)</f>
        <v>6</v>
      </c>
      <c r="BX68" s="12">
        <f t="array" ref="BX68">INDEX(BW:BW,MIN(IF(ISNUMBER(BW68:BW264),ROW(BW68:BW264),"")))</f>
        <v>6</v>
      </c>
      <c r="BY68" s="12">
        <f>IF('Données projet'!$A$114&gt;35,BY67+BX68-CG67,IF(A68&lt;'Données projet'!$A$114,$BV$205^A68,IF(A68='Données projet'!$A$114,'Données projet'!$B$114,BY67+BX68-CG67)))</f>
        <v>252.00000000000009</v>
      </c>
      <c r="BZ68" s="13">
        <f>BY68*VLOOKUP('Données projet'!$B$12,Paramètres!$A$1:$I$89,3,0)*VLOOKUP('Données projet'!$B$12,Paramètres!$A$1:$I$89,5,0)</f>
        <v>220.14720000000011</v>
      </c>
      <c r="CA68" s="13">
        <f t="shared" si="39"/>
        <v>54.146877667769687</v>
      </c>
      <c r="CB68" s="20">
        <f t="shared" ref="CB68:CB131" si="64">(BZ68+CA68)*0.475*44/12</f>
        <v>477.72885193803239</v>
      </c>
      <c r="CC68" s="59">
        <f t="shared" ref="CC68:CC131" si="65">CB68+(BT68+BU68)*44/12</f>
        <v>771.06218527136571</v>
      </c>
      <c r="CD68" s="59">
        <f ca="1">AVERAGE(OFFSET($CC$3,0,0,'Données projet'!$E$12+1,1))-AVERAGE(OFFSET($H$3,0,0,'Données projet'!$E$12+1,1))</f>
        <v>381.72225529388083</v>
      </c>
      <c r="CE68" s="59">
        <f t="shared" si="40"/>
        <v>360.05900046417361</v>
      </c>
      <c r="CF68" s="15">
        <f>IF(ISNA(VLOOKUP(A68,'Données projet'!$A$113:$I$133,3,0)),0,VLOOKUP(A68,'Données projet'!$A$113:$I$133,3,0))</f>
        <v>11</v>
      </c>
      <c r="CG68" s="15">
        <f>IF(ISNA(VLOOKUP(A68,'Données projet'!$A$113:$I$133,4,0)),0,VLOOKUP(A68,'Données projet'!$A$113:$I$133,4,0))</f>
        <v>22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2.4057946445494269</v>
      </c>
      <c r="CL68" s="21">
        <f>EXP(-LN(2)/25)*CL67+(1-EXP(-LN(2)/25))/(LN(2)/25)*Calculateur!CG68*Calculateur!CI68*VLOOKUP('Données projet'!$B$12,Paramètres!$A$1:$I$89,3,0)*0.475*44/12</f>
        <v>4.2743813668559492</v>
      </c>
      <c r="CM68" s="21">
        <f>EXP(-LN(2)/2)*CM67+(1-EXP(-LN(2)/2))/(LN(2)/2)*CG68*CJ68*VLOOKUP('Données projet'!$B$12,Paramètres!$A$1:$I$89,3,0)*0.475*44/12</f>
        <v>3.7750120636887621E-5</v>
      </c>
      <c r="CN68" s="22">
        <f t="shared" ref="CN68:CN131" si="66">SUM(CK68:CM68)</f>
        <v>6.6802137615260122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>
        <f>VLOOKUP(A68,'Données projet'!$A$139:$I$159,2,0)</f>
        <v>255</v>
      </c>
      <c r="CR68" s="12">
        <f>VLOOKUP(A68,'Données projet'!$A$139:$I$159,9,0)</f>
        <v>4.4000000000000004</v>
      </c>
      <c r="CS68" s="12">
        <f t="array" ref="CS68">INDEX(CR:CR,MIN(IF(ISNUMBER(CR68:CR264),ROW(CR68:CR264),"")))</f>
        <v>4.4000000000000004</v>
      </c>
      <c r="CT68" s="12">
        <f>IF('Données projet'!$A$140&gt;35,CT67+CS68-DB67,IF(A68&lt;'Données projet'!$A$140,$CQ$205^A68,IF(A68='Données projet'!$A$140,'Données projet'!$B$140,CT67+CS68-DB67)))</f>
        <v>254.99999999999986</v>
      </c>
      <c r="CU68" s="17">
        <f>CT68*VLOOKUP('Données projet'!$B$13,Paramètres!$A$1:$I$89,3,0)*VLOOKUP('Données projet'!$B$13,Paramètres!$A$1:$I$89,5,0)</f>
        <v>202.8779999999999</v>
      </c>
      <c r="CV68" s="13">
        <f t="shared" si="41"/>
        <v>50.376138116990084</v>
      </c>
      <c r="CW68" s="20">
        <f t="shared" ref="CW68:CW131" si="67">(CU68+CV68)*0.475*44/12</f>
        <v>441.08429055375751</v>
      </c>
      <c r="CX68" s="59">
        <f t="shared" ref="CX68:CX131" si="68">CW68+(CO68+CP68)*44/12</f>
        <v>734.41762388709083</v>
      </c>
      <c r="CY68" s="59">
        <f ca="1">AVERAGE(OFFSET($CX$3,0,0,'Données projet'!$E$13+1,1))-AVERAGE(OFFSET($H$3,0,0,'Données projet'!$E$13+1,1))</f>
        <v>299.10536994156814</v>
      </c>
      <c r="CZ68" s="59">
        <f t="shared" si="42"/>
        <v>292.57799203101769</v>
      </c>
      <c r="DA68" s="15">
        <f>IF(ISNA(VLOOKUP(A68,'Données projet'!$A$139:$I$159,3,0)),0,VLOOKUP(A68,'Données projet'!$A$139:$I$159,3,0))</f>
        <v>11</v>
      </c>
      <c r="DB68" s="15">
        <f>IF(ISNA(VLOOKUP(A68,'Données projet'!$A$139:$I$159,4,0)),0,VLOOKUP(A68,'Données projet'!$A$139:$I$159,4,0))</f>
        <v>11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4.2106398296786898</v>
      </c>
      <c r="DG68" s="21">
        <f>EXP(-LN(2)/25)*DG67+(1-EXP(-LN(2)/25))/(LN(2)/25)*Calculateur!DB68*Calculateur!DD68*VLOOKUP('Données projet'!$B$13,Paramètres!$A$1:$I$89,3,0)*0.475*44/12</f>
        <v>4.0972669963757644</v>
      </c>
      <c r="DH68" s="21">
        <f>EXP(-LN(2)/2)*DH67+(1-EXP(-LN(2)/2))/(LN(2)/2)*DB68*DE68*VLOOKUP('Données projet'!$B$13,Paramètres!$A$1:$I$89,3,0)*0.475*44/12</f>
        <v>4.8405614087174789E-5</v>
      </c>
      <c r="DI68" s="22">
        <f t="shared" ref="DI68:DI131" si="69">SUM(DF68:DH68)</f>
        <v>8.3079552316685419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>
        <f>VLOOKUP(A68,'Données projet'!$A$165:$I$185,2,0)</f>
        <v>265</v>
      </c>
      <c r="DM68" s="12">
        <f>VLOOKUP(A68,'Données projet'!$A$165:$I$185,9,0)</f>
        <v>5.8</v>
      </c>
      <c r="DN68" s="12">
        <f t="array" ref="DN68">INDEX(DM:DM,MIN(IF(ISNUMBER(DM68:DM264),ROW(DM68:DM264),"")))</f>
        <v>5.8</v>
      </c>
      <c r="DO68" s="12">
        <f>IF('Données projet'!$A$166&gt;35,DO67+DN68-DW67,IF(A68&lt;'Données projet'!$A$166,$DL$205^A68,IF(A68='Données projet'!$A$166,'Données projet'!$B$166,DO67+DN68-DW67)))</f>
        <v>265.00000000000011</v>
      </c>
      <c r="DP68" s="17">
        <f>DO68*VLOOKUP('Données projet'!$B$14,Paramètres!$A$1:$I$89,3,0)*VLOOKUP('Données projet'!$B$14,Paramètres!$A$1:$I$89,5,0)</f>
        <v>173.62800000000007</v>
      </c>
      <c r="DQ68" s="13">
        <f t="shared" si="43"/>
        <v>43.901573588714463</v>
      </c>
      <c r="DR68" s="20">
        <f t="shared" ref="DR68:DR131" si="70">(DP68+DQ68)*0.475*44/12</f>
        <v>378.86400733367782</v>
      </c>
      <c r="DS68" s="59">
        <f t="shared" ref="DS68:DS131" si="71">DR68+(DJ68+DK68)*44/12</f>
        <v>672.19734066701108</v>
      </c>
      <c r="DT68" s="59">
        <f ca="1">AVERAGE(OFFSET($DS$3,0,0,'Données projet'!$E$14+1,1))-AVERAGE(OFFSET($H$3,0,0,'Données projet'!$E$14+1,1))</f>
        <v>295.92103934364718</v>
      </c>
      <c r="DU68" s="59">
        <f t="shared" si="44"/>
        <v>304.84379909635476</v>
      </c>
      <c r="DV68" s="15">
        <f>IF(ISNA(VLOOKUP(A68,'Données projet'!$A$165:$I$185,3,0)),0,VLOOKUP(A68,'Données projet'!$A$165:$I$185,3,0))</f>
        <v>12</v>
      </c>
      <c r="DW68" s="15">
        <f>IF(ISNA(VLOOKUP(A68,'Données projet'!$A$165:$I$185,4,0)),0,VLOOKUP(A68,'Données projet'!$A$165:$I$185,4,0))</f>
        <v>22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2.2301762357242123</v>
      </c>
      <c r="EB68" s="21">
        <f>EXP(-LN(2)/25)*EB67+(1-EXP(-LN(2)/25))/(LN(2)/25)*Calculateur!DW68*Calculateur!DY68*VLOOKUP('Données projet'!$B$14,Paramètres!$A$1:$I$89,3,0)*0.475*44/12</f>
        <v>2.7101585059032147</v>
      </c>
      <c r="EC68" s="21">
        <f>EXP(-LN(2)/2)*EC67+(1-EXP(-LN(2)/2))/(LN(2)/2)*DW68*DZ68*VLOOKUP('Données projet'!$B$14,Paramètres!$A$1:$I$89,3,0)*0.475*44/12</f>
        <v>3.1045514280580692E-5</v>
      </c>
      <c r="ED68" s="22">
        <f t="shared" ref="ED68:ED131" si="72">SUM(EA68:EC68)</f>
        <v>4.9403657871417073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15.5</v>
      </c>
      <c r="N69" s="13">
        <f>IF('Données projet'!$A$36&gt;35,N68+M69-V68,IF(A69&lt;'Données projet'!$A$36,$K$205^A69,IF(A69='Données projet'!$A$36,'Données projet'!$B$36,N68+M69-V68)))</f>
        <v>361.49999999999989</v>
      </c>
      <c r="O69" s="13">
        <f>N69*VLOOKUP('Données projet'!$B$9,Paramètres!$A$1:$I$89,3,0)*VLOOKUP('Données projet'!$B$9,Paramètres!$A$1:$I$89,5,0)</f>
        <v>169.18199999999996</v>
      </c>
      <c r="P69" s="13">
        <f t="shared" ref="P69:P132" si="87">EXP(-1.0587+0.8836*LN(O69)+0.284)</f>
        <v>42.906767398977124</v>
      </c>
      <c r="Q69" s="20">
        <f t="shared" si="54"/>
        <v>369.38793655321842</v>
      </c>
      <c r="R69" s="59">
        <f t="shared" si="55"/>
        <v>662.72126988655168</v>
      </c>
      <c r="S69" s="59">
        <f ca="1">AVERAGE(OFFSET($R$3,0,0,'Données projet'!$E$9+1,1))-AVERAGE(OFFSET($H$3,0,0,'Données projet'!$E$9+1,1))</f>
        <v>319.22903094674564</v>
      </c>
      <c r="T69" s="59">
        <f t="shared" ref="T69:T132" si="88">$T$3</f>
        <v>254.58690973142848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4.4490945166981941</v>
      </c>
      <c r="AA69" s="21">
        <f>EXP(-LN(2)/25)*AA68+(1-EXP(-LN(2)/25))/(LN(2)/25)*Calculateur!V69*Calculateur!X69*VLOOKUP('Données projet'!$B$9,Paramètres!$A$1:$I$89,3,0)*0.475*44/12</f>
        <v>4.1100120319054767</v>
      </c>
      <c r="AB69" s="21">
        <f>EXP(-LN(2)/2)*AB68+(1-EXP(-LN(2)/2))/(LN(2)/2)*V69*Y69*VLOOKUP('Données projet'!$B$9,Paramètres!$A$1:$I$89,3,0)*0.475*44/12</f>
        <v>4.212619264067986E-5</v>
      </c>
      <c r="AC69" s="22">
        <f t="shared" si="57"/>
        <v>8.5591486747963117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-3.4106051316484809E-13</v>
      </c>
      <c r="AJ69" s="13">
        <f>AI69*VLOOKUP('Données projet'!$B$10,Paramètres!$A$1:$I$89,3,0)*VLOOKUP('Données projet'!$B$10,Paramètres!$A$1:$I$89,5,0)</f>
        <v>-1.9065282685915009E-13</v>
      </c>
      <c r="AK69" s="13" t="e">
        <f t="shared" ref="AK69:AK132" si="89">EXP(-1.0587+0.8836*LN(AJ69)+0.284)</f>
        <v>#NUM!</v>
      </c>
      <c r="AL69" s="20" t="e">
        <f t="shared" si="58"/>
        <v>#NUM!</v>
      </c>
      <c r="AM69" s="59" t="e">
        <f t="shared" si="59"/>
        <v>#NUM!</v>
      </c>
      <c r="AN69" s="59">
        <f ca="1">AVERAGE(OFFSET($AM$3,0,0,'Données projet'!$E$10+1,1))-AVERAGE(OFFSET($H$3,0,0,'Données projet'!$E$10+1,1))</f>
        <v>544.48194192356823</v>
      </c>
      <c r="AO69" s="59">
        <f t="shared" ref="AO69:AO132" si="90">$AO$3</f>
        <v>668.20427590250733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3.598690573152036</v>
      </c>
      <c r="AV69" s="21">
        <f>EXP(-LN(2)/25)*AV68+(1-EXP(-LN(2)/25))/(LN(2)/25)*Calculateur!AQ69*Calculateur!AS69*VLOOKUP('Données projet'!$B$10,Paramètres!$A$1:$I$89,3,0)*0.475*44/12</f>
        <v>15.705472377758738</v>
      </c>
      <c r="AW69" s="21">
        <f>EXP(-LN(2)/2)*AW68+(1-EXP(-LN(2)/2))/(LN(2)/2)*AQ69*AT69*VLOOKUP('Données projet'!$B$10,Paramètres!$A$1:$I$89,3,0)*0.475*44/12</f>
        <v>5.5000144061041418E-5</v>
      </c>
      <c r="AX69" s="21">
        <f t="shared" si="60"/>
        <v>19.304217951054838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8.1999999999999993</v>
      </c>
      <c r="BD69" s="12">
        <f>IF('Données projet'!$A$88&gt;35,BD68+BC69-BL68,IF(A69&lt;'Données projet'!$A$88,$BA$205^A69,IF(A69='Données projet'!$A$88,'Données projet'!$B$88,BD68+BC69-BL68)))</f>
        <v>269.2</v>
      </c>
      <c r="BE69" s="13">
        <f>BD69*VLOOKUP('Données projet'!$B$11,Paramètres!$A$1:$I$89,3,0)*VLOOKUP('Données projet'!$B$11,Paramètres!$A$1:$I$89,5,0)</f>
        <v>243.57216</v>
      </c>
      <c r="BF69" s="13">
        <f t="shared" ref="BF69:BF132" si="91">EXP(-1.0587+0.8836*LN(BE69)+0.284)</f>
        <v>59.207435995642292</v>
      </c>
      <c r="BG69" s="20">
        <f t="shared" si="61"/>
        <v>527.34112969241028</v>
      </c>
      <c r="BH69" s="59">
        <f t="shared" si="62"/>
        <v>820.67446302574353</v>
      </c>
      <c r="BI69" s="59">
        <f ca="1">AVERAGE(OFFSET($BH$3,0,0,'Données projet'!$E$11+1,1))-AVERAGE(OFFSET($H$3,0,0,'Données projet'!$E$11+1,1))</f>
        <v>405.7176439604217</v>
      </c>
      <c r="BJ69" s="59">
        <f t="shared" ref="BJ69:BJ132" si="92">$BJ$3</f>
        <v>278.21741231699929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3.5825652042251277</v>
      </c>
      <c r="BQ69" s="21">
        <f>EXP(-LN(2)/25)*BQ68+(1-EXP(-LN(2)/25))/(LN(2)/25)*Calculateur!BL69*Calculateur!BN69*VLOOKUP('Données projet'!$B$11,Paramètres!$A$1:$I$89,3,0)*0.475*44/12</f>
        <v>3.4515466072290133</v>
      </c>
      <c r="BR69" s="21">
        <f>EXP(-LN(2)/2)*BR68+(1-EXP(-LN(2)/2))/(LN(2)/2)*BL69*BO69*VLOOKUP('Données projet'!$B$11,Paramètres!$A$1:$I$89,3,0)*0.475*44/12</f>
        <v>3.2557802541113684E-5</v>
      </c>
      <c r="BS69" s="22">
        <f t="shared" si="63"/>
        <v>7.0341443692566816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5.4</v>
      </c>
      <c r="BY69" s="12">
        <f>IF('Données projet'!$A$114&gt;35,BY68+BX69-CG68,IF(A69&lt;'Données projet'!$A$114,$BV$205^A69,IF(A69='Données projet'!$A$114,'Données projet'!$B$114,BY68+BX69-CG68)))</f>
        <v>235.40000000000009</v>
      </c>
      <c r="BZ69" s="13">
        <f>BY69*VLOOKUP('Données projet'!$B$12,Paramètres!$A$1:$I$89,3,0)*VLOOKUP('Données projet'!$B$12,Paramètres!$A$1:$I$89,5,0)</f>
        <v>205.64544000000012</v>
      </c>
      <c r="CA69" s="13">
        <f t="shared" ref="CA69:CA132" si="93">EXP(-1.0587+0.8836*LN(BZ69)+0.284)</f>
        <v>50.982847417614401</v>
      </c>
      <c r="CB69" s="20">
        <f t="shared" si="64"/>
        <v>446.96093391901189</v>
      </c>
      <c r="CC69" s="59">
        <f t="shared" si="65"/>
        <v>740.29426725234521</v>
      </c>
      <c r="CD69" s="59">
        <f ca="1">AVERAGE(OFFSET($CC$3,0,0,'Données projet'!$E$12+1,1))-AVERAGE(OFFSET($H$3,0,0,'Données projet'!$E$12+1,1))</f>
        <v>381.72225529388083</v>
      </c>
      <c r="CE69" s="59">
        <f t="shared" ref="CE69:CE132" si="94">$CE$3</f>
        <v>360.05900046417361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2.3586184789596532</v>
      </c>
      <c r="CL69" s="21">
        <f>EXP(-LN(2)/25)*CL68+(1-EXP(-LN(2)/25))/(LN(2)/25)*Calculateur!CG69*Calculateur!CI69*VLOOKUP('Données projet'!$B$12,Paramètres!$A$1:$I$89,3,0)*0.475*44/12</f>
        <v>4.1574981835993263</v>
      </c>
      <c r="CM69" s="21">
        <f>EXP(-LN(2)/2)*CM68+(1-EXP(-LN(2)/2))/(LN(2)/2)*CG69*CJ69*VLOOKUP('Données projet'!$B$12,Paramètres!$A$1:$I$89,3,0)*0.475*44/12</f>
        <v>2.6693366292953468E-5</v>
      </c>
      <c r="CN69" s="22">
        <f t="shared" si="66"/>
        <v>6.5161433559252728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3.8</v>
      </c>
      <c r="CT69" s="12">
        <f>IF('Données projet'!$A$140&gt;35,CT68+CS69-DB68,IF(A69&lt;'Données projet'!$A$140,$CQ$205^A69,IF(A69='Données projet'!$A$140,'Données projet'!$B$140,CT68+CS69-DB68)))</f>
        <v>247.79999999999984</v>
      </c>
      <c r="CU69" s="17">
        <f>CT69*VLOOKUP('Données projet'!$B$13,Paramètres!$A$1:$I$89,3,0)*VLOOKUP('Données projet'!$B$13,Paramètres!$A$1:$I$89,5,0)</f>
        <v>197.14967999999988</v>
      </c>
      <c r="CV69" s="13">
        <f t="shared" ref="CV69:CV132" si="95">EXP(-1.0587+0.8836*LN(CU69)+0.284)</f>
        <v>49.11723130862363</v>
      </c>
      <c r="CW69" s="20">
        <f t="shared" si="67"/>
        <v>428.91487052918592</v>
      </c>
      <c r="CX69" s="59">
        <f t="shared" si="68"/>
        <v>722.24820386251918</v>
      </c>
      <c r="CY69" s="59">
        <f ca="1">AVERAGE(OFFSET($CX$3,0,0,'Données projet'!$E$13+1,1))-AVERAGE(OFFSET($H$3,0,0,'Données projet'!$E$13+1,1))</f>
        <v>299.10536994156814</v>
      </c>
      <c r="CZ69" s="59">
        <f t="shared" ref="CZ69:CZ132" si="96">$CZ$3</f>
        <v>292.57799203101769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4.1280717508553941</v>
      </c>
      <c r="DG69" s="21">
        <f>EXP(-LN(2)/25)*DG68+(1-EXP(-LN(2)/25))/(LN(2)/25)*Calculateur!DB69*Calculateur!DD69*VLOOKUP('Données projet'!$B$13,Paramètres!$A$1:$I$89,3,0)*0.475*44/12</f>
        <v>3.9852270148939621</v>
      </c>
      <c r="DH69" s="21">
        <f>EXP(-LN(2)/2)*DH68+(1-EXP(-LN(2)/2))/(LN(2)/2)*DB69*DE69*VLOOKUP('Données projet'!$B$13,Paramètres!$A$1:$I$89,3,0)*0.475*44/12</f>
        <v>3.4227937968540365E-5</v>
      </c>
      <c r="DI69" s="22">
        <f t="shared" si="69"/>
        <v>8.1133329936873242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5.4</v>
      </c>
      <c r="DO69" s="12">
        <f>IF('Données projet'!$A$166&gt;35,DO68+DN69-DW68,IF(A69&lt;'Données projet'!$A$166,$DL$205^A69,IF(A69='Données projet'!$A$166,'Données projet'!$B$166,DO68+DN69-DW68)))</f>
        <v>248.40000000000009</v>
      </c>
      <c r="DP69" s="17">
        <f>DO69*VLOOKUP('Données projet'!$B$14,Paramètres!$A$1:$I$89,3,0)*VLOOKUP('Données projet'!$B$14,Paramètres!$A$1:$I$89,5,0)</f>
        <v>162.75168000000005</v>
      </c>
      <c r="DQ69" s="13">
        <f t="shared" ref="DQ69:DQ132" si="97">EXP(-1.0587+0.8836*LN(DP69)+0.284)</f>
        <v>41.462547229213008</v>
      </c>
      <c r="DR69" s="20">
        <f t="shared" si="70"/>
        <v>355.67311242421277</v>
      </c>
      <c r="DS69" s="59">
        <f t="shared" si="71"/>
        <v>649.00644575754609</v>
      </c>
      <c r="DT69" s="59">
        <f ca="1">AVERAGE(OFFSET($DS$3,0,0,'Données projet'!$E$14+1,1))-AVERAGE(OFFSET($H$3,0,0,'Données projet'!$E$14+1,1))</f>
        <v>295.92103934364718</v>
      </c>
      <c r="DU69" s="59">
        <f t="shared" ref="DU69:DU132" si="98">$DU$3</f>
        <v>304.84379909635476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2.1864438400148485</v>
      </c>
      <c r="EB69" s="21">
        <f>EXP(-LN(2)/25)*EB68+(1-EXP(-LN(2)/25))/(LN(2)/25)*Calculateur!DW69*Calculateur!DY69*VLOOKUP('Données projet'!$B$14,Paramètres!$A$1:$I$89,3,0)*0.475*44/12</f>
        <v>2.6360490790382496</v>
      </c>
      <c r="EC69" s="21">
        <f>EXP(-LN(2)/2)*EC68+(1-EXP(-LN(2)/2))/(LN(2)/2)*DW69*DZ69*VLOOKUP('Données projet'!$B$14,Paramètres!$A$1:$I$89,3,0)*0.475*44/12</f>
        <v>2.1952493673222408E-5</v>
      </c>
      <c r="ED69" s="22">
        <f t="shared" si="72"/>
        <v>4.8225148715467716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15.5</v>
      </c>
      <c r="N70" s="13">
        <f>IF('Données projet'!$A$36&gt;35,N69+M70-V69,IF(A70&lt;'Données projet'!$A$36,$K$205^A70,IF(A70='Données projet'!$A$36,'Données projet'!$B$36,N69+M70-V69)))</f>
        <v>376.99999999999989</v>
      </c>
      <c r="O70" s="13">
        <f>N70*VLOOKUP('Données projet'!$B$9,Paramètres!$A$1:$I$89,3,0)*VLOOKUP('Données projet'!$B$9,Paramètres!$A$1:$I$89,5,0)</f>
        <v>176.43599999999992</v>
      </c>
      <c r="P70" s="13">
        <f t="shared" si="87"/>
        <v>44.52834129105058</v>
      </c>
      <c r="Q70" s="20">
        <f t="shared" si="54"/>
        <v>384.84622774857962</v>
      </c>
      <c r="R70" s="59">
        <f t="shared" si="55"/>
        <v>678.17956108191288</v>
      </c>
      <c r="S70" s="59">
        <f ca="1">AVERAGE(OFFSET($R$3,0,0,'Données projet'!$E$9+1,1))-AVERAGE(OFFSET($H$3,0,0,'Données projet'!$E$9+1,1))</f>
        <v>319.22903094674564</v>
      </c>
      <c r="T70" s="59">
        <f t="shared" si="88"/>
        <v>254.58690973142848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4.3618504869054444</v>
      </c>
      <c r="AA70" s="21">
        <f>EXP(-LN(2)/25)*AA69+(1-EXP(-LN(2)/25))/(LN(2)/25)*Calculateur!V70*Calculateur!X70*VLOOKUP('Données projet'!$B$9,Paramètres!$A$1:$I$89,3,0)*0.475*44/12</f>
        <v>3.9976235367568824</v>
      </c>
      <c r="AB70" s="21">
        <f>EXP(-LN(2)/2)*AB69+(1-EXP(-LN(2)/2))/(LN(2)/2)*V70*Y70*VLOOKUP('Données projet'!$B$9,Paramètres!$A$1:$I$89,3,0)*0.475*44/12</f>
        <v>2.9787716481795566E-5</v>
      </c>
      <c r="AC70" s="22">
        <f t="shared" si="57"/>
        <v>8.3595038113788078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-3.4106051316484809E-13</v>
      </c>
      <c r="AJ70" s="13">
        <f>AI70*VLOOKUP('Données projet'!$B$10,Paramètres!$A$1:$I$89,3,0)*VLOOKUP('Données projet'!$B$10,Paramètres!$A$1:$I$89,5,0)</f>
        <v>-1.9065282685915009E-13</v>
      </c>
      <c r="AK70" s="13" t="e">
        <f t="shared" si="89"/>
        <v>#NUM!</v>
      </c>
      <c r="AL70" s="20" t="e">
        <f t="shared" si="58"/>
        <v>#NUM!</v>
      </c>
      <c r="AM70" s="59" t="e">
        <f t="shared" si="59"/>
        <v>#NUM!</v>
      </c>
      <c r="AN70" s="59">
        <f ca="1">AVERAGE(OFFSET($AM$3,0,0,'Données projet'!$E$10+1,1))-AVERAGE(OFFSET($H$3,0,0,'Données projet'!$E$10+1,1))</f>
        <v>544.48194192356823</v>
      </c>
      <c r="AO70" s="59">
        <f t="shared" si="90"/>
        <v>668.20427590250733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3.5281224459970373</v>
      </c>
      <c r="AV70" s="21">
        <f>EXP(-LN(2)/25)*AV69+(1-EXP(-LN(2)/25))/(LN(2)/25)*Calculateur!AQ70*Calculateur!AS70*VLOOKUP('Données projet'!$B$10,Paramètres!$A$1:$I$89,3,0)*0.475*44/12</f>
        <v>15.276005409674029</v>
      </c>
      <c r="AW70" s="21">
        <f>EXP(-LN(2)/2)*AW69+(1-EXP(-LN(2)/2))/(LN(2)/2)*AQ70*AT70*VLOOKUP('Données projet'!$B$10,Paramètres!$A$1:$I$89,3,0)*0.475*44/12</f>
        <v>3.8890974831799405E-5</v>
      </c>
      <c r="AX70" s="21">
        <f t="shared" si="60"/>
        <v>18.804166746645897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8.1999999999999993</v>
      </c>
      <c r="BD70" s="12">
        <f>IF('Données projet'!$A$88&gt;35,BD69+BC70-BL69,IF(A70&lt;'Données projet'!$A$88,$BA$205^A70,IF(A70='Données projet'!$A$88,'Données projet'!$B$88,BD69+BC70-BL69)))</f>
        <v>277.39999999999998</v>
      </c>
      <c r="BE70" s="13">
        <f>BD70*VLOOKUP('Données projet'!$B$11,Paramètres!$A$1:$I$89,3,0)*VLOOKUP('Données projet'!$B$11,Paramètres!$A$1:$I$89,5,0)</f>
        <v>250.99151999999995</v>
      </c>
      <c r="BF70" s="13">
        <f t="shared" si="91"/>
        <v>60.798211000769406</v>
      </c>
      <c r="BG70" s="20">
        <f t="shared" si="61"/>
        <v>543.03378149300659</v>
      </c>
      <c r="BH70" s="59">
        <f t="shared" si="62"/>
        <v>836.36711482633996</v>
      </c>
      <c r="BI70" s="59">
        <f ca="1">AVERAGE(OFFSET($BH$3,0,0,'Données projet'!$E$11+1,1))-AVERAGE(OFFSET($H$3,0,0,'Données projet'!$E$11+1,1))</f>
        <v>405.7176439604217</v>
      </c>
      <c r="BJ70" s="59">
        <f t="shared" si="92"/>
        <v>278.21741231699929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3.5123132857192818</v>
      </c>
      <c r="BQ70" s="21">
        <f>EXP(-LN(2)/25)*BQ69+(1-EXP(-LN(2)/25))/(LN(2)/25)*Calculateur!BL70*Calculateur!BN70*VLOOKUP('Données projet'!$B$11,Paramètres!$A$1:$I$89,3,0)*0.475*44/12</f>
        <v>3.3571638837453883</v>
      </c>
      <c r="BR70" s="21">
        <f>EXP(-LN(2)/2)*BR69+(1-EXP(-LN(2)/2))/(LN(2)/2)*BL70*BO70*VLOOKUP('Données projet'!$B$11,Paramètres!$A$1:$I$89,3,0)*0.475*44/12</f>
        <v>2.3021842957354095E-5</v>
      </c>
      <c r="BS70" s="22">
        <f t="shared" si="63"/>
        <v>6.869500191307627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5.4</v>
      </c>
      <c r="BY70" s="12">
        <f>IF('Données projet'!$A$114&gt;35,BY69+BX70-CG69,IF(A70&lt;'Données projet'!$A$114,$BV$205^A70,IF(A70='Données projet'!$A$114,'Données projet'!$B$114,BY69+BX70-CG69)))</f>
        <v>240.8000000000001</v>
      </c>
      <c r="BZ70" s="13">
        <f>BY70*VLOOKUP('Données projet'!$B$12,Paramètres!$A$1:$I$89,3,0)*VLOOKUP('Données projet'!$B$12,Paramètres!$A$1:$I$89,5,0)</f>
        <v>210.3628800000001</v>
      </c>
      <c r="CA70" s="13">
        <f t="shared" si="93"/>
        <v>52.014876138342963</v>
      </c>
      <c r="CB70" s="20">
        <f t="shared" si="64"/>
        <v>456.97459194094745</v>
      </c>
      <c r="CC70" s="59">
        <f t="shared" si="65"/>
        <v>750.30792527428071</v>
      </c>
      <c r="CD70" s="59">
        <f ca="1">AVERAGE(OFFSET($CC$3,0,0,'Données projet'!$E$12+1,1))-AVERAGE(OFFSET($H$3,0,0,'Données projet'!$E$12+1,1))</f>
        <v>381.72225529388083</v>
      </c>
      <c r="CE70" s="59">
        <f t="shared" si="94"/>
        <v>360.05900046417361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2.3123674092024751</v>
      </c>
      <c r="CL70" s="21">
        <f>EXP(-LN(2)/25)*CL69+(1-EXP(-LN(2)/25))/(LN(2)/25)*Calculateur!CG70*Calculateur!CI70*VLOOKUP('Données projet'!$B$12,Paramètres!$A$1:$I$89,3,0)*0.475*44/12</f>
        <v>4.043811177135475</v>
      </c>
      <c r="CM70" s="21">
        <f>EXP(-LN(2)/2)*CM69+(1-EXP(-LN(2)/2))/(LN(2)/2)*CG70*CJ70*VLOOKUP('Données projet'!$B$12,Paramètres!$A$1:$I$89,3,0)*0.475*44/12</f>
        <v>1.8875060318443811E-5</v>
      </c>
      <c r="CN70" s="22">
        <f t="shared" si="66"/>
        <v>6.3561974613982688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3.8</v>
      </c>
      <c r="CT70" s="12">
        <f>IF('Données projet'!$A$140&gt;35,CT69+CS70-DB69,IF(A70&lt;'Données projet'!$A$140,$CQ$205^A70,IF(A70='Données projet'!$A$140,'Données projet'!$B$140,CT69+CS70-DB69)))</f>
        <v>251.59999999999985</v>
      </c>
      <c r="CU70" s="17">
        <f>CT70*VLOOKUP('Données projet'!$B$13,Paramètres!$A$1:$I$89,3,0)*VLOOKUP('Données projet'!$B$13,Paramètres!$A$1:$I$89,5,0)</f>
        <v>200.17295999999988</v>
      </c>
      <c r="CV70" s="13">
        <f t="shared" si="95"/>
        <v>49.782177185855986</v>
      </c>
      <c r="CW70" s="20">
        <f t="shared" si="67"/>
        <v>435.33853059869892</v>
      </c>
      <c r="CX70" s="59">
        <f t="shared" si="68"/>
        <v>728.67186393203224</v>
      </c>
      <c r="CY70" s="59">
        <f ca="1">AVERAGE(OFFSET($CX$3,0,0,'Données projet'!$E$13+1,1))-AVERAGE(OFFSET($H$3,0,0,'Données projet'!$E$13+1,1))</f>
        <v>299.10536994156814</v>
      </c>
      <c r="CZ70" s="59">
        <f t="shared" si="96"/>
        <v>292.57799203101769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4.0471227816962685</v>
      </c>
      <c r="DG70" s="21">
        <f>EXP(-LN(2)/25)*DG69+(1-EXP(-LN(2)/25))/(LN(2)/25)*Calculateur!DB70*Calculateur!DD70*VLOOKUP('Données projet'!$B$13,Paramètres!$A$1:$I$89,3,0)*0.475*44/12</f>
        <v>3.8762507725977065</v>
      </c>
      <c r="DH70" s="21">
        <f>EXP(-LN(2)/2)*DH69+(1-EXP(-LN(2)/2))/(LN(2)/2)*DB70*DE70*VLOOKUP('Données projet'!$B$13,Paramètres!$A$1:$I$89,3,0)*0.475*44/12</f>
        <v>2.4202807043587394E-5</v>
      </c>
      <c r="DI70" s="22">
        <f t="shared" si="69"/>
        <v>7.9233977571010188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5.4</v>
      </c>
      <c r="DO70" s="12">
        <f>IF('Données projet'!$A$166&gt;35,DO69+DN70-DW69,IF(A70&lt;'Données projet'!$A$166,$DL$205^A70,IF(A70='Données projet'!$A$166,'Données projet'!$B$166,DO69+DN70-DW69)))</f>
        <v>253.8000000000001</v>
      </c>
      <c r="DP70" s="17">
        <f>DO70*VLOOKUP('Données projet'!$B$14,Paramètres!$A$1:$I$89,3,0)*VLOOKUP('Données projet'!$B$14,Paramètres!$A$1:$I$89,5,0)</f>
        <v>166.28976000000006</v>
      </c>
      <c r="DQ70" s="13">
        <f t="shared" si="97"/>
        <v>42.257989067732332</v>
      </c>
      <c r="DR70" s="20">
        <f t="shared" si="70"/>
        <v>363.2206629596339</v>
      </c>
      <c r="DS70" s="59">
        <f t="shared" si="71"/>
        <v>656.55399629296721</v>
      </c>
      <c r="DT70" s="59">
        <f ca="1">AVERAGE(OFFSET($DS$3,0,0,'Données projet'!$E$14+1,1))-AVERAGE(OFFSET($H$3,0,0,'Données projet'!$E$14+1,1))</f>
        <v>295.92103934364718</v>
      </c>
      <c r="DU70" s="59">
        <f t="shared" si="98"/>
        <v>304.84379909635476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2.1435690099112179</v>
      </c>
      <c r="EB70" s="21">
        <f>EXP(-LN(2)/25)*EB69+(1-EXP(-LN(2)/25))/(LN(2)/25)*Calculateur!DW70*Calculateur!DY70*VLOOKUP('Données projet'!$B$14,Paramètres!$A$1:$I$89,3,0)*0.475*44/12</f>
        <v>2.5639661783481524</v>
      </c>
      <c r="EC70" s="21">
        <f>EXP(-LN(2)/2)*EC69+(1-EXP(-LN(2)/2))/(LN(2)/2)*DW70*DZ70*VLOOKUP('Données projet'!$B$14,Paramètres!$A$1:$I$89,3,0)*0.475*44/12</f>
        <v>1.5522757140290346E-5</v>
      </c>
      <c r="ED70" s="22">
        <f t="shared" si="72"/>
        <v>4.7075507110165109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15.5</v>
      </c>
      <c r="N71" s="13">
        <f>IF('Données projet'!$A$36&gt;35,N70+M71-V70,IF(A71&lt;'Données projet'!$A$36,$K$205^A71,IF(A71='Données projet'!$A$36,'Données projet'!$B$36,N70+M71-V70)))</f>
        <v>392.49999999999989</v>
      </c>
      <c r="O71" s="13">
        <f>N71*VLOOKUP('Données projet'!$B$9,Paramètres!$A$1:$I$89,3,0)*VLOOKUP('Données projet'!$B$9,Paramètres!$A$1:$I$89,5,0)</f>
        <v>183.68999999999994</v>
      </c>
      <c r="P71" s="13">
        <f t="shared" si="87"/>
        <v>46.14217109072662</v>
      </c>
      <c r="Q71" s="20">
        <f t="shared" si="54"/>
        <v>400.29103131634878</v>
      </c>
      <c r="R71" s="59">
        <f t="shared" si="55"/>
        <v>693.62436464968209</v>
      </c>
      <c r="S71" s="59">
        <f ca="1">AVERAGE(OFFSET($R$3,0,0,'Données projet'!$E$9+1,1))-AVERAGE(OFFSET($H$3,0,0,'Données projet'!$E$9+1,1))</f>
        <v>319.22903094674564</v>
      </c>
      <c r="T71" s="59">
        <f t="shared" si="88"/>
        <v>254.58690973142848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4.2763172593233261</v>
      </c>
      <c r="AA71" s="21">
        <f>EXP(-LN(2)/25)*AA70+(1-EXP(-LN(2)/25))/(LN(2)/25)*Calculateur!V71*Calculateur!X71*VLOOKUP('Données projet'!$B$9,Paramètres!$A$1:$I$89,3,0)*0.475*44/12</f>
        <v>3.8883083109183803</v>
      </c>
      <c r="AB71" s="21">
        <f>EXP(-LN(2)/2)*AB70+(1-EXP(-LN(2)/2))/(LN(2)/2)*V71*Y71*VLOOKUP('Données projet'!$B$9,Paramètres!$A$1:$I$89,3,0)*0.475*44/12</f>
        <v>2.1063096320339933E-5</v>
      </c>
      <c r="AC71" s="22">
        <f t="shared" si="57"/>
        <v>8.1646466333380268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-3.4106051316484809E-13</v>
      </c>
      <c r="AJ71" s="13">
        <f>AI71*VLOOKUP('Données projet'!$B$10,Paramètres!$A$1:$I$89,3,0)*VLOOKUP('Données projet'!$B$10,Paramètres!$A$1:$I$89,5,0)</f>
        <v>-1.9065282685915009E-13</v>
      </c>
      <c r="AK71" s="13" t="e">
        <f t="shared" si="89"/>
        <v>#NUM!</v>
      </c>
      <c r="AL71" s="20" t="e">
        <f t="shared" si="58"/>
        <v>#NUM!</v>
      </c>
      <c r="AM71" s="59" t="e">
        <f t="shared" si="59"/>
        <v>#NUM!</v>
      </c>
      <c r="AN71" s="59">
        <f ca="1">AVERAGE(OFFSET($AM$3,0,0,'Données projet'!$E$10+1,1))-AVERAGE(OFFSET($H$3,0,0,'Données projet'!$E$10+1,1))</f>
        <v>544.48194192356823</v>
      </c>
      <c r="AO71" s="59">
        <f t="shared" si="90"/>
        <v>668.20427590250733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3.4589381167732407</v>
      </c>
      <c r="AV71" s="21">
        <f>EXP(-LN(2)/25)*AV70+(1-EXP(-LN(2)/25))/(LN(2)/25)*Calculateur!AQ71*Calculateur!AS71*VLOOKUP('Données projet'!$B$10,Paramètres!$A$1:$I$89,3,0)*0.475*44/12</f>
        <v>14.858282238416283</v>
      </c>
      <c r="AW71" s="21">
        <f>EXP(-LN(2)/2)*AW70+(1-EXP(-LN(2)/2))/(LN(2)/2)*AQ71*AT71*VLOOKUP('Données projet'!$B$10,Paramètres!$A$1:$I$89,3,0)*0.475*44/12</f>
        <v>2.7500072030520709E-5</v>
      </c>
      <c r="AX71" s="21">
        <f t="shared" si="60"/>
        <v>18.317247855261552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8.1999999999999993</v>
      </c>
      <c r="BD71" s="12">
        <f>IF('Données projet'!$A$88&gt;35,BD70+BC71-BL70,IF(A71&lt;'Données projet'!$A$88,$BA$205^A71,IF(A71='Données projet'!$A$88,'Données projet'!$B$88,BD70+BC71-BL70)))</f>
        <v>285.59999999999997</v>
      </c>
      <c r="BE71" s="13">
        <f>BD71*VLOOKUP('Données projet'!$B$11,Paramètres!$A$1:$I$89,3,0)*VLOOKUP('Données projet'!$B$11,Paramètres!$A$1:$I$89,5,0)</f>
        <v>258.41087999999996</v>
      </c>
      <c r="BF71" s="13">
        <f t="shared" si="91"/>
        <v>62.383521020316756</v>
      </c>
      <c r="BG71" s="20">
        <f t="shared" si="61"/>
        <v>558.71691511038489</v>
      </c>
      <c r="BH71" s="59">
        <f t="shared" si="62"/>
        <v>852.05024844371815</v>
      </c>
      <c r="BI71" s="59">
        <f ca="1">AVERAGE(OFFSET($BH$3,0,0,'Données projet'!$E$11+1,1))-AVERAGE(OFFSET($H$3,0,0,'Données projet'!$E$11+1,1))</f>
        <v>405.7176439604217</v>
      </c>
      <c r="BJ71" s="59">
        <f t="shared" si="92"/>
        <v>278.21741231699929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3.4434389644858965</v>
      </c>
      <c r="BQ71" s="21">
        <f>EXP(-LN(2)/25)*BQ70+(1-EXP(-LN(2)/25))/(LN(2)/25)*Calculateur!BL71*Calculateur!BN71*VLOOKUP('Données projet'!$B$11,Paramètres!$A$1:$I$89,3,0)*0.475*44/12</f>
        <v>3.265362060798795</v>
      </c>
      <c r="BR71" s="21">
        <f>EXP(-LN(2)/2)*BR70+(1-EXP(-LN(2)/2))/(LN(2)/2)*BL71*BO71*VLOOKUP('Données projet'!$B$11,Paramètres!$A$1:$I$89,3,0)*0.475*44/12</f>
        <v>1.6278901270556842E-5</v>
      </c>
      <c r="BS71" s="22">
        <f t="shared" si="63"/>
        <v>6.7088173041859616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5.4</v>
      </c>
      <c r="BY71" s="12">
        <f>IF('Données projet'!$A$114&gt;35,BY70+BX71-CG70,IF(A71&lt;'Données projet'!$A$114,$BV$205^A71,IF(A71='Données projet'!$A$114,'Données projet'!$B$114,BY70+BX71-CG70)))</f>
        <v>246.2000000000001</v>
      </c>
      <c r="BZ71" s="13">
        <f>BY71*VLOOKUP('Données projet'!$B$12,Paramètres!$A$1:$I$89,3,0)*VLOOKUP('Données projet'!$B$12,Paramètres!$A$1:$I$89,5,0)</f>
        <v>215.08032000000011</v>
      </c>
      <c r="CA71" s="13">
        <f t="shared" si="93"/>
        <v>53.044214230061506</v>
      </c>
      <c r="CB71" s="20">
        <f t="shared" si="64"/>
        <v>466.983563784024</v>
      </c>
      <c r="CC71" s="59">
        <f t="shared" si="65"/>
        <v>760.31689711735726</v>
      </c>
      <c r="CD71" s="59">
        <f ca="1">AVERAGE(OFFSET($CC$3,0,0,'Données projet'!$E$12+1,1))-AVERAGE(OFFSET($H$3,0,0,'Données projet'!$E$12+1,1))</f>
        <v>381.72225529388083</v>
      </c>
      <c r="CE71" s="59">
        <f t="shared" si="94"/>
        <v>360.05900046417361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2.2670232947128683</v>
      </c>
      <c r="CL71" s="21">
        <f>EXP(-LN(2)/25)*CL70+(1-EXP(-LN(2)/25))/(LN(2)/25)*Calculateur!CG71*Calculateur!CI71*VLOOKUP('Données projet'!$B$12,Paramètres!$A$1:$I$89,3,0)*0.475*44/12</f>
        <v>3.9332329478419177</v>
      </c>
      <c r="CM71" s="21">
        <f>EXP(-LN(2)/2)*CM70+(1-EXP(-LN(2)/2))/(LN(2)/2)*CG71*CJ71*VLOOKUP('Données projet'!$B$12,Paramètres!$A$1:$I$89,3,0)*0.475*44/12</f>
        <v>1.3346683146476734E-5</v>
      </c>
      <c r="CN71" s="22">
        <f t="shared" si="66"/>
        <v>6.2002695892379327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3.8</v>
      </c>
      <c r="CT71" s="12">
        <f>IF('Données projet'!$A$140&gt;35,CT70+CS71-DB70,IF(A71&lt;'Données projet'!$A$140,$CQ$205^A71,IF(A71='Données projet'!$A$140,'Données projet'!$B$140,CT70+CS71-DB70)))</f>
        <v>255.39999999999986</v>
      </c>
      <c r="CU71" s="17">
        <f>CT71*VLOOKUP('Données projet'!$B$13,Paramètres!$A$1:$I$89,3,0)*VLOOKUP('Données projet'!$B$13,Paramètres!$A$1:$I$89,5,0)</f>
        <v>203.1962399999999</v>
      </c>
      <c r="CV71" s="13">
        <f t="shared" si="95"/>
        <v>50.445955049216174</v>
      </c>
      <c r="CW71" s="20">
        <f t="shared" si="67"/>
        <v>441.76015637738465</v>
      </c>
      <c r="CX71" s="59">
        <f t="shared" si="68"/>
        <v>735.0934897107179</v>
      </c>
      <c r="CY71" s="59">
        <f ca="1">AVERAGE(OFFSET($CX$3,0,0,'Données projet'!$E$13+1,1))-AVERAGE(OFFSET($H$3,0,0,'Données projet'!$E$13+1,1))</f>
        <v>299.10536994156814</v>
      </c>
      <c r="CZ71" s="59">
        <f t="shared" si="96"/>
        <v>292.57799203101769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3.9677611724483572</v>
      </c>
      <c r="DG71" s="21">
        <f>EXP(-LN(2)/25)*DG70+(1-EXP(-LN(2)/25))/(LN(2)/25)*Calculateur!DB71*Calculateur!DD71*VLOOKUP('Données projet'!$B$13,Paramètres!$A$1:$I$89,3,0)*0.475*44/12</f>
        <v>3.7702544913778535</v>
      </c>
      <c r="DH71" s="21">
        <f>EXP(-LN(2)/2)*DH70+(1-EXP(-LN(2)/2))/(LN(2)/2)*DB71*DE71*VLOOKUP('Données projet'!$B$13,Paramètres!$A$1:$I$89,3,0)*0.475*44/12</f>
        <v>1.7113968984270182E-5</v>
      </c>
      <c r="DI71" s="22">
        <f t="shared" si="69"/>
        <v>7.7380327777951949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5.4</v>
      </c>
      <c r="DO71" s="12">
        <f>IF('Données projet'!$A$166&gt;35,DO70+DN71-DW70,IF(A71&lt;'Données projet'!$A$166,$DL$205^A71,IF(A71='Données projet'!$A$166,'Données projet'!$B$166,DO70+DN71-DW70)))</f>
        <v>259.2000000000001</v>
      </c>
      <c r="DP71" s="17">
        <f>DO71*VLOOKUP('Données projet'!$B$14,Paramètres!$A$1:$I$89,3,0)*VLOOKUP('Données projet'!$B$14,Paramètres!$A$1:$I$89,5,0)</f>
        <v>169.82784000000007</v>
      </c>
      <c r="DQ71" s="13">
        <f t="shared" si="97"/>
        <v>43.051463198873812</v>
      </c>
      <c r="DR71" s="20">
        <f t="shared" si="70"/>
        <v>370.76478640470532</v>
      </c>
      <c r="DS71" s="59">
        <f t="shared" si="71"/>
        <v>664.09811973803858</v>
      </c>
      <c r="DT71" s="59">
        <f ca="1">AVERAGE(OFFSET($DS$3,0,0,'Données projet'!$E$14+1,1))-AVERAGE(OFFSET($H$3,0,0,'Données projet'!$E$14+1,1))</f>
        <v>295.92103934364718</v>
      </c>
      <c r="DU71" s="59">
        <f t="shared" si="98"/>
        <v>304.84379909635476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2.1015349290748553</v>
      </c>
      <c r="EB71" s="21">
        <f>EXP(-LN(2)/25)*EB70+(1-EXP(-LN(2)/25))/(LN(2)/25)*Calculateur!DW71*Calculateur!DY71*VLOOKUP('Données projet'!$B$14,Paramètres!$A$1:$I$89,3,0)*0.475*44/12</f>
        <v>2.493854388368101</v>
      </c>
      <c r="EC71" s="21">
        <f>EXP(-LN(2)/2)*EC70+(1-EXP(-LN(2)/2))/(LN(2)/2)*DW71*DZ71*VLOOKUP('Données projet'!$B$14,Paramètres!$A$1:$I$89,3,0)*0.475*44/12</f>
        <v>1.0976246836611204E-5</v>
      </c>
      <c r="ED71" s="22">
        <f t="shared" si="72"/>
        <v>4.5954002936897931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15.5</v>
      </c>
      <c r="N72" s="13">
        <f>IF('Données projet'!$A$36&gt;35,N71+M72-V71,IF(A72&lt;'Données projet'!$A$36,$K$205^A72,IF(A72='Données projet'!$A$36,'Données projet'!$B$36,N71+M72-V71)))</f>
        <v>407.99999999999989</v>
      </c>
      <c r="O72" s="13">
        <f>N72*VLOOKUP('Données projet'!$B$9,Paramètres!$A$1:$I$89,3,0)*VLOOKUP('Données projet'!$B$9,Paramètres!$A$1:$I$89,5,0)</f>
        <v>190.94399999999996</v>
      </c>
      <c r="P72" s="13">
        <f t="shared" si="87"/>
        <v>47.748597609826554</v>
      </c>
      <c r="Q72" s="20">
        <f t="shared" si="54"/>
        <v>415.72294083711449</v>
      </c>
      <c r="R72" s="59">
        <f t="shared" si="55"/>
        <v>709.05627417044775</v>
      </c>
      <c r="S72" s="59">
        <f ca="1">AVERAGE(OFFSET($R$3,0,0,'Données projet'!$E$9+1,1))-AVERAGE(OFFSET($H$3,0,0,'Données projet'!$E$9+1,1))</f>
        <v>319.22903094674564</v>
      </c>
      <c r="T72" s="59">
        <f t="shared" si="88"/>
        <v>254.58690973142848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4.1924612861639758</v>
      </c>
      <c r="AA72" s="21">
        <f>EXP(-LN(2)/25)*AA71+(1-EXP(-LN(2)/25))/(LN(2)/25)*Calculateur!V72*Calculateur!X72*VLOOKUP('Données projet'!$B$9,Paramètres!$A$1:$I$89,3,0)*0.475*44/12</f>
        <v>3.7819823156790697</v>
      </c>
      <c r="AB72" s="21">
        <f>EXP(-LN(2)/2)*AB71+(1-EXP(-LN(2)/2))/(LN(2)/2)*V72*Y72*VLOOKUP('Données projet'!$B$9,Paramètres!$A$1:$I$89,3,0)*0.475*44/12</f>
        <v>1.4893858240897785E-5</v>
      </c>
      <c r="AC72" s="22">
        <f t="shared" si="57"/>
        <v>7.9744584957012865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-3.4106051316484809E-13</v>
      </c>
      <c r="AJ72" s="13">
        <f>AI72*VLOOKUP('Données projet'!$B$10,Paramètres!$A$1:$I$89,3,0)*VLOOKUP('Données projet'!$B$10,Paramètres!$A$1:$I$89,5,0)</f>
        <v>-1.9065282685915009E-13</v>
      </c>
      <c r="AK72" s="13" t="e">
        <f t="shared" si="89"/>
        <v>#NUM!</v>
      </c>
      <c r="AL72" s="20" t="e">
        <f t="shared" si="58"/>
        <v>#NUM!</v>
      </c>
      <c r="AM72" s="59" t="e">
        <f t="shared" si="59"/>
        <v>#NUM!</v>
      </c>
      <c r="AN72" s="59">
        <f ca="1">AVERAGE(OFFSET($AM$3,0,0,'Données projet'!$E$10+1,1))-AVERAGE(OFFSET($H$3,0,0,'Données projet'!$E$10+1,1))</f>
        <v>544.48194192356823</v>
      </c>
      <c r="AO72" s="59">
        <f t="shared" si="90"/>
        <v>668.20427590250733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3.3911104500472486</v>
      </c>
      <c r="AV72" s="21">
        <f>EXP(-LN(2)/25)*AV71+(1-EXP(-LN(2)/25))/(LN(2)/25)*Calculateur!AQ72*Calculateur!AS72*VLOOKUP('Données projet'!$B$10,Paramètres!$A$1:$I$89,3,0)*0.475*44/12</f>
        <v>14.451981729243686</v>
      </c>
      <c r="AW72" s="21">
        <f>EXP(-LN(2)/2)*AW71+(1-EXP(-LN(2)/2))/(LN(2)/2)*AQ72*AT72*VLOOKUP('Données projet'!$B$10,Paramètres!$A$1:$I$89,3,0)*0.475*44/12</f>
        <v>1.9445487415899702E-5</v>
      </c>
      <c r="AX72" s="21">
        <f t="shared" si="60"/>
        <v>17.843111624778352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8.1999999999999993</v>
      </c>
      <c r="BD72" s="12">
        <f>IF('Données projet'!$A$88&gt;35,BD71+BC72-BL71,IF(A72&lt;'Données projet'!$A$88,$BA$205^A72,IF(A72='Données projet'!$A$88,'Données projet'!$B$88,BD71+BC72-BL71)))</f>
        <v>293.79999999999995</v>
      </c>
      <c r="BE72" s="13">
        <f>BD72*VLOOKUP('Données projet'!$B$11,Paramètres!$A$1:$I$89,3,0)*VLOOKUP('Données projet'!$B$11,Paramètres!$A$1:$I$89,5,0)</f>
        <v>265.83023999999995</v>
      </c>
      <c r="BF72" s="13">
        <f t="shared" si="91"/>
        <v>63.963540982526439</v>
      </c>
      <c r="BG72" s="20">
        <f t="shared" si="61"/>
        <v>574.39083521123348</v>
      </c>
      <c r="BH72" s="59">
        <f t="shared" si="62"/>
        <v>867.72416854456674</v>
      </c>
      <c r="BI72" s="59">
        <f ca="1">AVERAGE(OFFSET($BH$3,0,0,'Données projet'!$E$11+1,1))-AVERAGE(OFFSET($H$3,0,0,'Données projet'!$E$11+1,1))</f>
        <v>405.7176439604217</v>
      </c>
      <c r="BJ72" s="59">
        <f t="shared" si="92"/>
        <v>278.21741231699929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3.3759152266827099</v>
      </c>
      <c r="BQ72" s="21">
        <f>EXP(-LN(2)/25)*BQ71+(1-EXP(-LN(2)/25))/(LN(2)/25)*Calculateur!BL72*Calculateur!BN72*VLOOKUP('Données projet'!$B$11,Paramètres!$A$1:$I$89,3,0)*0.475*44/12</f>
        <v>3.1760705635283242</v>
      </c>
      <c r="BR72" s="21">
        <f>EXP(-LN(2)/2)*BR71+(1-EXP(-LN(2)/2))/(LN(2)/2)*BL72*BO72*VLOOKUP('Données projet'!$B$11,Paramètres!$A$1:$I$89,3,0)*0.475*44/12</f>
        <v>1.1510921478677047E-5</v>
      </c>
      <c r="BS72" s="22">
        <f t="shared" si="63"/>
        <v>6.5519973011325137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5.4</v>
      </c>
      <c r="BY72" s="12">
        <f>IF('Données projet'!$A$114&gt;35,BY71+BX72-CG71,IF(A72&lt;'Données projet'!$A$114,$BV$205^A72,IF(A72='Données projet'!$A$114,'Données projet'!$B$114,BY71+BX72-CG71)))</f>
        <v>251.60000000000011</v>
      </c>
      <c r="BZ72" s="13">
        <f>BY72*VLOOKUP('Données projet'!$B$12,Paramètres!$A$1:$I$89,3,0)*VLOOKUP('Données projet'!$B$12,Paramètres!$A$1:$I$89,5,0)</f>
        <v>219.79776000000012</v>
      </c>
      <c r="CA72" s="13">
        <f t="shared" si="93"/>
        <v>54.070927503307431</v>
      </c>
      <c r="CB72" s="20">
        <f t="shared" si="64"/>
        <v>476.98796406826068</v>
      </c>
      <c r="CC72" s="59">
        <f t="shared" si="65"/>
        <v>770.32129740159394</v>
      </c>
      <c r="CD72" s="59">
        <f ca="1">AVERAGE(OFFSET($CC$3,0,0,'Données projet'!$E$12+1,1))-AVERAGE(OFFSET($H$3,0,0,'Données projet'!$E$12+1,1))</f>
        <v>381.72225529388083</v>
      </c>
      <c r="CE72" s="59">
        <f t="shared" si="94"/>
        <v>360.05900046417361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2.2225683506512239</v>
      </c>
      <c r="CL72" s="21">
        <f>EXP(-LN(2)/25)*CL71+(1-EXP(-LN(2)/25))/(LN(2)/25)*Calculateur!CG72*Calculateur!CI72*VLOOKUP('Données projet'!$B$12,Paramètres!$A$1:$I$89,3,0)*0.475*44/12</f>
        <v>3.8256784860434494</v>
      </c>
      <c r="CM72" s="21">
        <f>EXP(-LN(2)/2)*CM71+(1-EXP(-LN(2)/2))/(LN(2)/2)*CG72*CJ72*VLOOKUP('Données projet'!$B$12,Paramètres!$A$1:$I$89,3,0)*0.475*44/12</f>
        <v>9.4375301592219054E-6</v>
      </c>
      <c r="CN72" s="22">
        <f t="shared" si="66"/>
        <v>6.0482562742248325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3.8</v>
      </c>
      <c r="CT72" s="12">
        <f>IF('Données projet'!$A$140&gt;35,CT71+CS72-DB71,IF(A72&lt;'Données projet'!$A$140,$CQ$205^A72,IF(A72='Données projet'!$A$140,'Données projet'!$B$140,CT71+CS72-DB71)))</f>
        <v>259.19999999999987</v>
      </c>
      <c r="CU72" s="17">
        <f>CT72*VLOOKUP('Données projet'!$B$13,Paramètres!$A$1:$I$89,3,0)*VLOOKUP('Données projet'!$B$13,Paramètres!$A$1:$I$89,5,0)</f>
        <v>206.21951999999993</v>
      </c>
      <c r="CV72" s="13">
        <f t="shared" si="95"/>
        <v>51.10858428464028</v>
      </c>
      <c r="CW72" s="20">
        <f t="shared" si="67"/>
        <v>448.17978162908167</v>
      </c>
      <c r="CX72" s="59">
        <f t="shared" si="68"/>
        <v>741.51311496241499</v>
      </c>
      <c r="CY72" s="59">
        <f ca="1">AVERAGE(OFFSET($CX$3,0,0,'Données projet'!$E$13+1,1))-AVERAGE(OFFSET($H$3,0,0,'Données projet'!$E$13+1,1))</f>
        <v>299.10536994156814</v>
      </c>
      <c r="CZ72" s="59">
        <f t="shared" si="96"/>
        <v>292.57799203101769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3.8899557959519955</v>
      </c>
      <c r="DG72" s="21">
        <f>EXP(-LN(2)/25)*DG71+(1-EXP(-LN(2)/25))/(LN(2)/25)*Calculateur!DB72*Calculateur!DD72*VLOOKUP('Données projet'!$B$13,Paramètres!$A$1:$I$89,3,0)*0.475*44/12</f>
        <v>3.6671566840420593</v>
      </c>
      <c r="DH72" s="21">
        <f>EXP(-LN(2)/2)*DH71+(1-EXP(-LN(2)/2))/(LN(2)/2)*DB72*DE72*VLOOKUP('Données projet'!$B$13,Paramètres!$A$1:$I$89,3,0)*0.475*44/12</f>
        <v>1.2101403521793697E-5</v>
      </c>
      <c r="DI72" s="22">
        <f t="shared" si="69"/>
        <v>7.5571245813975771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5.4</v>
      </c>
      <c r="DO72" s="12">
        <f>IF('Données projet'!$A$166&gt;35,DO71+DN72-DW71,IF(A72&lt;'Données projet'!$A$166,$DL$205^A72,IF(A72='Données projet'!$A$166,'Données projet'!$B$166,DO71+DN72-DW71)))</f>
        <v>264.60000000000008</v>
      </c>
      <c r="DP72" s="17">
        <f>DO72*VLOOKUP('Données projet'!$B$14,Paramètres!$A$1:$I$89,3,0)*VLOOKUP('Données projet'!$B$14,Paramètres!$A$1:$I$89,5,0)</f>
        <v>173.36592000000005</v>
      </c>
      <c r="DQ72" s="13">
        <f t="shared" si="97"/>
        <v>43.843015339462696</v>
      </c>
      <c r="DR72" s="20">
        <f t="shared" si="70"/>
        <v>378.30556238289756</v>
      </c>
      <c r="DS72" s="59">
        <f t="shared" si="71"/>
        <v>671.63889571623088</v>
      </c>
      <c r="DT72" s="59">
        <f ca="1">AVERAGE(OFFSET($DS$3,0,0,'Données projet'!$E$14+1,1))-AVERAGE(OFFSET($H$3,0,0,'Données projet'!$E$14+1,1))</f>
        <v>295.92103934364718</v>
      </c>
      <c r="DU72" s="59">
        <f t="shared" si="98"/>
        <v>304.84379909635476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2.0603251109254357</v>
      </c>
      <c r="EB72" s="21">
        <f>EXP(-LN(2)/25)*EB71+(1-EXP(-LN(2)/25))/(LN(2)/25)*Calculateur!DW72*Calculateur!DY72*VLOOKUP('Données projet'!$B$14,Paramètres!$A$1:$I$89,3,0)*0.475*44/12</f>
        <v>2.4256598089720729</v>
      </c>
      <c r="EC72" s="21">
        <f>EXP(-LN(2)/2)*EC71+(1-EXP(-LN(2)/2))/(LN(2)/2)*DW72*DZ72*VLOOKUP('Données projet'!$B$14,Paramètres!$A$1:$I$89,3,0)*0.475*44/12</f>
        <v>7.7613785701451729E-6</v>
      </c>
      <c r="ED72" s="22">
        <f t="shared" si="72"/>
        <v>4.4859926812760786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423.5</v>
      </c>
      <c r="L73" s="12">
        <f>VLOOKUP(A73,'Données projet'!$A$35:$I$55,9,0)</f>
        <v>15.5</v>
      </c>
      <c r="M73" s="12">
        <f t="array" ref="M73">INDEX(L:L,MIN(IF(ISNUMBER(L73:L269),ROW(L73:L269),"")))</f>
        <v>15.5</v>
      </c>
      <c r="N73" s="13">
        <f>IF('Données projet'!$A$36&gt;35,N72+M73-V72,IF(A73&lt;'Données projet'!$A$36,$K$205^A73,IF(A73='Données projet'!$A$36,'Données projet'!$B$36,N72+M73-V72)))</f>
        <v>423.49999999999989</v>
      </c>
      <c r="O73" s="13">
        <f>N73*VLOOKUP('Données projet'!$B$9,Paramètres!$A$1:$I$89,3,0)*VLOOKUP('Données projet'!$B$9,Paramètres!$A$1:$I$89,5,0)</f>
        <v>198.19799999999995</v>
      </c>
      <c r="P73" s="13">
        <f t="shared" si="87"/>
        <v>49.347934298451406</v>
      </c>
      <c r="Q73" s="20">
        <f t="shared" si="54"/>
        <v>431.14250223646945</v>
      </c>
      <c r="R73" s="59">
        <f t="shared" si="55"/>
        <v>724.47583556980271</v>
      </c>
      <c r="S73" s="59">
        <f ca="1">AVERAGE(OFFSET($R$3,0,0,'Données projet'!$E$9+1,1))-AVERAGE(OFFSET($H$3,0,0,'Données projet'!$E$9+1,1))</f>
        <v>319.22903094674564</v>
      </c>
      <c r="T73" s="59">
        <f t="shared" si="88"/>
        <v>254.58690973142848</v>
      </c>
      <c r="U73" s="15">
        <f>IF(ISNA(VLOOKUP(A73,'Données projet'!$A$35:$I$55,3,0)),0,VLOOKUP(A73,'Données projet'!$A$35:$I$55,3,0))</f>
        <v>6</v>
      </c>
      <c r="V73" s="15">
        <f>IF(ISNA(VLOOKUP(A73,'Données projet'!$A$35:$I$55,4,0)),0,VLOOKUP(A73,'Données projet'!$A$35:$I$55,4,0))</f>
        <v>87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4.1102496774911872</v>
      </c>
      <c r="AA73" s="21">
        <f>EXP(-LN(2)/25)*AA72+(1-EXP(-LN(2)/25))/(LN(2)/25)*Calculateur!V73*Calculateur!X73*VLOOKUP('Données projet'!$B$9,Paramètres!$A$1:$I$89,3,0)*0.475*44/12</f>
        <v>3.6785638103710192</v>
      </c>
      <c r="AB73" s="21">
        <f>EXP(-LN(2)/2)*AB72+(1-EXP(-LN(2)/2))/(LN(2)/2)*V73*Y73*VLOOKUP('Données projet'!$B$9,Paramètres!$A$1:$I$89,3,0)*0.475*44/12</f>
        <v>1.0531548160169968E-5</v>
      </c>
      <c r="AC73" s="22">
        <f t="shared" si="57"/>
        <v>7.7888240194103666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-3.4106051316484809E-13</v>
      </c>
      <c r="AJ73" s="13">
        <f>AI73*VLOOKUP('Données projet'!$B$10,Paramètres!$A$1:$I$89,3,0)*VLOOKUP('Données projet'!$B$10,Paramètres!$A$1:$I$89,5,0)</f>
        <v>-1.9065282685915009E-13</v>
      </c>
      <c r="AK73" s="13" t="e">
        <f t="shared" si="89"/>
        <v>#NUM!</v>
      </c>
      <c r="AL73" s="20" t="e">
        <f t="shared" si="58"/>
        <v>#NUM!</v>
      </c>
      <c r="AM73" s="59" t="e">
        <f t="shared" si="59"/>
        <v>#NUM!</v>
      </c>
      <c r="AN73" s="59">
        <f ca="1">AVERAGE(OFFSET($AM$3,0,0,'Données projet'!$E$10+1,1))-AVERAGE(OFFSET($H$3,0,0,'Données projet'!$E$10+1,1))</f>
        <v>544.48194192356823</v>
      </c>
      <c r="AO73" s="59">
        <f t="shared" si="90"/>
        <v>668.20427590250733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3.3246128424949619</v>
      </c>
      <c r="AV73" s="21">
        <f>EXP(-LN(2)/25)*AV72+(1-EXP(-LN(2)/25))/(LN(2)/25)*Calculateur!AQ73*Calculateur!AS73*VLOOKUP('Données projet'!$B$10,Paramètres!$A$1:$I$89,3,0)*0.475*44/12</f>
        <v>14.056791528860829</v>
      </c>
      <c r="AW73" s="21">
        <f>EXP(-LN(2)/2)*AW72+(1-EXP(-LN(2)/2))/(LN(2)/2)*AQ73*AT73*VLOOKUP('Données projet'!$B$10,Paramètres!$A$1:$I$89,3,0)*0.475*44/12</f>
        <v>1.3750036015260355E-5</v>
      </c>
      <c r="AX73" s="21">
        <f t="shared" si="60"/>
        <v>17.381418121391807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302</v>
      </c>
      <c r="BB73" s="12">
        <f>VLOOKUP(A73,'Données projet'!$A$87:$I$107,9,0)</f>
        <v>8.1999999999999993</v>
      </c>
      <c r="BC73" s="12">
        <f t="array" ref="BC73">INDEX(BB:BB,MIN(IF(ISNUMBER(BB73:BB269),ROW(BB73:BB269),"")))</f>
        <v>8.1999999999999993</v>
      </c>
      <c r="BD73" s="12">
        <f>IF('Données projet'!$A$88&gt;35,BD72+BC73-BL72,IF(A73&lt;'Données projet'!$A$88,$BA$205^A73,IF(A73='Données projet'!$A$88,'Données projet'!$B$88,BD72+BC73-BL72)))</f>
        <v>301.99999999999994</v>
      </c>
      <c r="BE73" s="13">
        <f>BD73*VLOOKUP('Données projet'!$B$11,Paramètres!$A$1:$I$89,3,0)*VLOOKUP('Données projet'!$B$11,Paramètres!$A$1:$I$89,5,0)</f>
        <v>273.24959999999999</v>
      </c>
      <c r="BF73" s="13">
        <f t="shared" si="91"/>
        <v>65.538435495514321</v>
      </c>
      <c r="BG73" s="20">
        <f t="shared" si="61"/>
        <v>590.05582848802067</v>
      </c>
      <c r="BH73" s="59">
        <f t="shared" si="62"/>
        <v>883.38916182135404</v>
      </c>
      <c r="BI73" s="59">
        <f ca="1">AVERAGE(OFFSET($BH$3,0,0,'Données projet'!$E$11+1,1))-AVERAGE(OFFSET($H$3,0,0,'Données projet'!$E$11+1,1))</f>
        <v>405.7176439604217</v>
      </c>
      <c r="BJ73" s="59">
        <f t="shared" si="92"/>
        <v>278.21741231699929</v>
      </c>
      <c r="BK73" s="15">
        <f>IF(ISNA(VLOOKUP(A73,'Données projet'!$A$87:$I$107,3,0)),0,VLOOKUP(A73,'Données projet'!$A$87:$I$107,3,0))</f>
        <v>11</v>
      </c>
      <c r="BL73" s="15">
        <f>IF(ISNA(VLOOKUP(A73,'Données projet'!$A$87:$I$107,4,0)),0,VLOOKUP(A73,'Données projet'!$A$87:$I$107,4,0))</f>
        <v>28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3.3097155881924305</v>
      </c>
      <c r="BQ73" s="21">
        <f>EXP(-LN(2)/25)*BQ72+(1-EXP(-LN(2)/25))/(LN(2)/25)*Calculateur!BL73*Calculateur!BN73*VLOOKUP('Données projet'!$B$11,Paramètres!$A$1:$I$89,3,0)*0.475*44/12</f>
        <v>3.0892207469463502</v>
      </c>
      <c r="BR73" s="21">
        <f>EXP(-LN(2)/2)*BR72+(1-EXP(-LN(2)/2))/(LN(2)/2)*BL73*BO73*VLOOKUP('Données projet'!$B$11,Paramètres!$A$1:$I$89,3,0)*0.475*44/12</f>
        <v>8.1394506352784209E-6</v>
      </c>
      <c r="BS73" s="22">
        <f t="shared" si="63"/>
        <v>6.398944474589416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257</v>
      </c>
      <c r="BW73" s="12">
        <f>VLOOKUP(A73,'Données projet'!$A$113:$I$133,9,0)</f>
        <v>5.4</v>
      </c>
      <c r="BX73" s="12">
        <f t="array" ref="BX73">INDEX(BW:BW,MIN(IF(ISNUMBER(BW73:BW269),ROW(BW73:BW269),"")))</f>
        <v>5.4</v>
      </c>
      <c r="BY73" s="12">
        <f>IF('Données projet'!$A$114&gt;35,BY72+BX73-CG72,IF(A73&lt;'Données projet'!$A$114,$BV$205^A73,IF(A73='Données projet'!$A$114,'Données projet'!$B$114,BY72+BX73-CG72)))</f>
        <v>257.00000000000011</v>
      </c>
      <c r="BZ73" s="13">
        <f>BY73*VLOOKUP('Données projet'!$B$12,Paramètres!$A$1:$I$89,3,0)*VLOOKUP('Données projet'!$B$12,Paramètres!$A$1:$I$89,5,0)</f>
        <v>224.51520000000014</v>
      </c>
      <c r="CA73" s="13">
        <f t="shared" si="93"/>
        <v>55.095078782313593</v>
      </c>
      <c r="CB73" s="20">
        <f t="shared" si="64"/>
        <v>486.98790221252966</v>
      </c>
      <c r="CC73" s="59">
        <f t="shared" si="65"/>
        <v>780.32123554586292</v>
      </c>
      <c r="CD73" s="59">
        <f ca="1">AVERAGE(OFFSET($CC$3,0,0,'Données projet'!$E$12+1,1))-AVERAGE(OFFSET($H$3,0,0,'Données projet'!$E$12+1,1))</f>
        <v>381.72225529388083</v>
      </c>
      <c r="CE73" s="59">
        <f t="shared" si="94"/>
        <v>360.05900046417361</v>
      </c>
      <c r="CF73" s="15">
        <f>IF(ISNA(VLOOKUP(A73,'Données projet'!$A$113:$I$133,3,0)),0,VLOOKUP(A73,'Données projet'!$A$113:$I$133,3,0))</f>
        <v>12</v>
      </c>
      <c r="CG73" s="15">
        <f>IF(ISNA(VLOOKUP(A73,'Données projet'!$A$113:$I$133,4,0)),0,VLOOKUP(A73,'Données projet'!$A$113:$I$133,4,0))</f>
        <v>21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2.1789851409277898</v>
      </c>
      <c r="CL73" s="21">
        <f>EXP(-LN(2)/25)*CL72+(1-EXP(-LN(2)/25))/(LN(2)/25)*Calculateur!CG73*Calculateur!CI73*VLOOKUP('Données projet'!$B$12,Paramètres!$A$1:$I$89,3,0)*0.475*44/12</f>
        <v>3.7210651066589033</v>
      </c>
      <c r="CM73" s="21">
        <f>EXP(-LN(2)/2)*CM72+(1-EXP(-LN(2)/2))/(LN(2)/2)*CG73*CJ73*VLOOKUP('Données projet'!$B$12,Paramètres!$A$1:$I$89,3,0)*0.475*44/12</f>
        <v>6.673341573238367E-6</v>
      </c>
      <c r="CN73" s="22">
        <f t="shared" si="66"/>
        <v>5.9000569209282663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263</v>
      </c>
      <c r="CR73" s="12">
        <f>VLOOKUP(A73,'Données projet'!$A$139:$I$159,9,0)</f>
        <v>3.8</v>
      </c>
      <c r="CS73" s="12">
        <f t="array" ref="CS73">INDEX(CR:CR,MIN(IF(ISNUMBER(CR73:CR269),ROW(CR73:CR269),"")))</f>
        <v>3.8</v>
      </c>
      <c r="CT73" s="12">
        <f>IF('Données projet'!$A$140&gt;35,CT72+CS73-DB72,IF(A73&lt;'Données projet'!$A$140,$CQ$205^A73,IF(A73='Données projet'!$A$140,'Données projet'!$B$140,CT72+CS73-DB72)))</f>
        <v>262.99999999999989</v>
      </c>
      <c r="CU73" s="17">
        <f>CT73*VLOOKUP('Données projet'!$B$13,Paramètres!$A$1:$I$89,3,0)*VLOOKUP('Données projet'!$B$13,Paramètres!$A$1:$I$89,5,0)</f>
        <v>209.2427999999999</v>
      </c>
      <c r="CV73" s="13">
        <f t="shared" si="95"/>
        <v>51.770083677016814</v>
      </c>
      <c r="CW73" s="20">
        <f t="shared" si="67"/>
        <v>454.59743907080406</v>
      </c>
      <c r="CX73" s="59">
        <f t="shared" si="68"/>
        <v>747.93077240413731</v>
      </c>
      <c r="CY73" s="59">
        <f ca="1">AVERAGE(OFFSET($CX$3,0,0,'Données projet'!$E$13+1,1))-AVERAGE(OFFSET($H$3,0,0,'Données projet'!$E$13+1,1))</f>
        <v>299.10536994156814</v>
      </c>
      <c r="CZ73" s="59">
        <f t="shared" si="96"/>
        <v>292.57799203101769</v>
      </c>
      <c r="DA73" s="15">
        <f>IF(ISNA(VLOOKUP(A73,'Données projet'!$A$139:$I$159,3,0)),0,VLOOKUP(A73,'Données projet'!$A$139:$I$159,3,0))</f>
        <v>12</v>
      </c>
      <c r="DB73" s="15">
        <f>IF(ISNA(VLOOKUP(A73,'Données projet'!$A$139:$I$159,4,0)),0,VLOOKUP(A73,'Données projet'!$A$139:$I$159,4,0))</f>
        <v>10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3.8136761354321336</v>
      </c>
      <c r="DG73" s="21">
        <f>EXP(-LN(2)/25)*DG72+(1-EXP(-LN(2)/25))/(LN(2)/25)*Calculateur!DB73*Calculateur!DD73*VLOOKUP('Données projet'!$B$13,Paramètres!$A$1:$I$89,3,0)*0.475*44/12</f>
        <v>3.5668780916695404</v>
      </c>
      <c r="DH73" s="21">
        <f>EXP(-LN(2)/2)*DH72+(1-EXP(-LN(2)/2))/(LN(2)/2)*DB73*DE73*VLOOKUP('Données projet'!$B$13,Paramètres!$A$1:$I$89,3,0)*0.475*44/12</f>
        <v>8.5569844921350912E-6</v>
      </c>
      <c r="DI73" s="22">
        <f t="shared" si="69"/>
        <v>7.3805627840861669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>
        <f>VLOOKUP(A73,'Données projet'!$A$165:$I$185,2,0)</f>
        <v>270</v>
      </c>
      <c r="DM73" s="12">
        <f>VLOOKUP(A73,'Données projet'!$A$165:$I$185,9,0)</f>
        <v>5.4</v>
      </c>
      <c r="DN73" s="12">
        <f t="array" ref="DN73">INDEX(DM:DM,MIN(IF(ISNUMBER(DM73:DM269),ROW(DM73:DM269),"")))</f>
        <v>5.4</v>
      </c>
      <c r="DO73" s="12">
        <f>IF('Données projet'!$A$166&gt;35,DO72+DN73-DW72,IF(A73&lt;'Données projet'!$A$166,$DL$205^A73,IF(A73='Données projet'!$A$166,'Données projet'!$B$166,DO72+DN73-DW72)))</f>
        <v>270.00000000000006</v>
      </c>
      <c r="DP73" s="17">
        <f>DO73*VLOOKUP('Données projet'!$B$14,Paramètres!$A$1:$I$89,3,0)*VLOOKUP('Données projet'!$B$14,Paramètres!$A$1:$I$89,5,0)</f>
        <v>176.90400000000002</v>
      </c>
      <c r="DQ73" s="13">
        <f t="shared" si="97"/>
        <v>44.632689233663157</v>
      </c>
      <c r="DR73" s="20">
        <f t="shared" si="70"/>
        <v>385.8430670819634</v>
      </c>
      <c r="DS73" s="59">
        <f t="shared" si="71"/>
        <v>679.17640041529671</v>
      </c>
      <c r="DT73" s="59">
        <f ca="1">AVERAGE(OFFSET($DS$3,0,0,'Données projet'!$E$14+1,1))-AVERAGE(OFFSET($H$3,0,0,'Données projet'!$E$14+1,1))</f>
        <v>295.92103934364718</v>
      </c>
      <c r="DU73" s="59">
        <f t="shared" si="98"/>
        <v>304.84379909635476</v>
      </c>
      <c r="DV73" s="15">
        <f>IF(ISNA(VLOOKUP(A73,'Données projet'!$A$165:$I$185,3,0)),0,VLOOKUP(A73,'Données projet'!$A$165:$I$185,3,0))</f>
        <v>13</v>
      </c>
      <c r="DW73" s="15">
        <f>IF(ISNA(VLOOKUP(A73,'Données projet'!$A$165:$I$185,4,0)),0,VLOOKUP(A73,'Données projet'!$A$165:$I$185,4,0))</f>
        <v>21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2.0199233921744191</v>
      </c>
      <c r="EB73" s="21">
        <f>EXP(-LN(2)/25)*EB72+(1-EXP(-LN(2)/25))/(LN(2)/25)*Calculateur!DW73*Calculateur!DY73*VLOOKUP('Données projet'!$B$14,Paramètres!$A$1:$I$89,3,0)*0.475*44/12</f>
        <v>2.3593300139358262</v>
      </c>
      <c r="EC73" s="21">
        <f>EXP(-LN(2)/2)*EC72+(1-EXP(-LN(2)/2))/(LN(2)/2)*DW73*DZ73*VLOOKUP('Données projet'!$B$14,Paramètres!$A$1:$I$89,3,0)*0.475*44/12</f>
        <v>5.4881234183056019E-6</v>
      </c>
      <c r="ED73" s="22">
        <f t="shared" si="72"/>
        <v>4.3792588942336632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17</v>
      </c>
      <c r="N74" s="13">
        <f>IF('Données projet'!$A$36&gt;35,N73+M74-V73,IF(A74&lt;'Données projet'!$A$36,$K$205^A74,IF(A74='Données projet'!$A$36,'Données projet'!$B$36,N73+M74-V73)))</f>
        <v>353.49999999999989</v>
      </c>
      <c r="O74" s="13">
        <f>N74*VLOOKUP('Données projet'!$B$9,Paramètres!$A$1:$I$89,3,0)*VLOOKUP('Données projet'!$B$9,Paramètres!$A$1:$I$89,5,0)</f>
        <v>165.43799999999993</v>
      </c>
      <c r="P74" s="13">
        <f t="shared" si="87"/>
        <v>42.066675415215769</v>
      </c>
      <c r="Q74" s="20">
        <f t="shared" si="54"/>
        <v>361.40397634816736</v>
      </c>
      <c r="R74" s="59">
        <f t="shared" si="55"/>
        <v>654.73730968150062</v>
      </c>
      <c r="S74" s="59">
        <f ca="1">AVERAGE(OFFSET($R$3,0,0,'Données projet'!$E$9+1,1))-AVERAGE(OFFSET($H$3,0,0,'Données projet'!$E$9+1,1))</f>
        <v>319.22903094674564</v>
      </c>
      <c r="T74" s="59">
        <f t="shared" si="88"/>
        <v>254.58690973142848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4.0296501883203417</v>
      </c>
      <c r="AA74" s="21">
        <f>EXP(-LN(2)/25)*AA73+(1-EXP(-LN(2)/25))/(LN(2)/25)*Calculateur!V74*Calculateur!X74*VLOOKUP('Données projet'!$B$9,Paramètres!$A$1:$I$89,3,0)*0.475*44/12</f>
        <v>3.5779732895291603</v>
      </c>
      <c r="AB74" s="21">
        <f>EXP(-LN(2)/2)*AB73+(1-EXP(-LN(2)/2))/(LN(2)/2)*V74*Y74*VLOOKUP('Données projet'!$B$9,Paramètres!$A$1:$I$89,3,0)*0.475*44/12</f>
        <v>7.4469291204488931E-6</v>
      </c>
      <c r="AC74" s="22">
        <f t="shared" si="57"/>
        <v>7.6076309247786229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-3.4106051316484809E-13</v>
      </c>
      <c r="AJ74" s="13">
        <f>AI74*VLOOKUP('Données projet'!$B$10,Paramètres!$A$1:$I$89,3,0)*VLOOKUP('Données projet'!$B$10,Paramètres!$A$1:$I$89,5,0)</f>
        <v>-1.9065282685915009E-13</v>
      </c>
      <c r="AK74" s="13" t="e">
        <f t="shared" si="89"/>
        <v>#NUM!</v>
      </c>
      <c r="AL74" s="20" t="e">
        <f t="shared" si="58"/>
        <v>#NUM!</v>
      </c>
      <c r="AM74" s="59" t="e">
        <f t="shared" si="59"/>
        <v>#NUM!</v>
      </c>
      <c r="AN74" s="59">
        <f ca="1">AVERAGE(OFFSET($AM$3,0,0,'Données projet'!$E$10+1,1))-AVERAGE(OFFSET($H$3,0,0,'Données projet'!$E$10+1,1))</f>
        <v>544.48194192356823</v>
      </c>
      <c r="AO74" s="59">
        <f t="shared" si="90"/>
        <v>668.20427590250733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3.2594192124672396</v>
      </c>
      <c r="AV74" s="21">
        <f>EXP(-LN(2)/25)*AV73+(1-EXP(-LN(2)/25))/(LN(2)/25)*Calculateur!AQ74*Calculateur!AS74*VLOOKUP('Données projet'!$B$10,Paramètres!$A$1:$I$89,3,0)*0.475*44/12</f>
        <v>13.672407825289591</v>
      </c>
      <c r="AW74" s="21">
        <f>EXP(-LN(2)/2)*AW73+(1-EXP(-LN(2)/2))/(LN(2)/2)*AQ74*AT74*VLOOKUP('Données projet'!$B$10,Paramètres!$A$1:$I$89,3,0)*0.475*44/12</f>
        <v>9.7227437079498512E-6</v>
      </c>
      <c r="AX74" s="21">
        <f t="shared" si="60"/>
        <v>16.931836760500541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7.6</v>
      </c>
      <c r="BD74" s="12">
        <f>IF('Données projet'!$A$88&gt;35,BD73+BC74-BL73,IF(A74&lt;'Données projet'!$A$88,$BA$205^A74,IF(A74='Données projet'!$A$88,'Données projet'!$B$88,BD73+BC74-BL73)))</f>
        <v>281.59999999999997</v>
      </c>
      <c r="BE74" s="13">
        <f>BD74*VLOOKUP('Données projet'!$B$11,Paramètres!$A$1:$I$89,3,0)*VLOOKUP('Données projet'!$B$11,Paramètres!$A$1:$I$89,5,0)</f>
        <v>254.79167999999996</v>
      </c>
      <c r="BF74" s="13">
        <f t="shared" si="91"/>
        <v>61.610870508448471</v>
      </c>
      <c r="BG74" s="20">
        <f t="shared" si="61"/>
        <v>551.067775468881</v>
      </c>
      <c r="BH74" s="59">
        <f t="shared" si="62"/>
        <v>844.40110880221437</v>
      </c>
      <c r="BI74" s="59">
        <f ca="1">AVERAGE(OFFSET($BH$3,0,0,'Données projet'!$E$11+1,1))-AVERAGE(OFFSET($H$3,0,0,'Données projet'!$E$11+1,1))</f>
        <v>405.7176439604217</v>
      </c>
      <c r="BJ74" s="59">
        <f t="shared" si="92"/>
        <v>278.21741231699929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3.2448140842351529</v>
      </c>
      <c r="BQ74" s="21">
        <f>EXP(-LN(2)/25)*BQ73+(1-EXP(-LN(2)/25))/(LN(2)/25)*Calculateur!BL74*Calculateur!BN74*VLOOKUP('Données projet'!$B$11,Paramètres!$A$1:$I$89,3,0)*0.475*44/12</f>
        <v>3.0047458431660439</v>
      </c>
      <c r="BR74" s="21">
        <f>EXP(-LN(2)/2)*BR73+(1-EXP(-LN(2)/2))/(LN(2)/2)*BL74*BO74*VLOOKUP('Données projet'!$B$11,Paramètres!$A$1:$I$89,3,0)*0.475*44/12</f>
        <v>5.7554607393385237E-6</v>
      </c>
      <c r="BS74" s="22">
        <f t="shared" si="63"/>
        <v>6.2495656828619364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5</v>
      </c>
      <c r="BY74" s="12">
        <f>IF('Données projet'!$A$114&gt;35,BY73+BX74-CG73,IF(A74&lt;'Données projet'!$A$114,$BV$205^A74,IF(A74='Données projet'!$A$114,'Données projet'!$B$114,BY73+BX74-CG73)))</f>
        <v>241.00000000000011</v>
      </c>
      <c r="BZ74" s="13">
        <f>BY74*VLOOKUP('Données projet'!$B$12,Paramètres!$A$1:$I$89,3,0)*VLOOKUP('Données projet'!$B$12,Paramètres!$A$1:$I$89,5,0)</f>
        <v>210.53760000000011</v>
      </c>
      <c r="CA74" s="13">
        <f t="shared" si="93"/>
        <v>52.053047337322276</v>
      </c>
      <c r="CB74" s="20">
        <f t="shared" si="64"/>
        <v>457.34537744583645</v>
      </c>
      <c r="CC74" s="59">
        <f t="shared" si="65"/>
        <v>750.67871077916971</v>
      </c>
      <c r="CD74" s="59">
        <f ca="1">AVERAGE(OFFSET($CC$3,0,0,'Données projet'!$E$12+1,1))-AVERAGE(OFFSET($H$3,0,0,'Données projet'!$E$12+1,1))</f>
        <v>381.72225529388083</v>
      </c>
      <c r="CE74" s="59">
        <f t="shared" si="94"/>
        <v>360.05900046417361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2.1362565713638992</v>
      </c>
      <c r="CL74" s="21">
        <f>EXP(-LN(2)/25)*CL73+(1-EXP(-LN(2)/25))/(LN(2)/25)*Calculateur!CG74*Calculateur!CI74*VLOOKUP('Données projet'!$B$12,Paramètres!$A$1:$I$89,3,0)*0.475*44/12</f>
        <v>3.6193123856350065</v>
      </c>
      <c r="CM74" s="21">
        <f>EXP(-LN(2)/2)*CM73+(1-EXP(-LN(2)/2))/(LN(2)/2)*CG74*CJ74*VLOOKUP('Données projet'!$B$12,Paramètres!$A$1:$I$89,3,0)*0.475*44/12</f>
        <v>4.7187650796109527E-6</v>
      </c>
      <c r="CN74" s="22">
        <f t="shared" si="66"/>
        <v>5.7555736757639853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3.4</v>
      </c>
      <c r="CT74" s="12">
        <f>IF('Données projet'!$A$140&gt;35,CT73+CS74-DB73,IF(A74&lt;'Données projet'!$A$140,$CQ$205^A74,IF(A74='Données projet'!$A$140,'Données projet'!$B$140,CT73+CS74-DB73)))</f>
        <v>256.39999999999986</v>
      </c>
      <c r="CU74" s="17">
        <f>CT74*VLOOKUP('Données projet'!$B$13,Paramètres!$A$1:$I$89,3,0)*VLOOKUP('Données projet'!$B$13,Paramètres!$A$1:$I$89,5,0)</f>
        <v>203.99183999999988</v>
      </c>
      <c r="CV74" s="13">
        <f t="shared" si="95"/>
        <v>50.620441749347997</v>
      </c>
      <c r="CW74" s="20">
        <f t="shared" si="67"/>
        <v>443.44972404678083</v>
      </c>
      <c r="CX74" s="59">
        <f t="shared" si="68"/>
        <v>736.78305738011409</v>
      </c>
      <c r="CY74" s="59">
        <f ca="1">AVERAGE(OFFSET($CX$3,0,0,'Données projet'!$E$13+1,1))-AVERAGE(OFFSET($H$3,0,0,'Données projet'!$E$13+1,1))</f>
        <v>299.10536994156814</v>
      </c>
      <c r="CZ74" s="59">
        <f t="shared" si="96"/>
        <v>292.57799203101769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3.7388922725290676</v>
      </c>
      <c r="DG74" s="21">
        <f>EXP(-LN(2)/25)*DG73+(1-EXP(-LN(2)/25))/(LN(2)/25)*Calculateur!DB74*Calculateur!DD74*VLOOKUP('Données projet'!$B$13,Paramètres!$A$1:$I$89,3,0)*0.475*44/12</f>
        <v>3.4693416226788703</v>
      </c>
      <c r="DH74" s="21">
        <f>EXP(-LN(2)/2)*DH73+(1-EXP(-LN(2)/2))/(LN(2)/2)*DB74*DE74*VLOOKUP('Données projet'!$B$13,Paramètres!$A$1:$I$89,3,0)*0.475*44/12</f>
        <v>6.0507017608968486E-6</v>
      </c>
      <c r="DI74" s="22">
        <f t="shared" si="69"/>
        <v>7.2082399459096989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4.8</v>
      </c>
      <c r="DO74" s="12">
        <f>IF('Données projet'!$A$166&gt;35,DO73+DN74-DW73,IF(A74&lt;'Données projet'!$A$166,$DL$205^A74,IF(A74='Données projet'!$A$166,'Données projet'!$B$166,DO73+DN74-DW73)))</f>
        <v>253.80000000000007</v>
      </c>
      <c r="DP74" s="17">
        <f>DO74*VLOOKUP('Données projet'!$B$14,Paramètres!$A$1:$I$89,3,0)*VLOOKUP('Données projet'!$B$14,Paramètres!$A$1:$I$89,5,0)</f>
        <v>166.28976000000003</v>
      </c>
      <c r="DQ74" s="13">
        <f t="shared" si="97"/>
        <v>42.257989067732332</v>
      </c>
      <c r="DR74" s="20">
        <f t="shared" si="70"/>
        <v>363.2206629596339</v>
      </c>
      <c r="DS74" s="59">
        <f t="shared" si="71"/>
        <v>656.55399629296721</v>
      </c>
      <c r="DT74" s="59">
        <f ca="1">AVERAGE(OFFSET($DS$3,0,0,'Données projet'!$E$14+1,1))-AVERAGE(OFFSET($H$3,0,0,'Données projet'!$E$14+1,1))</f>
        <v>295.92103934364718</v>
      </c>
      <c r="DU74" s="59">
        <f t="shared" si="98"/>
        <v>304.84379909635476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1.980313926485495</v>
      </c>
      <c r="EB74" s="21">
        <f>EXP(-LN(2)/25)*EB73+(1-EXP(-LN(2)/25))/(LN(2)/25)*Calculateur!DW74*Calculateur!DY74*VLOOKUP('Données projet'!$B$14,Paramètres!$A$1:$I$89,3,0)*0.475*44/12</f>
        <v>2.2948140106329777</v>
      </c>
      <c r="EC74" s="21">
        <f>EXP(-LN(2)/2)*EC73+(1-EXP(-LN(2)/2))/(LN(2)/2)*DW74*DZ74*VLOOKUP('Données projet'!$B$14,Paramètres!$A$1:$I$89,3,0)*0.475*44/12</f>
        <v>3.8806892850725864E-6</v>
      </c>
      <c r="ED74" s="22">
        <f t="shared" si="72"/>
        <v>4.2751318178077584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17</v>
      </c>
      <c r="N75" s="13">
        <f>IF('Données projet'!$A$36&gt;35,N74+M75-V74,IF(A75&lt;'Données projet'!$A$36,$K$205^A75,IF(A75='Données projet'!$A$36,'Données projet'!$B$36,N74+M75-V74)))</f>
        <v>370.49999999999989</v>
      </c>
      <c r="O75" s="13">
        <f>N75*VLOOKUP('Données projet'!$B$9,Paramètres!$A$1:$I$89,3,0)*VLOOKUP('Données projet'!$B$9,Paramètres!$A$1:$I$89,5,0)</f>
        <v>173.39399999999998</v>
      </c>
      <c r="P75" s="13">
        <f t="shared" si="87"/>
        <v>43.849289930196633</v>
      </c>
      <c r="Q75" s="20">
        <f t="shared" si="54"/>
        <v>378.36539662842574</v>
      </c>
      <c r="R75" s="59">
        <f t="shared" si="55"/>
        <v>671.698729961759</v>
      </c>
      <c r="S75" s="59">
        <f ca="1">AVERAGE(OFFSET($R$3,0,0,'Données projet'!$E$9+1,1))-AVERAGE(OFFSET($H$3,0,0,'Données projet'!$E$9+1,1))</f>
        <v>319.22903094674564</v>
      </c>
      <c r="T75" s="59">
        <f t="shared" si="88"/>
        <v>254.58690973142848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3.9506312059713027</v>
      </c>
      <c r="AA75" s="21">
        <f>EXP(-LN(2)/25)*AA74+(1-EXP(-LN(2)/25))/(LN(2)/25)*Calculateur!V75*Calculateur!X75*VLOOKUP('Données projet'!$B$9,Paramètres!$A$1:$I$89,3,0)*0.475*44/12</f>
        <v>3.4801334217695477</v>
      </c>
      <c r="AB75" s="21">
        <f>EXP(-LN(2)/2)*AB74+(1-EXP(-LN(2)/2))/(LN(2)/2)*V75*Y75*VLOOKUP('Données projet'!$B$9,Paramètres!$A$1:$I$89,3,0)*0.475*44/12</f>
        <v>5.265774080084985E-6</v>
      </c>
      <c r="AC75" s="22">
        <f t="shared" si="57"/>
        <v>7.4307698935149302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-3.4106051316484809E-13</v>
      </c>
      <c r="AJ75" s="13">
        <f>AI75*VLOOKUP('Données projet'!$B$10,Paramètres!$A$1:$I$89,3,0)*VLOOKUP('Données projet'!$B$10,Paramètres!$A$1:$I$89,5,0)</f>
        <v>-1.9065282685915009E-13</v>
      </c>
      <c r="AK75" s="13" t="e">
        <f t="shared" si="89"/>
        <v>#NUM!</v>
      </c>
      <c r="AL75" s="20" t="e">
        <f t="shared" si="58"/>
        <v>#NUM!</v>
      </c>
      <c r="AM75" s="59" t="e">
        <f t="shared" si="59"/>
        <v>#NUM!</v>
      </c>
      <c r="AN75" s="59">
        <f ca="1">AVERAGE(OFFSET($AM$3,0,0,'Données projet'!$E$10+1,1))-AVERAGE(OFFSET($H$3,0,0,'Données projet'!$E$10+1,1))</f>
        <v>544.48194192356823</v>
      </c>
      <c r="AO75" s="59">
        <f t="shared" si="90"/>
        <v>668.20427590250733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3.1955039897601729</v>
      </c>
      <c r="AV75" s="21">
        <f>EXP(-LN(2)/25)*AV74+(1-EXP(-LN(2)/25))/(LN(2)/25)*Calculateur!AQ75*Calculateur!AS75*VLOOKUP('Données projet'!$B$10,Paramètres!$A$1:$I$89,3,0)*0.475*44/12</f>
        <v>13.298535114306368</v>
      </c>
      <c r="AW75" s="21">
        <f>EXP(-LN(2)/2)*AW74+(1-EXP(-LN(2)/2))/(LN(2)/2)*AQ75*AT75*VLOOKUP('Données projet'!$B$10,Paramètres!$A$1:$I$89,3,0)*0.475*44/12</f>
        <v>6.8750180076301773E-6</v>
      </c>
      <c r="AX75" s="21">
        <f t="shared" si="60"/>
        <v>16.49404597908455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7.6</v>
      </c>
      <c r="BD75" s="12">
        <f>IF('Données projet'!$A$88&gt;35,BD74+BC75-BL74,IF(A75&lt;'Données projet'!$A$88,$BA$205^A75,IF(A75='Données projet'!$A$88,'Données projet'!$B$88,BD74+BC75-BL74)))</f>
        <v>289.2</v>
      </c>
      <c r="BE75" s="13">
        <f>BD75*VLOOKUP('Données projet'!$B$11,Paramètres!$A$1:$I$89,3,0)*VLOOKUP('Données projet'!$B$11,Paramètres!$A$1:$I$89,5,0)</f>
        <v>261.66816</v>
      </c>
      <c r="BF75" s="13">
        <f t="shared" si="91"/>
        <v>63.077829793082856</v>
      </c>
      <c r="BG75" s="20">
        <f t="shared" si="61"/>
        <v>565.5992655562859</v>
      </c>
      <c r="BH75" s="59">
        <f t="shared" si="62"/>
        <v>858.93259888961916</v>
      </c>
      <c r="BI75" s="59">
        <f ca="1">AVERAGE(OFFSET($BH$3,0,0,'Données projet'!$E$11+1,1))-AVERAGE(OFFSET($H$3,0,0,'Données projet'!$E$11+1,1))</f>
        <v>405.7176439604217</v>
      </c>
      <c r="BJ75" s="59">
        <f t="shared" si="92"/>
        <v>278.21741231699929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3.1811852591844691</v>
      </c>
      <c r="BQ75" s="21">
        <f>EXP(-LN(2)/25)*BQ74+(1-EXP(-LN(2)/25))/(LN(2)/25)*Calculateur!BL75*Calculateur!BN75*VLOOKUP('Données projet'!$B$11,Paramètres!$A$1:$I$89,3,0)*0.475*44/12</f>
        <v>2.922580910071952</v>
      </c>
      <c r="BR75" s="21">
        <f>EXP(-LN(2)/2)*BR74+(1-EXP(-LN(2)/2))/(LN(2)/2)*BL75*BO75*VLOOKUP('Données projet'!$B$11,Paramètres!$A$1:$I$89,3,0)*0.475*44/12</f>
        <v>4.0697253176392105E-6</v>
      </c>
      <c r="BS75" s="22">
        <f t="shared" si="63"/>
        <v>6.1037702389817383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5</v>
      </c>
      <c r="BY75" s="12">
        <f>IF('Données projet'!$A$114&gt;35,BY74+BX75-CG74,IF(A75&lt;'Données projet'!$A$114,$BV$205^A75,IF(A75='Données projet'!$A$114,'Données projet'!$B$114,BY74+BX75-CG74)))</f>
        <v>246.00000000000011</v>
      </c>
      <c r="BZ75" s="13">
        <f>BY75*VLOOKUP('Données projet'!$B$12,Paramètres!$A$1:$I$89,3,0)*VLOOKUP('Données projet'!$B$12,Paramètres!$A$1:$I$89,5,0)</f>
        <v>214.90560000000013</v>
      </c>
      <c r="CA75" s="13">
        <f t="shared" si="93"/>
        <v>53.006137800892375</v>
      </c>
      <c r="CB75" s="20">
        <f t="shared" si="64"/>
        <v>466.61294333655451</v>
      </c>
      <c r="CC75" s="59">
        <f t="shared" si="65"/>
        <v>759.94627666988777</v>
      </c>
      <c r="CD75" s="59">
        <f ca="1">AVERAGE(OFFSET($CC$3,0,0,'Données projet'!$E$12+1,1))-AVERAGE(OFFSET($H$3,0,0,'Données projet'!$E$12+1,1))</f>
        <v>381.72225529388083</v>
      </c>
      <c r="CE75" s="59">
        <f t="shared" si="94"/>
        <v>360.05900046417361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2.0943658829873022</v>
      </c>
      <c r="CL75" s="21">
        <f>EXP(-LN(2)/25)*CL74+(1-EXP(-LN(2)/25))/(LN(2)/25)*Calculateur!CG75*Calculateur!CI75*VLOOKUP('Données projet'!$B$12,Paramètres!$A$1:$I$89,3,0)*0.475*44/12</f>
        <v>3.520342098118451</v>
      </c>
      <c r="CM75" s="21">
        <f>EXP(-LN(2)/2)*CM74+(1-EXP(-LN(2)/2))/(LN(2)/2)*CG75*CJ75*VLOOKUP('Données projet'!$B$12,Paramètres!$A$1:$I$89,3,0)*0.475*44/12</f>
        <v>3.3366707866191835E-6</v>
      </c>
      <c r="CN75" s="22">
        <f t="shared" si="66"/>
        <v>5.61471131777654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3.4</v>
      </c>
      <c r="CT75" s="12">
        <f>IF('Données projet'!$A$140&gt;35,CT74+CS75-DB74,IF(A75&lt;'Données projet'!$A$140,$CQ$205^A75,IF(A75='Données projet'!$A$140,'Données projet'!$B$140,CT74+CS75-DB74)))</f>
        <v>259.79999999999984</v>
      </c>
      <c r="CU75" s="17">
        <f>CT75*VLOOKUP('Données projet'!$B$13,Paramètres!$A$1:$I$89,3,0)*VLOOKUP('Données projet'!$B$13,Paramètres!$A$1:$I$89,5,0)</f>
        <v>206.69687999999991</v>
      </c>
      <c r="CV75" s="13">
        <f t="shared" si="95"/>
        <v>51.213106197404436</v>
      </c>
      <c r="CW75" s="20">
        <f t="shared" si="67"/>
        <v>449.1932259604792</v>
      </c>
      <c r="CX75" s="59">
        <f t="shared" si="68"/>
        <v>742.52655929381251</v>
      </c>
      <c r="CY75" s="59">
        <f ca="1">AVERAGE(OFFSET($CX$3,0,0,'Données projet'!$E$13+1,1))-AVERAGE(OFFSET($H$3,0,0,'Données projet'!$E$13+1,1))</f>
        <v>299.10536994156814</v>
      </c>
      <c r="CZ75" s="59">
        <f t="shared" si="96"/>
        <v>292.57799203101769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3.6655748755638782</v>
      </c>
      <c r="DG75" s="21">
        <f>EXP(-LN(2)/25)*DG74+(1-EXP(-LN(2)/25))/(LN(2)/25)*Calculateur!DB75*Calculateur!DD75*VLOOKUP('Données projet'!$B$13,Paramètres!$A$1:$I$89,3,0)*0.475*44/12</f>
        <v>3.3744722935619698</v>
      </c>
      <c r="DH75" s="21">
        <f>EXP(-LN(2)/2)*DH74+(1-EXP(-LN(2)/2))/(LN(2)/2)*DB75*DE75*VLOOKUP('Données projet'!$B$13,Paramètres!$A$1:$I$89,3,0)*0.475*44/12</f>
        <v>4.2784922460675456E-6</v>
      </c>
      <c r="DI75" s="22">
        <f t="shared" si="69"/>
        <v>7.0400514476180938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4.8</v>
      </c>
      <c r="DO75" s="12">
        <f>IF('Données projet'!$A$166&gt;35,DO74+DN75-DW74,IF(A75&lt;'Données projet'!$A$166,$DL$205^A75,IF(A75='Données projet'!$A$166,'Données projet'!$B$166,DO74+DN75-DW74)))</f>
        <v>258.60000000000008</v>
      </c>
      <c r="DP75" s="17">
        <f>DO75*VLOOKUP('Données projet'!$B$14,Paramètres!$A$1:$I$89,3,0)*VLOOKUP('Données projet'!$B$14,Paramètres!$A$1:$I$89,5,0)</f>
        <v>169.43472000000006</v>
      </c>
      <c r="DQ75" s="13">
        <f t="shared" si="97"/>
        <v>42.963395138288874</v>
      </c>
      <c r="DR75" s="20">
        <f t="shared" si="70"/>
        <v>369.9267171991865</v>
      </c>
      <c r="DS75" s="59">
        <f t="shared" si="71"/>
        <v>663.26005053251981</v>
      </c>
      <c r="DT75" s="59">
        <f ca="1">AVERAGE(OFFSET($DS$3,0,0,'Données projet'!$E$14+1,1))-AVERAGE(OFFSET($H$3,0,0,'Données projet'!$E$14+1,1))</f>
        <v>295.92103934364718</v>
      </c>
      <c r="DU75" s="59">
        <f t="shared" si="98"/>
        <v>304.84379909635476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1.9414811782593422</v>
      </c>
      <c r="EB75" s="21">
        <f>EXP(-LN(2)/25)*EB74+(1-EXP(-LN(2)/25))/(LN(2)/25)*Calculateur!DW75*Calculateur!DY75*VLOOKUP('Données projet'!$B$14,Paramètres!$A$1:$I$89,3,0)*0.475*44/12</f>
        <v>2.232062200833195</v>
      </c>
      <c r="EC75" s="21">
        <f>EXP(-LN(2)/2)*EC74+(1-EXP(-LN(2)/2))/(LN(2)/2)*DW75*DZ75*VLOOKUP('Données projet'!$B$14,Paramètres!$A$1:$I$89,3,0)*0.475*44/12</f>
        <v>2.744061709152801E-6</v>
      </c>
      <c r="ED75" s="22">
        <f t="shared" si="72"/>
        <v>4.1735461231542468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17</v>
      </c>
      <c r="N76" s="13">
        <f>IF('Données projet'!$A$36&gt;35,N75+M76-V75,IF(A76&lt;'Données projet'!$A$36,$K$205^A76,IF(A76='Données projet'!$A$36,'Données projet'!$B$36,N75+M76-V75)))</f>
        <v>387.49999999999989</v>
      </c>
      <c r="O76" s="13">
        <f>N76*VLOOKUP('Données projet'!$B$9,Paramètres!$A$1:$I$89,3,0)*VLOOKUP('Données projet'!$B$9,Paramètres!$A$1:$I$89,5,0)</f>
        <v>181.34999999999994</v>
      </c>
      <c r="P76" s="13">
        <f t="shared" si="87"/>
        <v>45.622405555921837</v>
      </c>
      <c r="Q76" s="20">
        <f t="shared" si="54"/>
        <v>395.310273009897</v>
      </c>
      <c r="R76" s="59">
        <f t="shared" si="55"/>
        <v>688.64360634323032</v>
      </c>
      <c r="S76" s="59">
        <f ca="1">AVERAGE(OFFSET($R$3,0,0,'Données projet'!$E$9+1,1))-AVERAGE(OFFSET($H$3,0,0,'Données projet'!$E$9+1,1))</f>
        <v>319.22903094674564</v>
      </c>
      <c r="T76" s="59">
        <f t="shared" si="88"/>
        <v>254.58690973142848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3.8731617376693084</v>
      </c>
      <c r="AA76" s="21">
        <f>EXP(-LN(2)/25)*AA75+(1-EXP(-LN(2)/25))/(LN(2)/25)*Calculateur!V76*Calculateur!X76*VLOOKUP('Données projet'!$B$9,Paramètres!$A$1:$I$89,3,0)*0.475*44/12</f>
        <v>3.3849689903389968</v>
      </c>
      <c r="AB76" s="21">
        <f>EXP(-LN(2)/2)*AB75+(1-EXP(-LN(2)/2))/(LN(2)/2)*V76*Y76*VLOOKUP('Données projet'!$B$9,Paramètres!$A$1:$I$89,3,0)*0.475*44/12</f>
        <v>3.7234645602244474E-6</v>
      </c>
      <c r="AC76" s="22">
        <f t="shared" si="57"/>
        <v>7.2581344514728654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-3.4106051316484809E-13</v>
      </c>
      <c r="AJ76" s="13">
        <f>AI76*VLOOKUP('Données projet'!$B$10,Paramètres!$A$1:$I$89,3,0)*VLOOKUP('Données projet'!$B$10,Paramètres!$A$1:$I$89,5,0)</f>
        <v>-1.9065282685915009E-13</v>
      </c>
      <c r="AK76" s="13" t="e">
        <f t="shared" si="89"/>
        <v>#NUM!</v>
      </c>
      <c r="AL76" s="20" t="e">
        <f t="shared" si="58"/>
        <v>#NUM!</v>
      </c>
      <c r="AM76" s="59" t="e">
        <f t="shared" si="59"/>
        <v>#NUM!</v>
      </c>
      <c r="AN76" s="59">
        <f ca="1">AVERAGE(OFFSET($AM$3,0,0,'Données projet'!$E$10+1,1))-AVERAGE(OFFSET($H$3,0,0,'Données projet'!$E$10+1,1))</f>
        <v>544.48194192356823</v>
      </c>
      <c r="AO76" s="59">
        <f t="shared" si="90"/>
        <v>668.20427590250733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3.1328421055859557</v>
      </c>
      <c r="AV76" s="21">
        <f>EXP(-LN(2)/25)*AV75+(1-EXP(-LN(2)/25))/(LN(2)/25)*Calculateur!AQ76*Calculateur!AS76*VLOOKUP('Données projet'!$B$10,Paramètres!$A$1:$I$89,3,0)*0.475*44/12</f>
        <v>12.934885972266093</v>
      </c>
      <c r="AW76" s="21">
        <f>EXP(-LN(2)/2)*AW75+(1-EXP(-LN(2)/2))/(LN(2)/2)*AQ76*AT76*VLOOKUP('Données projet'!$B$10,Paramètres!$A$1:$I$89,3,0)*0.475*44/12</f>
        <v>4.8613718539749256E-6</v>
      </c>
      <c r="AX76" s="21">
        <f t="shared" si="60"/>
        <v>16.067732939223902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7.6</v>
      </c>
      <c r="BD76" s="12">
        <f>IF('Données projet'!$A$88&gt;35,BD75+BC76-BL75,IF(A76&lt;'Données projet'!$A$88,$BA$205^A76,IF(A76='Données projet'!$A$88,'Données projet'!$B$88,BD75+BC76-BL75)))</f>
        <v>296.8</v>
      </c>
      <c r="BE76" s="13">
        <f>BD76*VLOOKUP('Données projet'!$B$11,Paramètres!$A$1:$I$89,3,0)*VLOOKUP('Données projet'!$B$11,Paramètres!$A$1:$I$89,5,0)</f>
        <v>268.54464000000002</v>
      </c>
      <c r="BF76" s="13">
        <f t="shared" si="91"/>
        <v>64.54030807605065</v>
      </c>
      <c r="BG76" s="20">
        <f t="shared" si="61"/>
        <v>580.12295123245474</v>
      </c>
      <c r="BH76" s="59">
        <f t="shared" si="62"/>
        <v>873.45628456578811</v>
      </c>
      <c r="BI76" s="59">
        <f ca="1">AVERAGE(OFFSET($BH$3,0,0,'Données projet'!$E$11+1,1))-AVERAGE(OFFSET($H$3,0,0,'Données projet'!$E$11+1,1))</f>
        <v>405.7176439604217</v>
      </c>
      <c r="BJ76" s="59">
        <f t="shared" si="92"/>
        <v>278.21741231699929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3.1188041565832778</v>
      </c>
      <c r="BQ76" s="21">
        <f>EXP(-LN(2)/25)*BQ75+(1-EXP(-LN(2)/25))/(LN(2)/25)*Calculateur!BL76*Calculateur!BN76*VLOOKUP('Données projet'!$B$11,Paramètres!$A$1:$I$89,3,0)*0.475*44/12</f>
        <v>2.8426627813941838</v>
      </c>
      <c r="BR76" s="21">
        <f>EXP(-LN(2)/2)*BR75+(1-EXP(-LN(2)/2))/(LN(2)/2)*BL76*BO76*VLOOKUP('Données projet'!$B$11,Paramètres!$A$1:$I$89,3,0)*0.475*44/12</f>
        <v>2.8777303696692618E-6</v>
      </c>
      <c r="BS76" s="22">
        <f t="shared" si="63"/>
        <v>5.9614698157078312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5</v>
      </c>
      <c r="BY76" s="12">
        <f>IF('Données projet'!$A$114&gt;35,BY75+BX76-CG75,IF(A76&lt;'Données projet'!$A$114,$BV$205^A76,IF(A76='Données projet'!$A$114,'Données projet'!$B$114,BY75+BX76-CG75)))</f>
        <v>251.00000000000011</v>
      </c>
      <c r="BZ76" s="13">
        <f>BY76*VLOOKUP('Données projet'!$B$12,Paramètres!$A$1:$I$89,3,0)*VLOOKUP('Données projet'!$B$12,Paramètres!$A$1:$I$89,5,0)</f>
        <v>219.27360000000016</v>
      </c>
      <c r="CA76" s="13">
        <f t="shared" si="93"/>
        <v>53.956975893220168</v>
      </c>
      <c r="CB76" s="20">
        <f t="shared" si="64"/>
        <v>475.87658634735868</v>
      </c>
      <c r="CC76" s="59">
        <f t="shared" si="65"/>
        <v>769.209919680692</v>
      </c>
      <c r="CD76" s="59">
        <f ca="1">AVERAGE(OFFSET($CC$3,0,0,'Données projet'!$E$12+1,1))-AVERAGE(OFFSET($H$3,0,0,'Données projet'!$E$12+1,1))</f>
        <v>381.72225529388083</v>
      </c>
      <c r="CE76" s="59">
        <f t="shared" si="94"/>
        <v>360.05900046417361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2.0532966454589734</v>
      </c>
      <c r="CL76" s="21">
        <f>EXP(-LN(2)/25)*CL75+(1-EXP(-LN(2)/25))/(LN(2)/25)*Calculateur!CG76*Calculateur!CI76*VLOOKUP('Données projet'!$B$12,Paramètres!$A$1:$I$89,3,0)*0.475*44/12</f>
        <v>3.424078158318657</v>
      </c>
      <c r="CM76" s="21">
        <f>EXP(-LN(2)/2)*CM75+(1-EXP(-LN(2)/2))/(LN(2)/2)*CG76*CJ76*VLOOKUP('Données projet'!$B$12,Paramètres!$A$1:$I$89,3,0)*0.475*44/12</f>
        <v>2.3593825398054763E-6</v>
      </c>
      <c r="CN76" s="22">
        <f t="shared" si="66"/>
        <v>5.4773771631601704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3.4</v>
      </c>
      <c r="CT76" s="12">
        <f>IF('Données projet'!$A$140&gt;35,CT75+CS76-DB75,IF(A76&lt;'Données projet'!$A$140,$CQ$205^A76,IF(A76='Données projet'!$A$140,'Données projet'!$B$140,CT75+CS76-DB75)))</f>
        <v>263.19999999999982</v>
      </c>
      <c r="CU76" s="17">
        <f>CT76*VLOOKUP('Données projet'!$B$13,Paramètres!$A$1:$I$89,3,0)*VLOOKUP('Données projet'!$B$13,Paramètres!$A$1:$I$89,5,0)</f>
        <v>209.40191999999988</v>
      </c>
      <c r="CV76" s="13">
        <f t="shared" si="95"/>
        <v>51.804868484579039</v>
      </c>
      <c r="CW76" s="20">
        <f t="shared" si="67"/>
        <v>454.93515661064157</v>
      </c>
      <c r="CX76" s="59">
        <f t="shared" si="68"/>
        <v>748.26848994397483</v>
      </c>
      <c r="CY76" s="59">
        <f ca="1">AVERAGE(OFFSET($CX$3,0,0,'Données projet'!$E$13+1,1))-AVERAGE(OFFSET($H$3,0,0,'Données projet'!$E$13+1,1))</f>
        <v>299.10536994156814</v>
      </c>
      <c r="CZ76" s="59">
        <f t="shared" si="96"/>
        <v>292.57799203101769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3.5936951880339798</v>
      </c>
      <c r="DG76" s="21">
        <f>EXP(-LN(2)/25)*DG75+(1-EXP(-LN(2)/25))/(LN(2)/25)*Calculateur!DB76*Calculateur!DD76*VLOOKUP('Données projet'!$B$13,Paramètres!$A$1:$I$89,3,0)*0.475*44/12</f>
        <v>3.2821971712387321</v>
      </c>
      <c r="DH76" s="21">
        <f>EXP(-LN(2)/2)*DH75+(1-EXP(-LN(2)/2))/(LN(2)/2)*DB76*DE76*VLOOKUP('Données projet'!$B$13,Paramètres!$A$1:$I$89,3,0)*0.475*44/12</f>
        <v>3.0253508804484243E-6</v>
      </c>
      <c r="DI76" s="22">
        <f t="shared" si="69"/>
        <v>6.8758953846235915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4.8</v>
      </c>
      <c r="DO76" s="12">
        <f>IF('Données projet'!$A$166&gt;35,DO75+DN76-DW75,IF(A76&lt;'Données projet'!$A$166,$DL$205^A76,IF(A76='Données projet'!$A$166,'Données projet'!$B$166,DO75+DN76-DW75)))</f>
        <v>263.40000000000009</v>
      </c>
      <c r="DP76" s="17">
        <f>DO76*VLOOKUP('Données projet'!$B$14,Paramètres!$A$1:$I$89,3,0)*VLOOKUP('Données projet'!$B$14,Paramètres!$A$1:$I$89,5,0)</f>
        <v>172.57968000000005</v>
      </c>
      <c r="DQ76" s="13">
        <f t="shared" si="97"/>
        <v>43.667278691745118</v>
      </c>
      <c r="DR76" s="20">
        <f t="shared" si="70"/>
        <v>376.63011972145614</v>
      </c>
      <c r="DS76" s="59">
        <f t="shared" si="71"/>
        <v>669.9634530547894</v>
      </c>
      <c r="DT76" s="59">
        <f ca="1">AVERAGE(OFFSET($DS$3,0,0,'Données projet'!$E$14+1,1))-AVERAGE(OFFSET($H$3,0,0,'Données projet'!$E$14+1,1))</f>
        <v>295.92103934364718</v>
      </c>
      <c r="DU76" s="59">
        <f t="shared" si="98"/>
        <v>304.84379909635476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1.9034099165402665</v>
      </c>
      <c r="EB76" s="21">
        <f>EXP(-LN(2)/25)*EB75+(1-EXP(-LN(2)/25))/(LN(2)/25)*Calculateur!DW76*Calculateur!DY76*VLOOKUP('Données projet'!$B$14,Paramètres!$A$1:$I$89,3,0)*0.475*44/12</f>
        <v>2.1710263425723615</v>
      </c>
      <c r="EC76" s="21">
        <f>EXP(-LN(2)/2)*EC75+(1-EXP(-LN(2)/2))/(LN(2)/2)*DW76*DZ76*VLOOKUP('Données projet'!$B$14,Paramètres!$A$1:$I$89,3,0)*0.475*44/12</f>
        <v>1.9403446425362932E-6</v>
      </c>
      <c r="ED76" s="22">
        <f t="shared" si="72"/>
        <v>4.07443819945727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17</v>
      </c>
      <c r="N77" s="13">
        <f>IF('Données projet'!$A$36&gt;35,N76+M77-V76,IF(A77&lt;'Données projet'!$A$36,$K$205^A77,IF(A77='Données projet'!$A$36,'Données projet'!$B$36,N76+M77-V76)))</f>
        <v>404.49999999999989</v>
      </c>
      <c r="O77" s="13">
        <f>N77*VLOOKUP('Données projet'!$B$9,Paramètres!$A$1:$I$89,3,0)*VLOOKUP('Données projet'!$B$9,Paramètres!$A$1:$I$89,5,0)</f>
        <v>189.30599999999993</v>
      </c>
      <c r="P77" s="13">
        <f t="shared" si="87"/>
        <v>47.386486642979079</v>
      </c>
      <c r="Q77" s="20">
        <f t="shared" si="54"/>
        <v>412.23941423652178</v>
      </c>
      <c r="R77" s="59">
        <f t="shared" si="55"/>
        <v>705.5727475698551</v>
      </c>
      <c r="S77" s="59">
        <f ca="1">AVERAGE(OFFSET($R$3,0,0,'Données projet'!$E$9+1,1))-AVERAGE(OFFSET($H$3,0,0,'Données projet'!$E$9+1,1))</f>
        <v>319.22903094674564</v>
      </c>
      <c r="T77" s="59">
        <f t="shared" si="88"/>
        <v>254.58690973142848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3.7972113983890061</v>
      </c>
      <c r="AA77" s="21">
        <f>EXP(-LN(2)/25)*AA76+(1-EXP(-LN(2)/25))/(LN(2)/25)*Calculateur!V77*Calculateur!X77*VLOOKUP('Données projet'!$B$9,Paramètres!$A$1:$I$89,3,0)*0.475*44/12</f>
        <v>3.2924068352903944</v>
      </c>
      <c r="AB77" s="21">
        <f>EXP(-LN(2)/2)*AB76+(1-EXP(-LN(2)/2))/(LN(2)/2)*V77*Y77*VLOOKUP('Données projet'!$B$9,Paramètres!$A$1:$I$89,3,0)*0.475*44/12</f>
        <v>2.6328870400424929E-6</v>
      </c>
      <c r="AC77" s="22">
        <f t="shared" si="57"/>
        <v>7.0896208665664409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-3.4106051316484809E-13</v>
      </c>
      <c r="AJ77" s="13">
        <f>AI77*VLOOKUP('Données projet'!$B$10,Paramètres!$A$1:$I$89,3,0)*VLOOKUP('Données projet'!$B$10,Paramètres!$A$1:$I$89,5,0)</f>
        <v>-1.9065282685915009E-13</v>
      </c>
      <c r="AK77" s="13" t="e">
        <f t="shared" si="89"/>
        <v>#NUM!</v>
      </c>
      <c r="AL77" s="20" t="e">
        <f t="shared" si="58"/>
        <v>#NUM!</v>
      </c>
      <c r="AM77" s="59" t="e">
        <f t="shared" si="59"/>
        <v>#NUM!</v>
      </c>
      <c r="AN77" s="59">
        <f ca="1">AVERAGE(OFFSET($AM$3,0,0,'Données projet'!$E$10+1,1))-AVERAGE(OFFSET($H$3,0,0,'Données projet'!$E$10+1,1))</f>
        <v>544.48194192356823</v>
      </c>
      <c r="AO77" s="59">
        <f t="shared" si="90"/>
        <v>668.20427590250733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3.0714089827404192</v>
      </c>
      <c r="AV77" s="21">
        <f>EXP(-LN(2)/25)*AV76+(1-EXP(-LN(2)/25))/(LN(2)/25)*Calculateur!AQ77*Calculateur!AS77*VLOOKUP('Données projet'!$B$10,Paramètres!$A$1:$I$89,3,0)*0.475*44/12</f>
        <v>12.581180835138387</v>
      </c>
      <c r="AW77" s="21">
        <f>EXP(-LN(2)/2)*AW76+(1-EXP(-LN(2)/2))/(LN(2)/2)*AQ77*AT77*VLOOKUP('Données projet'!$B$10,Paramètres!$A$1:$I$89,3,0)*0.475*44/12</f>
        <v>3.4375090038150886E-6</v>
      </c>
      <c r="AX77" s="21">
        <f t="shared" si="60"/>
        <v>15.65259325538781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7.6</v>
      </c>
      <c r="BD77" s="12">
        <f>IF('Données projet'!$A$88&gt;35,BD76+BC77-BL76,IF(A77&lt;'Données projet'!$A$88,$BA$205^A77,IF(A77='Données projet'!$A$88,'Données projet'!$B$88,BD76+BC77-BL76)))</f>
        <v>304.40000000000003</v>
      </c>
      <c r="BE77" s="13">
        <f>BD77*VLOOKUP('Données projet'!$B$11,Paramètres!$A$1:$I$89,3,0)*VLOOKUP('Données projet'!$B$11,Paramètres!$A$1:$I$89,5,0)</f>
        <v>275.42112000000003</v>
      </c>
      <c r="BF77" s="13">
        <f t="shared" si="91"/>
        <v>65.998433293601067</v>
      </c>
      <c r="BG77" s="20">
        <f t="shared" si="61"/>
        <v>594.63905531968851</v>
      </c>
      <c r="BH77" s="59">
        <f t="shared" si="62"/>
        <v>887.97238865302188</v>
      </c>
      <c r="BI77" s="59">
        <f ca="1">AVERAGE(OFFSET($BH$3,0,0,'Données projet'!$E$11+1,1))-AVERAGE(OFFSET($H$3,0,0,'Données projet'!$E$11+1,1))</f>
        <v>405.7176439604217</v>
      </c>
      <c r="BJ77" s="59">
        <f t="shared" si="92"/>
        <v>278.21741231699929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3.0576463093553805</v>
      </c>
      <c r="BQ77" s="21">
        <f>EXP(-LN(2)/25)*BQ76+(1-EXP(-LN(2)/25))/(LN(2)/25)*Calculateur!BL77*Calculateur!BN77*VLOOKUP('Données projet'!$B$11,Paramètres!$A$1:$I$89,3,0)*0.475*44/12</f>
        <v>2.7649300181478211</v>
      </c>
      <c r="BR77" s="21">
        <f>EXP(-LN(2)/2)*BR76+(1-EXP(-LN(2)/2))/(LN(2)/2)*BL77*BO77*VLOOKUP('Données projet'!$B$11,Paramètres!$A$1:$I$89,3,0)*0.475*44/12</f>
        <v>2.0348626588196052E-6</v>
      </c>
      <c r="BS77" s="22">
        <f t="shared" si="63"/>
        <v>5.82257836236586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5</v>
      </c>
      <c r="BY77" s="12">
        <f>IF('Données projet'!$A$114&gt;35,BY76+BX77-CG76,IF(A77&lt;'Données projet'!$A$114,$BV$205^A77,IF(A77='Données projet'!$A$114,'Données projet'!$B$114,BY76+BX77-CG76)))</f>
        <v>256.00000000000011</v>
      </c>
      <c r="BZ77" s="13">
        <f>BY77*VLOOKUP('Données projet'!$B$12,Paramètres!$A$1:$I$89,3,0)*VLOOKUP('Données projet'!$B$12,Paramètres!$A$1:$I$89,5,0)</f>
        <v>223.64160000000012</v>
      </c>
      <c r="CA77" s="13">
        <f t="shared" si="93"/>
        <v>54.905611653539218</v>
      </c>
      <c r="CB77" s="20">
        <f t="shared" si="64"/>
        <v>485.13639362991444</v>
      </c>
      <c r="CC77" s="59">
        <f t="shared" si="65"/>
        <v>778.46972696324769</v>
      </c>
      <c r="CD77" s="59">
        <f ca="1">AVERAGE(OFFSET($CC$3,0,0,'Données projet'!$E$12+1,1))-AVERAGE(OFFSET($H$3,0,0,'Données projet'!$E$12+1,1))</f>
        <v>381.72225529388083</v>
      </c>
      <c r="CE77" s="59">
        <f t="shared" si="94"/>
        <v>360.05900046417361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2.0130327506288137</v>
      </c>
      <c r="CL77" s="21">
        <f>EXP(-LN(2)/25)*CL76+(1-EXP(-LN(2)/25))/(LN(2)/25)*Calculateur!CG77*Calculateur!CI77*VLOOKUP('Données projet'!$B$12,Paramètres!$A$1:$I$89,3,0)*0.475*44/12</f>
        <v>3.3304465610149889</v>
      </c>
      <c r="CM77" s="21">
        <f>EXP(-LN(2)/2)*CM76+(1-EXP(-LN(2)/2))/(LN(2)/2)*CG77*CJ77*VLOOKUP('Données projet'!$B$12,Paramètres!$A$1:$I$89,3,0)*0.475*44/12</f>
        <v>1.6683353933095917E-6</v>
      </c>
      <c r="CN77" s="22">
        <f t="shared" si="66"/>
        <v>5.343480979979196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3.4</v>
      </c>
      <c r="CT77" s="12">
        <f>IF('Données projet'!$A$140&gt;35,CT76+CS77-DB76,IF(A77&lt;'Données projet'!$A$140,$CQ$205^A77,IF(A77='Données projet'!$A$140,'Données projet'!$B$140,CT76+CS77-DB76)))</f>
        <v>266.5999999999998</v>
      </c>
      <c r="CU77" s="17">
        <f>CT77*VLOOKUP('Données projet'!$B$13,Paramètres!$A$1:$I$89,3,0)*VLOOKUP('Données projet'!$B$13,Paramètres!$A$1:$I$89,5,0)</f>
        <v>212.10695999999984</v>
      </c>
      <c r="CV77" s="13">
        <f t="shared" si="95"/>
        <v>52.395741612408194</v>
      </c>
      <c r="CW77" s="20">
        <f t="shared" si="67"/>
        <v>460.67553864161067</v>
      </c>
      <c r="CX77" s="59">
        <f t="shared" si="68"/>
        <v>754.00887197494399</v>
      </c>
      <c r="CY77" s="59">
        <f ca="1">AVERAGE(OFFSET($CX$3,0,0,'Données projet'!$E$13+1,1))-AVERAGE(OFFSET($H$3,0,0,'Données projet'!$E$13+1,1))</f>
        <v>299.10536994156814</v>
      </c>
      <c r="CZ77" s="59">
        <f t="shared" si="96"/>
        <v>292.57799203101769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3.5232250173342621</v>
      </c>
      <c r="DG77" s="21">
        <f>EXP(-LN(2)/25)*DG76+(1-EXP(-LN(2)/25))/(LN(2)/25)*Calculateur!DB77*Calculateur!DD77*VLOOKUP('Données projet'!$B$13,Paramètres!$A$1:$I$89,3,0)*0.475*44/12</f>
        <v>3.1924453169879614</v>
      </c>
      <c r="DH77" s="21">
        <f>EXP(-LN(2)/2)*DH76+(1-EXP(-LN(2)/2))/(LN(2)/2)*DB77*DE77*VLOOKUP('Données projet'!$B$13,Paramètres!$A$1:$I$89,3,0)*0.475*44/12</f>
        <v>2.1392461230337728E-6</v>
      </c>
      <c r="DI77" s="22">
        <f t="shared" si="69"/>
        <v>6.7156724735683468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4.8</v>
      </c>
      <c r="DO77" s="12">
        <f>IF('Données projet'!$A$166&gt;35,DO76+DN77-DW76,IF(A77&lt;'Données projet'!$A$166,$DL$205^A77,IF(A77='Données projet'!$A$166,'Données projet'!$B$166,DO76+DN77-DW76)))</f>
        <v>268.2000000000001</v>
      </c>
      <c r="DP77" s="17">
        <f>DO77*VLOOKUP('Données projet'!$B$14,Paramètres!$A$1:$I$89,3,0)*VLOOKUP('Données projet'!$B$14,Paramètres!$A$1:$I$89,5,0)</f>
        <v>175.72464000000005</v>
      </c>
      <c r="DQ77" s="13">
        <f t="shared" si="97"/>
        <v>44.369670673452703</v>
      </c>
      <c r="DR77" s="20">
        <f t="shared" si="70"/>
        <v>383.3309244229302</v>
      </c>
      <c r="DS77" s="59">
        <f t="shared" si="71"/>
        <v>676.66425775626351</v>
      </c>
      <c r="DT77" s="59">
        <f ca="1">AVERAGE(OFFSET($DS$3,0,0,'Données projet'!$E$14+1,1))-AVERAGE(OFFSET($H$3,0,0,'Données projet'!$E$14+1,1))</f>
        <v>295.92103934364718</v>
      </c>
      <c r="DU77" s="59">
        <f t="shared" si="98"/>
        <v>304.84379909635476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1.8660852090423252</v>
      </c>
      <c r="EB77" s="21">
        <f>EXP(-LN(2)/25)*EB76+(1-EXP(-LN(2)/25))/(LN(2)/25)*Calculateur!DW77*Calculateur!DY77*VLOOKUP('Données projet'!$B$14,Paramètres!$A$1:$I$89,3,0)*0.475*44/12</f>
        <v>2.111659513065407</v>
      </c>
      <c r="EC77" s="21">
        <f>EXP(-LN(2)/2)*EC76+(1-EXP(-LN(2)/2))/(LN(2)/2)*DW77*DZ77*VLOOKUP('Données projet'!$B$14,Paramètres!$A$1:$I$89,3,0)*0.475*44/12</f>
        <v>1.3720308545764005E-6</v>
      </c>
      <c r="ED77" s="22">
        <f t="shared" si="72"/>
        <v>3.9777460941385869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17</v>
      </c>
      <c r="N78" s="13">
        <f>IF('Données projet'!$A$36&gt;35,N77+M78-V77,IF(A78&lt;'Données projet'!$A$36,$K$205^A78,IF(A78='Données projet'!$A$36,'Données projet'!$B$36,N77+M78-V77)))</f>
        <v>421.49999999999989</v>
      </c>
      <c r="O78" s="13">
        <f>N78*VLOOKUP('Données projet'!$B$9,Paramètres!$A$1:$I$89,3,0)*VLOOKUP('Données projet'!$B$9,Paramètres!$A$1:$I$89,5,0)</f>
        <v>197.26199999999994</v>
      </c>
      <c r="P78" s="13">
        <f t="shared" si="87"/>
        <v>49.141956303266518</v>
      </c>
      <c r="Q78" s="20">
        <f t="shared" si="54"/>
        <v>429.15355722818907</v>
      </c>
      <c r="R78" s="59">
        <f t="shared" si="55"/>
        <v>722.48689056152239</v>
      </c>
      <c r="S78" s="59">
        <f ca="1">AVERAGE(OFFSET($R$3,0,0,'Données projet'!$E$9+1,1))-AVERAGE(OFFSET($H$3,0,0,'Données projet'!$E$9+1,1))</f>
        <v>319.22903094674564</v>
      </c>
      <c r="T78" s="59">
        <f t="shared" si="88"/>
        <v>254.58690973142848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3.7227503989368578</v>
      </c>
      <c r="AA78" s="21">
        <f>EXP(-LN(2)/25)*AA77+(1-EXP(-LN(2)/25))/(LN(2)/25)*Calculateur!V78*Calculateur!X78*VLOOKUP('Données projet'!$B$9,Paramètres!$A$1:$I$89,3,0)*0.475*44/12</f>
        <v>3.2023757972392279</v>
      </c>
      <c r="AB78" s="21">
        <f>EXP(-LN(2)/2)*AB77+(1-EXP(-LN(2)/2))/(LN(2)/2)*V78*Y78*VLOOKUP('Données projet'!$B$9,Paramètres!$A$1:$I$89,3,0)*0.475*44/12</f>
        <v>1.8617322801122239E-6</v>
      </c>
      <c r="AC78" s="22">
        <f t="shared" si="57"/>
        <v>6.9251280579083661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-3.4106051316484809E-13</v>
      </c>
      <c r="AJ78" s="13">
        <f>AI78*VLOOKUP('Données projet'!$B$10,Paramètres!$A$1:$I$89,3,0)*VLOOKUP('Données projet'!$B$10,Paramètres!$A$1:$I$89,5,0)</f>
        <v>-1.9065282685915009E-13</v>
      </c>
      <c r="AK78" s="13" t="e">
        <f t="shared" si="89"/>
        <v>#NUM!</v>
      </c>
      <c r="AL78" s="20" t="e">
        <f t="shared" si="58"/>
        <v>#NUM!</v>
      </c>
      <c r="AM78" s="59" t="e">
        <f t="shared" si="59"/>
        <v>#NUM!</v>
      </c>
      <c r="AN78" s="59">
        <f ca="1">AVERAGE(OFFSET($AM$3,0,0,'Données projet'!$E$10+1,1))-AVERAGE(OFFSET($H$3,0,0,'Données projet'!$E$10+1,1))</f>
        <v>544.48194192356823</v>
      </c>
      <c r="AO78" s="59">
        <f t="shared" si="90"/>
        <v>668.20427590250733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3.0111805259633786</v>
      </c>
      <c r="AV78" s="21">
        <f>EXP(-LN(2)/25)*AV77+(1-EXP(-LN(2)/25))/(LN(2)/25)*Calculateur!AQ78*Calculateur!AS78*VLOOKUP('Données projet'!$B$10,Paramètres!$A$1:$I$89,3,0)*0.475*44/12</f>
        <v>12.237147783585982</v>
      </c>
      <c r="AW78" s="21">
        <f>EXP(-LN(2)/2)*AW77+(1-EXP(-LN(2)/2))/(LN(2)/2)*AQ78*AT78*VLOOKUP('Données projet'!$B$10,Paramètres!$A$1:$I$89,3,0)*0.475*44/12</f>
        <v>2.4306859269874628E-6</v>
      </c>
      <c r="AX78" s="21">
        <f t="shared" si="60"/>
        <v>15.248330740235287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312</v>
      </c>
      <c r="BB78" s="12">
        <f>VLOOKUP(A78,'Données projet'!$A$87:$I$107,9,0)</f>
        <v>7.6</v>
      </c>
      <c r="BC78" s="12">
        <f t="array" ref="BC78">INDEX(BB:BB,MIN(IF(ISNUMBER(BB78:BB274),ROW(BB78:BB274),"")))</f>
        <v>7.6</v>
      </c>
      <c r="BD78" s="12">
        <f>IF('Données projet'!$A$88&gt;35,BD77+BC78-BL77,IF(A78&lt;'Données projet'!$A$88,$BA$205^A78,IF(A78='Données projet'!$A$88,'Données projet'!$B$88,BD77+BC78-BL77)))</f>
        <v>312.00000000000006</v>
      </c>
      <c r="BE78" s="13">
        <f>BD78*VLOOKUP('Données projet'!$B$11,Paramètres!$A$1:$I$89,3,0)*VLOOKUP('Données projet'!$B$11,Paramètres!$A$1:$I$89,5,0)</f>
        <v>282.29760000000005</v>
      </c>
      <c r="BF78" s="13">
        <f t="shared" si="91"/>
        <v>67.452326629470178</v>
      </c>
      <c r="BG78" s="20">
        <f t="shared" si="61"/>
        <v>609.14778887966054</v>
      </c>
      <c r="BH78" s="59">
        <f t="shared" si="62"/>
        <v>902.4811222129938</v>
      </c>
      <c r="BI78" s="59">
        <f ca="1">AVERAGE(OFFSET($BH$3,0,0,'Données projet'!$E$11+1,1))-AVERAGE(OFFSET($H$3,0,0,'Données projet'!$E$11+1,1))</f>
        <v>405.7176439604217</v>
      </c>
      <c r="BJ78" s="59">
        <f t="shared" si="92"/>
        <v>278.21741231699929</v>
      </c>
      <c r="BK78" s="15">
        <f>IF(ISNA(VLOOKUP(A78,'Données projet'!$A$87:$I$107,3,0)),0,VLOOKUP(A78,'Données projet'!$A$87:$I$107,3,0))</f>
        <v>12</v>
      </c>
      <c r="BL78" s="15">
        <f>IF(ISNA(VLOOKUP(A78,'Données projet'!$A$87:$I$107,4,0)),0,VLOOKUP(A78,'Données projet'!$A$87:$I$107,4,0))</f>
        <v>28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2.9976877302090186</v>
      </c>
      <c r="BQ78" s="21">
        <f>EXP(-LN(2)/25)*BQ77+(1-EXP(-LN(2)/25))/(LN(2)/25)*Calculateur!BL78*Calculateur!BN78*VLOOKUP('Données projet'!$B$11,Paramètres!$A$1:$I$89,3,0)*0.475*44/12</f>
        <v>2.6893228614002185</v>
      </c>
      <c r="BR78" s="21">
        <f>EXP(-LN(2)/2)*BR77+(1-EXP(-LN(2)/2))/(LN(2)/2)*BL78*BO78*VLOOKUP('Données projet'!$B$11,Paramètres!$A$1:$I$89,3,0)*0.475*44/12</f>
        <v>1.4388651848346309E-6</v>
      </c>
      <c r="BS78" s="22">
        <f t="shared" si="63"/>
        <v>5.6870120304744223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>
        <f>VLOOKUP(A78,'Données projet'!$A$113:$I$133,2,0)</f>
        <v>261</v>
      </c>
      <c r="BW78" s="12">
        <f>VLOOKUP(A78,'Données projet'!$A$113:$I$133,9,0)</f>
        <v>5</v>
      </c>
      <c r="BX78" s="12">
        <f t="array" ref="BX78">INDEX(BW:BW,MIN(IF(ISNUMBER(BW78:BW274),ROW(BW78:BW274),"")))</f>
        <v>5</v>
      </c>
      <c r="BY78" s="12">
        <f>IF('Données projet'!$A$114&gt;35,BY77+BX78-CG77,IF(A78&lt;'Données projet'!$A$114,$BV$205^A78,IF(A78='Données projet'!$A$114,'Données projet'!$B$114,BY77+BX78-CG77)))</f>
        <v>261.00000000000011</v>
      </c>
      <c r="BZ78" s="13">
        <f>BY78*VLOOKUP('Données projet'!$B$12,Paramètres!$A$1:$I$89,3,0)*VLOOKUP('Données projet'!$B$12,Paramètres!$A$1:$I$89,5,0)</f>
        <v>228.00960000000015</v>
      </c>
      <c r="CA78" s="13">
        <f t="shared" si="93"/>
        <v>55.852093054619878</v>
      </c>
      <c r="CB78" s="20">
        <f t="shared" si="64"/>
        <v>494.39244873679655</v>
      </c>
      <c r="CC78" s="59">
        <f t="shared" si="65"/>
        <v>787.72578207012987</v>
      </c>
      <c r="CD78" s="59">
        <f ca="1">AVERAGE(OFFSET($CC$3,0,0,'Données projet'!$E$12+1,1))-AVERAGE(OFFSET($H$3,0,0,'Données projet'!$E$12+1,1))</f>
        <v>381.72225529388083</v>
      </c>
      <c r="CE78" s="59">
        <f t="shared" si="94"/>
        <v>360.05900046417361</v>
      </c>
      <c r="CF78" s="15">
        <f>IF(ISNA(VLOOKUP(A78,'Données projet'!$A$113:$I$133,3,0)),0,VLOOKUP(A78,'Données projet'!$A$113:$I$133,3,0))</f>
        <v>13</v>
      </c>
      <c r="CG78" s="15">
        <f>IF(ISNA(VLOOKUP(A78,'Données projet'!$A$113:$I$133,4,0)),0,VLOOKUP(A78,'Données projet'!$A$113:$I$133,4,0))</f>
        <v>19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1.9735584062177225</v>
      </c>
      <c r="CL78" s="21">
        <f>EXP(-LN(2)/25)*CL77+(1-EXP(-LN(2)/25))/(LN(2)/25)*Calculateur!CG78*Calculateur!CI78*VLOOKUP('Données projet'!$B$12,Paramètres!$A$1:$I$89,3,0)*0.475*44/12</f>
        <v>3.2393753246634613</v>
      </c>
      <c r="CM78" s="21">
        <f>EXP(-LN(2)/2)*CM77+(1-EXP(-LN(2)/2))/(LN(2)/2)*CG78*CJ78*VLOOKUP('Données projet'!$B$12,Paramètres!$A$1:$I$89,3,0)*0.475*44/12</f>
        <v>1.1796912699027382E-6</v>
      </c>
      <c r="CN78" s="22">
        <f t="shared" si="66"/>
        <v>5.2129349105724536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>
        <f>VLOOKUP(A78,'Données projet'!$A$139:$I$159,2,0)</f>
        <v>270</v>
      </c>
      <c r="CR78" s="12">
        <f>VLOOKUP(A78,'Données projet'!$A$139:$I$159,9,0)</f>
        <v>3.4</v>
      </c>
      <c r="CS78" s="12">
        <f t="array" ref="CS78">INDEX(CR:CR,MIN(IF(ISNUMBER(CR78:CR274),ROW(CR78:CR274),"")))</f>
        <v>3.4</v>
      </c>
      <c r="CT78" s="12">
        <f>IF('Données projet'!$A$140&gt;35,CT77+CS78-DB77,IF(A78&lt;'Données projet'!$A$140,$CQ$205^A78,IF(A78='Données projet'!$A$140,'Données projet'!$B$140,CT77+CS78-DB77)))</f>
        <v>269.99999999999977</v>
      </c>
      <c r="CU78" s="17">
        <f>CT78*VLOOKUP('Données projet'!$B$13,Paramètres!$A$1:$I$89,3,0)*VLOOKUP('Données projet'!$B$13,Paramètres!$A$1:$I$89,5,0)</f>
        <v>214.81199999999981</v>
      </c>
      <c r="CV78" s="13">
        <f t="shared" si="95"/>
        <v>52.985738231738011</v>
      </c>
      <c r="CW78" s="20">
        <f t="shared" si="67"/>
        <v>466.41439408694333</v>
      </c>
      <c r="CX78" s="59">
        <f t="shared" si="68"/>
        <v>759.74772742027665</v>
      </c>
      <c r="CY78" s="59">
        <f ca="1">AVERAGE(OFFSET($CX$3,0,0,'Données projet'!$E$13+1,1))-AVERAGE(OFFSET($H$3,0,0,'Données projet'!$E$13+1,1))</f>
        <v>299.10536994156814</v>
      </c>
      <c r="CZ78" s="59">
        <f t="shared" si="96"/>
        <v>292.57799203101769</v>
      </c>
      <c r="DA78" s="15">
        <f>IF(ISNA(VLOOKUP(A78,'Données projet'!$A$139:$I$159,3,0)),0,VLOOKUP(A78,'Données projet'!$A$139:$I$159,3,0))</f>
        <v>13</v>
      </c>
      <c r="DB78" s="15">
        <f>IF(ISNA(VLOOKUP(A78,'Données projet'!$A$139:$I$159,4,0)),0,VLOOKUP(A78,'Données projet'!$A$139:$I$159,4,0))</f>
        <v>9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3.4541367236994063</v>
      </c>
      <c r="DG78" s="21">
        <f>EXP(-LN(2)/25)*DG77+(1-EXP(-LN(2)/25))/(LN(2)/25)*Calculateur!DB78*Calculateur!DD78*VLOOKUP('Données projet'!$B$13,Paramètres!$A$1:$I$89,3,0)*0.475*44/12</f>
        <v>3.1051477319115226</v>
      </c>
      <c r="DH78" s="21">
        <f>EXP(-LN(2)/2)*DH77+(1-EXP(-LN(2)/2))/(LN(2)/2)*DB78*DE78*VLOOKUP('Données projet'!$B$13,Paramètres!$A$1:$I$89,3,0)*0.475*44/12</f>
        <v>1.5126754402242122E-6</v>
      </c>
      <c r="DI78" s="22">
        <f t="shared" si="69"/>
        <v>6.5592859682863685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>
        <f>VLOOKUP(A78,'Données projet'!$A$165:$I$185,2,0)</f>
        <v>273</v>
      </c>
      <c r="DM78" s="12">
        <f>VLOOKUP(A78,'Données projet'!$A$165:$I$185,9,0)</f>
        <v>4.8</v>
      </c>
      <c r="DN78" s="12">
        <f t="array" ref="DN78">INDEX(DM:DM,MIN(IF(ISNUMBER(DM78:DM274),ROW(DM78:DM274),"")))</f>
        <v>4.8</v>
      </c>
      <c r="DO78" s="12">
        <f>IF('Données projet'!$A$166&gt;35,DO77+DN78-DW77,IF(A78&lt;'Données projet'!$A$166,$DL$205^A78,IF(A78='Données projet'!$A$166,'Données projet'!$B$166,DO77+DN78-DW77)))</f>
        <v>273.00000000000011</v>
      </c>
      <c r="DP78" s="17">
        <f>DO78*VLOOKUP('Données projet'!$B$14,Paramètres!$A$1:$I$89,3,0)*VLOOKUP('Données projet'!$B$14,Paramètres!$A$1:$I$89,5,0)</f>
        <v>178.86960000000008</v>
      </c>
      <c r="DQ78" s="13">
        <f t="shared" si="97"/>
        <v>45.07060085766652</v>
      </c>
      <c r="DR78" s="20">
        <f t="shared" si="70"/>
        <v>390.02918316043593</v>
      </c>
      <c r="DS78" s="59">
        <f t="shared" si="71"/>
        <v>683.36251649376925</v>
      </c>
      <c r="DT78" s="59">
        <f ca="1">AVERAGE(OFFSET($DS$3,0,0,'Données projet'!$E$14+1,1))-AVERAGE(OFFSET($H$3,0,0,'Données projet'!$E$14+1,1))</f>
        <v>295.92103934364718</v>
      </c>
      <c r="DU78" s="59">
        <f t="shared" si="98"/>
        <v>304.84379909635476</v>
      </c>
      <c r="DV78" s="15">
        <f>IF(ISNA(VLOOKUP(A78,'Données projet'!$A$165:$I$185,3,0)),0,VLOOKUP(A78,'Données projet'!$A$165:$I$185,3,0))</f>
        <v>14</v>
      </c>
      <c r="DW78" s="15">
        <f>IF(ISNA(VLOOKUP(A78,'Données projet'!$A$165:$I$185,4,0)),0,VLOOKUP(A78,'Données projet'!$A$165:$I$185,4,0))</f>
        <v>19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1.829492416292595</v>
      </c>
      <c r="EB78" s="21">
        <f>EXP(-LN(2)/25)*EB77+(1-EXP(-LN(2)/25))/(LN(2)/25)*Calculateur!DW78*Calculateur!DY78*VLOOKUP('Données projet'!$B$14,Paramètres!$A$1:$I$89,3,0)*0.475*44/12</f>
        <v>2.0539160726332861</v>
      </c>
      <c r="EC78" s="21">
        <f>EXP(-LN(2)/2)*EC77+(1-EXP(-LN(2)/2))/(LN(2)/2)*DW78*DZ78*VLOOKUP('Données projet'!$B$14,Paramètres!$A$1:$I$89,3,0)*0.475*44/12</f>
        <v>9.7017232126814661E-7</v>
      </c>
      <c r="ED78" s="22">
        <f t="shared" si="72"/>
        <v>3.8834094590982025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17</v>
      </c>
      <c r="N79" s="13">
        <f>IF('Données projet'!$A$36&gt;35,N78+M79-V78,IF(A79&lt;'Données projet'!$A$36,$K$205^A79,IF(A79='Données projet'!$A$36,'Données projet'!$B$36,N78+M79-V78)))</f>
        <v>438.49999999999989</v>
      </c>
      <c r="O79" s="13">
        <f>N79*VLOOKUP('Données projet'!$B$9,Paramètres!$A$1:$I$89,3,0)*VLOOKUP('Données projet'!$B$9,Paramètres!$A$1:$I$89,5,0)</f>
        <v>205.21799999999996</v>
      </c>
      <c r="P79" s="13">
        <f t="shared" si="87"/>
        <v>50.889201586985514</v>
      </c>
      <c r="Q79" s="20">
        <f t="shared" si="54"/>
        <v>446.05337609733306</v>
      </c>
      <c r="R79" s="59">
        <f t="shared" si="55"/>
        <v>739.38670943066631</v>
      </c>
      <c r="S79" s="59">
        <f ca="1">AVERAGE(OFFSET($R$3,0,0,'Données projet'!$E$9+1,1))-AVERAGE(OFFSET($H$3,0,0,'Données projet'!$E$9+1,1))</f>
        <v>319.22903094674564</v>
      </c>
      <c r="T79" s="59">
        <f t="shared" si="88"/>
        <v>254.58690973142848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3.649749534267241</v>
      </c>
      <c r="AA79" s="21">
        <f>EXP(-LN(2)/25)*AA78+(1-EXP(-LN(2)/25))/(LN(2)/25)*Calculateur!V79*Calculateur!X79*VLOOKUP('Données projet'!$B$9,Paramètres!$A$1:$I$89,3,0)*0.475*44/12</f>
        <v>3.114806662658097</v>
      </c>
      <c r="AB79" s="21">
        <f>EXP(-LN(2)/2)*AB78+(1-EXP(-LN(2)/2))/(LN(2)/2)*V79*Y79*VLOOKUP('Données projet'!$B$9,Paramètres!$A$1:$I$89,3,0)*0.475*44/12</f>
        <v>1.3164435200212467E-6</v>
      </c>
      <c r="AC79" s="22">
        <f t="shared" si="57"/>
        <v>6.7645575133688585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-3.4106051316484809E-13</v>
      </c>
      <c r="AJ79" s="13">
        <f>AI79*VLOOKUP('Données projet'!$B$10,Paramètres!$A$1:$I$89,3,0)*VLOOKUP('Données projet'!$B$10,Paramètres!$A$1:$I$89,5,0)</f>
        <v>-1.9065282685915009E-13</v>
      </c>
      <c r="AK79" s="13" t="e">
        <f t="shared" si="89"/>
        <v>#NUM!</v>
      </c>
      <c r="AL79" s="20" t="e">
        <f t="shared" si="58"/>
        <v>#NUM!</v>
      </c>
      <c r="AM79" s="59" t="e">
        <f t="shared" si="59"/>
        <v>#NUM!</v>
      </c>
      <c r="AN79" s="59">
        <f ca="1">AVERAGE(OFFSET($AM$3,0,0,'Données projet'!$E$10+1,1))-AVERAGE(OFFSET($H$3,0,0,'Données projet'!$E$10+1,1))</f>
        <v>544.48194192356823</v>
      </c>
      <c r="AO79" s="59">
        <f t="shared" si="90"/>
        <v>668.20427590250733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2.9521331124880046</v>
      </c>
      <c r="AV79" s="21">
        <f>EXP(-LN(2)/25)*AV78+(1-EXP(-LN(2)/25))/(LN(2)/25)*Calculateur!AQ79*Calculateur!AS79*VLOOKUP('Données projet'!$B$10,Paramètres!$A$1:$I$89,3,0)*0.475*44/12</f>
        <v>11.90252233392019</v>
      </c>
      <c r="AW79" s="21">
        <f>EXP(-LN(2)/2)*AW78+(1-EXP(-LN(2)/2))/(LN(2)/2)*AQ79*AT79*VLOOKUP('Données projet'!$B$10,Paramètres!$A$1:$I$89,3,0)*0.475*44/12</f>
        <v>1.7187545019075443E-6</v>
      </c>
      <c r="AX79" s="21">
        <f t="shared" si="60"/>
        <v>14.854657165162697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7.2</v>
      </c>
      <c r="BD79" s="12">
        <f>IF('Données projet'!$A$88&gt;35,BD78+BC79-BL78,IF(A79&lt;'Données projet'!$A$88,$BA$205^A79,IF(A79='Données projet'!$A$88,'Données projet'!$B$88,BD78+BC79-BL78)))</f>
        <v>291.20000000000005</v>
      </c>
      <c r="BE79" s="13">
        <f>BD79*VLOOKUP('Données projet'!$B$11,Paramètres!$A$1:$I$89,3,0)*VLOOKUP('Données projet'!$B$11,Paramètres!$A$1:$I$89,5,0)</f>
        <v>263.47776000000005</v>
      </c>
      <c r="BF79" s="13">
        <f t="shared" si="91"/>
        <v>63.46312159763346</v>
      </c>
      <c r="BG79" s="20">
        <f t="shared" si="61"/>
        <v>569.42203544921165</v>
      </c>
      <c r="BH79" s="59">
        <f t="shared" si="62"/>
        <v>862.75536878254502</v>
      </c>
      <c r="BI79" s="59">
        <f ca="1">AVERAGE(OFFSET($BH$3,0,0,'Données projet'!$E$11+1,1))-AVERAGE(OFFSET($H$3,0,0,'Données projet'!$E$11+1,1))</f>
        <v>405.7176439604217</v>
      </c>
      <c r="BJ79" s="59">
        <f t="shared" si="92"/>
        <v>278.21741231699929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2.9389049022285949</v>
      </c>
      <c r="BQ79" s="21">
        <f>EXP(-LN(2)/25)*BQ78+(1-EXP(-LN(2)/25))/(LN(2)/25)*Calculateur!BL79*Calculateur!BN79*VLOOKUP('Données projet'!$B$11,Paramètres!$A$1:$I$89,3,0)*0.475*44/12</f>
        <v>2.6157831863298866</v>
      </c>
      <c r="BR79" s="21">
        <f>EXP(-LN(2)/2)*BR78+(1-EXP(-LN(2)/2))/(LN(2)/2)*BL79*BO79*VLOOKUP('Données projet'!$B$11,Paramètres!$A$1:$I$89,3,0)*0.475*44/12</f>
        <v>1.0174313294098026E-6</v>
      </c>
      <c r="BS79" s="22">
        <f t="shared" si="63"/>
        <v>5.5546891059898114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4.4000000000000004</v>
      </c>
      <c r="BY79" s="12">
        <f>IF('Données projet'!$A$114&gt;35,BY78+BX79-CG78,IF(A79&lt;'Données projet'!$A$114,$BV$205^A79,IF(A79='Données projet'!$A$114,'Données projet'!$B$114,BY78+BX79-CG78)))</f>
        <v>246.40000000000009</v>
      </c>
      <c r="BZ79" s="13">
        <f>BY79*VLOOKUP('Données projet'!$B$12,Paramètres!$A$1:$I$89,3,0)*VLOOKUP('Données projet'!$B$12,Paramètres!$A$1:$I$89,5,0)</f>
        <v>215.25504000000012</v>
      </c>
      <c r="CA79" s="13">
        <f t="shared" si="93"/>
        <v>53.082287058997267</v>
      </c>
      <c r="CB79" s="20">
        <f t="shared" si="64"/>
        <v>467.35417796108709</v>
      </c>
      <c r="CC79" s="59">
        <f t="shared" si="65"/>
        <v>760.68751129442035</v>
      </c>
      <c r="CD79" s="59">
        <f ca="1">AVERAGE(OFFSET($CC$3,0,0,'Données projet'!$E$12+1,1))-AVERAGE(OFFSET($H$3,0,0,'Données projet'!$E$12+1,1))</f>
        <v>381.72225529388083</v>
      </c>
      <c r="CE79" s="59">
        <f t="shared" si="94"/>
        <v>360.05900046417361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1.9348581296235601</v>
      </c>
      <c r="CL79" s="21">
        <f>EXP(-LN(2)/25)*CL78+(1-EXP(-LN(2)/25))/(LN(2)/25)*Calculateur!CG79*Calculateur!CI79*VLOOKUP('Données projet'!$B$12,Paramètres!$A$1:$I$89,3,0)*0.475*44/12</f>
        <v>3.1507944360591944</v>
      </c>
      <c r="CM79" s="21">
        <f>EXP(-LN(2)/2)*CM78+(1-EXP(-LN(2)/2))/(LN(2)/2)*CG79*CJ79*VLOOKUP('Données projet'!$B$12,Paramètres!$A$1:$I$89,3,0)*0.475*44/12</f>
        <v>8.3416769665479587E-7</v>
      </c>
      <c r="CN79" s="22">
        <f t="shared" si="66"/>
        <v>5.0856533998504512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2.8</v>
      </c>
      <c r="CT79" s="12">
        <f>IF('Données projet'!$A$140&gt;35,CT78+CS79-DB78,IF(A79&lt;'Données projet'!$A$140,$CQ$205^A79,IF(A79='Données projet'!$A$140,'Données projet'!$B$140,CT78+CS79-DB78)))</f>
        <v>263.79999999999978</v>
      </c>
      <c r="CU79" s="17">
        <f>CT79*VLOOKUP('Données projet'!$B$13,Paramètres!$A$1:$I$89,3,0)*VLOOKUP('Données projet'!$B$13,Paramètres!$A$1:$I$89,5,0)</f>
        <v>209.87927999999985</v>
      </c>
      <c r="CV79" s="13">
        <f t="shared" si="95"/>
        <v>51.909204458241767</v>
      </c>
      <c r="CW79" s="20">
        <f t="shared" si="67"/>
        <v>455.94827709810414</v>
      </c>
      <c r="CX79" s="59">
        <f t="shared" si="68"/>
        <v>749.28161043143746</v>
      </c>
      <c r="CY79" s="59">
        <f ca="1">AVERAGE(OFFSET($CX$3,0,0,'Données projet'!$E$13+1,1))-AVERAGE(OFFSET($H$3,0,0,'Données projet'!$E$13+1,1))</f>
        <v>299.10536994156814</v>
      </c>
      <c r="CZ79" s="59">
        <f t="shared" si="96"/>
        <v>292.57799203101769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3.3864032093630319</v>
      </c>
      <c r="DG79" s="21">
        <f>EXP(-LN(2)/25)*DG78+(1-EXP(-LN(2)/25))/(LN(2)/25)*Calculateur!DB79*Calculateur!DD79*VLOOKUP('Données projet'!$B$13,Paramètres!$A$1:$I$89,3,0)*0.475*44/12</f>
        <v>3.0202373038897798</v>
      </c>
      <c r="DH79" s="21">
        <f>EXP(-LN(2)/2)*DH78+(1-EXP(-LN(2)/2))/(LN(2)/2)*DB79*DE79*VLOOKUP('Données projet'!$B$13,Paramètres!$A$1:$I$89,3,0)*0.475*44/12</f>
        <v>1.0696230615168864E-6</v>
      </c>
      <c r="DI79" s="22">
        <f t="shared" si="69"/>
        <v>6.4066415828758734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4.5999999999999996</v>
      </c>
      <c r="DO79" s="12">
        <f>IF('Données projet'!$A$166&gt;35,DO78+DN79-DW78,IF(A79&lt;'Données projet'!$A$166,$DL$205^A79,IF(A79='Données projet'!$A$166,'Données projet'!$B$166,DO78+DN79-DW78)))</f>
        <v>258.60000000000014</v>
      </c>
      <c r="DP79" s="17">
        <f>DO79*VLOOKUP('Données projet'!$B$14,Paramètres!$A$1:$I$89,3,0)*VLOOKUP('Données projet'!$B$14,Paramètres!$A$1:$I$89,5,0)</f>
        <v>169.43472000000008</v>
      </c>
      <c r="DQ79" s="13">
        <f t="shared" si="97"/>
        <v>42.963395138288874</v>
      </c>
      <c r="DR79" s="20">
        <f t="shared" si="70"/>
        <v>369.92671719918661</v>
      </c>
      <c r="DS79" s="59">
        <f t="shared" si="71"/>
        <v>663.26005053251993</v>
      </c>
      <c r="DT79" s="59">
        <f ca="1">AVERAGE(OFFSET($DS$3,0,0,'Données projet'!$E$14+1,1))-AVERAGE(OFFSET($H$3,0,0,'Données projet'!$E$14+1,1))</f>
        <v>295.92103934364718</v>
      </c>
      <c r="DU79" s="59">
        <f t="shared" si="98"/>
        <v>304.84379909635476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1.7936171858892871</v>
      </c>
      <c r="EB79" s="21">
        <f>EXP(-LN(2)/25)*EB78+(1-EXP(-LN(2)/25))/(LN(2)/25)*Calculateur!DW79*Calculateur!DY79*VLOOKUP('Données projet'!$B$14,Paramètres!$A$1:$I$89,3,0)*0.475*44/12</f>
        <v>1.9977516296163769</v>
      </c>
      <c r="EC79" s="21">
        <f>EXP(-LN(2)/2)*EC78+(1-EXP(-LN(2)/2))/(LN(2)/2)*DW79*DZ79*VLOOKUP('Données projet'!$B$14,Paramètres!$A$1:$I$89,3,0)*0.475*44/12</f>
        <v>6.8601542728820024E-7</v>
      </c>
      <c r="ED79" s="22">
        <f t="shared" si="72"/>
        <v>3.7913695015210913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17</v>
      </c>
      <c r="N80" s="13">
        <f>IF('Données projet'!$A$36&gt;35,N79+M80-V79,IF(A80&lt;'Données projet'!$A$36,$K$205^A80,IF(A80='Données projet'!$A$36,'Données projet'!$B$36,N79+M80-V79)))</f>
        <v>455.49999999999989</v>
      </c>
      <c r="O80" s="13">
        <f>N80*VLOOKUP('Données projet'!$B$9,Paramètres!$A$1:$I$89,3,0)*VLOOKUP('Données projet'!$B$9,Paramètres!$A$1:$I$89,5,0)</f>
        <v>213.17399999999995</v>
      </c>
      <c r="P80" s="13">
        <f t="shared" si="87"/>
        <v>52.628577834232573</v>
      </c>
      <c r="Q80" s="20">
        <f t="shared" si="54"/>
        <v>462.93948972795494</v>
      </c>
      <c r="R80" s="59">
        <f t="shared" si="55"/>
        <v>756.27282306128825</v>
      </c>
      <c r="S80" s="59">
        <f ca="1">AVERAGE(OFFSET($R$3,0,0,'Données projet'!$E$9+1,1))-AVERAGE(OFFSET($H$3,0,0,'Données projet'!$E$9+1,1))</f>
        <v>319.22903094674564</v>
      </c>
      <c r="T80" s="59">
        <f t="shared" si="88"/>
        <v>254.58690973142848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3.5781801720276647</v>
      </c>
      <c r="AA80" s="21">
        <f>EXP(-LN(2)/25)*AA79+(1-EXP(-LN(2)/25))/(LN(2)/25)*Calculateur!V80*Calculateur!X80*VLOOKUP('Données projet'!$B$9,Paramètres!$A$1:$I$89,3,0)*0.475*44/12</f>
        <v>3.0296321106671478</v>
      </c>
      <c r="AB80" s="21">
        <f>EXP(-LN(2)/2)*AB79+(1-EXP(-LN(2)/2))/(LN(2)/2)*V80*Y80*VLOOKUP('Données projet'!$B$9,Paramètres!$A$1:$I$89,3,0)*0.475*44/12</f>
        <v>9.3086614005611217E-7</v>
      </c>
      <c r="AC80" s="22">
        <f t="shared" si="57"/>
        <v>6.6078132135609522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-3.4106051316484809E-13</v>
      </c>
      <c r="AJ80" s="13">
        <f>AI80*VLOOKUP('Données projet'!$B$10,Paramètres!$A$1:$I$89,3,0)*VLOOKUP('Données projet'!$B$10,Paramètres!$A$1:$I$89,5,0)</f>
        <v>-1.9065282685915009E-13</v>
      </c>
      <c r="AK80" s="13" t="e">
        <f t="shared" si="89"/>
        <v>#NUM!</v>
      </c>
      <c r="AL80" s="20" t="e">
        <f t="shared" si="58"/>
        <v>#NUM!</v>
      </c>
      <c r="AM80" s="59" t="e">
        <f t="shared" si="59"/>
        <v>#NUM!</v>
      </c>
      <c r="AN80" s="59">
        <f ca="1">AVERAGE(OFFSET($AM$3,0,0,'Données projet'!$E$10+1,1))-AVERAGE(OFFSET($H$3,0,0,'Données projet'!$E$10+1,1))</f>
        <v>544.48194192356823</v>
      </c>
      <c r="AO80" s="59">
        <f t="shared" si="90"/>
        <v>668.20427590250733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2.8942435827755166</v>
      </c>
      <c r="AV80" s="21">
        <f>EXP(-LN(2)/25)*AV79+(1-EXP(-LN(2)/25))/(LN(2)/25)*Calculateur!AQ80*Calculateur!AS80*VLOOKUP('Données projet'!$B$10,Paramètres!$A$1:$I$89,3,0)*0.475*44/12</f>
        <v>11.577047234772698</v>
      </c>
      <c r="AW80" s="21">
        <f>EXP(-LN(2)/2)*AW79+(1-EXP(-LN(2)/2))/(LN(2)/2)*AQ80*AT80*VLOOKUP('Données projet'!$B$10,Paramètres!$A$1:$I$89,3,0)*0.475*44/12</f>
        <v>1.2153429634937314E-6</v>
      </c>
      <c r="AX80" s="21">
        <f t="shared" si="60"/>
        <v>14.471292032891178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7.2</v>
      </c>
      <c r="BD80" s="12">
        <f>IF('Données projet'!$A$88&gt;35,BD79+BC80-BL79,IF(A80&lt;'Données projet'!$A$88,$BA$205^A80,IF(A80='Données projet'!$A$88,'Données projet'!$B$88,BD79+BC80-BL79)))</f>
        <v>298.40000000000003</v>
      </c>
      <c r="BE80" s="13">
        <f>BD80*VLOOKUP('Données projet'!$B$11,Paramètres!$A$1:$I$89,3,0)*VLOOKUP('Données projet'!$B$11,Paramètres!$A$1:$I$89,5,0)</f>
        <v>269.99232000000001</v>
      </c>
      <c r="BF80" s="13">
        <f t="shared" si="91"/>
        <v>64.847639395310296</v>
      </c>
      <c r="BG80" s="20">
        <f t="shared" si="61"/>
        <v>583.17959594683214</v>
      </c>
      <c r="BH80" s="59">
        <f t="shared" si="62"/>
        <v>876.51292928016551</v>
      </c>
      <c r="BI80" s="59">
        <f ca="1">AVERAGE(OFFSET($BH$3,0,0,'Données projet'!$E$11+1,1))-AVERAGE(OFFSET($H$3,0,0,'Données projet'!$E$11+1,1))</f>
        <v>405.7176439604217</v>
      </c>
      <c r="BJ80" s="59">
        <f t="shared" si="92"/>
        <v>278.21741231699929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2.8812747696508825</v>
      </c>
      <c r="BQ80" s="21">
        <f>EXP(-LN(2)/25)*BQ79+(1-EXP(-LN(2)/25))/(LN(2)/25)*Calculateur!BL80*Calculateur!BN80*VLOOKUP('Données projet'!$B$11,Paramètres!$A$1:$I$89,3,0)*0.475*44/12</f>
        <v>2.5442544575416366</v>
      </c>
      <c r="BR80" s="21">
        <f>EXP(-LN(2)/2)*BR79+(1-EXP(-LN(2)/2))/(LN(2)/2)*BL80*BO80*VLOOKUP('Données projet'!$B$11,Paramètres!$A$1:$I$89,3,0)*0.475*44/12</f>
        <v>7.1943259241731546E-7</v>
      </c>
      <c r="BS80" s="22">
        <f t="shared" si="63"/>
        <v>5.4255299466251117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4.4000000000000004</v>
      </c>
      <c r="BY80" s="12">
        <f>IF('Données projet'!$A$114&gt;35,BY79+BX80-CG79,IF(A80&lt;'Données projet'!$A$114,$BV$205^A80,IF(A80='Données projet'!$A$114,'Données projet'!$B$114,BY79+BX80-CG79)))</f>
        <v>250.8000000000001</v>
      </c>
      <c r="BZ80" s="13">
        <f>BY80*VLOOKUP('Données projet'!$B$12,Paramètres!$A$1:$I$89,3,0)*VLOOKUP('Données projet'!$B$12,Paramètres!$A$1:$I$89,5,0)</f>
        <v>219.09888000000012</v>
      </c>
      <c r="CA80" s="13">
        <f t="shared" si="93"/>
        <v>53.918984980452286</v>
      </c>
      <c r="CB80" s="20">
        <f t="shared" si="64"/>
        <v>475.50611484095458</v>
      </c>
      <c r="CC80" s="59">
        <f t="shared" si="65"/>
        <v>768.8394481742879</v>
      </c>
      <c r="CD80" s="59">
        <f ca="1">AVERAGE(OFFSET($CC$3,0,0,'Données projet'!$E$12+1,1))-AVERAGE(OFFSET($H$3,0,0,'Données projet'!$E$12+1,1))</f>
        <v>381.72225529388083</v>
      </c>
      <c r="CE80" s="59">
        <f t="shared" si="94"/>
        <v>360.05900046417361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1.8969167418485713</v>
      </c>
      <c r="CL80" s="21">
        <f>EXP(-LN(2)/25)*CL79+(1-EXP(-LN(2)/25))/(LN(2)/25)*Calculateur!CG80*Calculateur!CI80*VLOOKUP('Données projet'!$B$12,Paramètres!$A$1:$I$89,3,0)*0.475*44/12</f>
        <v>3.0646357965120776</v>
      </c>
      <c r="CM80" s="21">
        <f>EXP(-LN(2)/2)*CM79+(1-EXP(-LN(2)/2))/(LN(2)/2)*CG80*CJ80*VLOOKUP('Données projet'!$B$12,Paramètres!$A$1:$I$89,3,0)*0.475*44/12</f>
        <v>5.8984563495136908E-7</v>
      </c>
      <c r="CN80" s="22">
        <f t="shared" si="66"/>
        <v>4.9615531282062832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2.8</v>
      </c>
      <c r="CT80" s="12">
        <f>IF('Données projet'!$A$140&gt;35,CT79+CS80-DB79,IF(A80&lt;'Données projet'!$A$140,$CQ$205^A80,IF(A80='Données projet'!$A$140,'Données projet'!$B$140,CT79+CS80-DB79)))</f>
        <v>266.5999999999998</v>
      </c>
      <c r="CU80" s="17">
        <f>CT80*VLOOKUP('Données projet'!$B$13,Paramètres!$A$1:$I$89,3,0)*VLOOKUP('Données projet'!$B$13,Paramètres!$A$1:$I$89,5,0)</f>
        <v>212.10695999999984</v>
      </c>
      <c r="CV80" s="13">
        <f t="shared" si="95"/>
        <v>52.395741612408194</v>
      </c>
      <c r="CW80" s="20">
        <f t="shared" si="67"/>
        <v>460.67553864161067</v>
      </c>
      <c r="CX80" s="59">
        <f t="shared" si="68"/>
        <v>754.00887197494399</v>
      </c>
      <c r="CY80" s="59">
        <f ca="1">AVERAGE(OFFSET($CX$3,0,0,'Données projet'!$E$13+1,1))-AVERAGE(OFFSET($H$3,0,0,'Données projet'!$E$13+1,1))</f>
        <v>299.10536994156814</v>
      </c>
      <c r="CZ80" s="59">
        <f t="shared" si="96"/>
        <v>292.57799203101769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3.3199979079294293</v>
      </c>
      <c r="DG80" s="21">
        <f>EXP(-LN(2)/25)*DG79+(1-EXP(-LN(2)/25))/(LN(2)/25)*Calculateur!DB80*Calculateur!DD80*VLOOKUP('Données projet'!$B$13,Paramètres!$A$1:$I$89,3,0)*0.475*44/12</f>
        <v>2.9376487559875368</v>
      </c>
      <c r="DH80" s="21">
        <f>EXP(-LN(2)/2)*DH79+(1-EXP(-LN(2)/2))/(LN(2)/2)*DB80*DE80*VLOOKUP('Données projet'!$B$13,Paramètres!$A$1:$I$89,3,0)*0.475*44/12</f>
        <v>7.5633772011210608E-7</v>
      </c>
      <c r="DI80" s="22">
        <f t="shared" si="69"/>
        <v>6.2576474202546866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4.5999999999999996</v>
      </c>
      <c r="DO80" s="12">
        <f>IF('Données projet'!$A$166&gt;35,DO79+DN80-DW79,IF(A80&lt;'Données projet'!$A$166,$DL$205^A80,IF(A80='Données projet'!$A$166,'Données projet'!$B$166,DO79+DN80-DW79)))</f>
        <v>263.20000000000016</v>
      </c>
      <c r="DP80" s="17">
        <f>DO80*VLOOKUP('Données projet'!$B$14,Paramètres!$A$1:$I$89,3,0)*VLOOKUP('Données projet'!$B$14,Paramètres!$A$1:$I$89,5,0)</f>
        <v>172.44864000000013</v>
      </c>
      <c r="DQ80" s="13">
        <f t="shared" si="97"/>
        <v>43.637980200453718</v>
      </c>
      <c r="DR80" s="20">
        <f t="shared" si="70"/>
        <v>376.35086351579042</v>
      </c>
      <c r="DS80" s="59">
        <f t="shared" si="71"/>
        <v>669.68419684912374</v>
      </c>
      <c r="DT80" s="59">
        <f ca="1">AVERAGE(OFFSET($DS$3,0,0,'Données projet'!$E$14+1,1))-AVERAGE(OFFSET($H$3,0,0,'Données projet'!$E$14+1,1))</f>
        <v>295.92103934364718</v>
      </c>
      <c r="DU80" s="59">
        <f t="shared" si="98"/>
        <v>304.84379909635476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1.7584454468724582</v>
      </c>
      <c r="EB80" s="21">
        <f>EXP(-LN(2)/25)*EB79+(1-EXP(-LN(2)/25))/(LN(2)/25)*Calculateur!DW80*Calculateur!DY80*VLOOKUP('Données projet'!$B$14,Paramètres!$A$1:$I$89,3,0)*0.475*44/12</f>
        <v>1.9431230062473248</v>
      </c>
      <c r="EC80" s="21">
        <f>EXP(-LN(2)/2)*EC79+(1-EXP(-LN(2)/2))/(LN(2)/2)*DW80*DZ80*VLOOKUP('Données projet'!$B$14,Paramètres!$A$1:$I$89,3,0)*0.475*44/12</f>
        <v>4.850861606340733E-7</v>
      </c>
      <c r="ED80" s="22">
        <f t="shared" si="72"/>
        <v>3.7015689382059436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17</v>
      </c>
      <c r="N81" s="13">
        <f>IF('Données projet'!$A$36&gt;35,N80+M81-V80,IF(A81&lt;'Données projet'!$A$36,$K$205^A81,IF(A81='Données projet'!$A$36,'Données projet'!$B$36,N80+M81-V80)))</f>
        <v>472.49999999999989</v>
      </c>
      <c r="O81" s="13">
        <f>N81*VLOOKUP('Données projet'!$B$9,Paramètres!$A$1:$I$89,3,0)*VLOOKUP('Données projet'!$B$9,Paramètres!$A$1:$I$89,5,0)</f>
        <v>221.12999999999997</v>
      </c>
      <c r="P81" s="13">
        <f t="shared" si="87"/>
        <v>54.360412358692685</v>
      </c>
      <c r="Q81" s="20">
        <f t="shared" si="54"/>
        <v>479.81246819138977</v>
      </c>
      <c r="R81" s="59">
        <f t="shared" si="55"/>
        <v>773.14580152472308</v>
      </c>
      <c r="S81" s="59">
        <f ca="1">AVERAGE(OFFSET($R$3,0,0,'Données projet'!$E$9+1,1))-AVERAGE(OFFSET($H$3,0,0,'Données projet'!$E$9+1,1))</f>
        <v>319.22903094674564</v>
      </c>
      <c r="T81" s="59">
        <f t="shared" si="88"/>
        <v>254.58690973142848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3.5080142413286057</v>
      </c>
      <c r="AA81" s="21">
        <f>EXP(-LN(2)/25)*AA80+(1-EXP(-LN(2)/25))/(LN(2)/25)*Calculateur!V81*Calculateur!X81*VLOOKUP('Données projet'!$B$9,Paramètres!$A$1:$I$89,3,0)*0.475*44/12</f>
        <v>2.9467866612795262</v>
      </c>
      <c r="AB81" s="21">
        <f>EXP(-LN(2)/2)*AB80+(1-EXP(-LN(2)/2))/(LN(2)/2)*V81*Y81*VLOOKUP('Données projet'!$B$9,Paramètres!$A$1:$I$89,3,0)*0.475*44/12</f>
        <v>6.5822176001062344E-7</v>
      </c>
      <c r="AC81" s="22">
        <f t="shared" si="57"/>
        <v>6.4548015608298916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-3.4106051316484809E-13</v>
      </c>
      <c r="AJ81" s="13">
        <f>AI81*VLOOKUP('Données projet'!$B$10,Paramètres!$A$1:$I$89,3,0)*VLOOKUP('Données projet'!$B$10,Paramètres!$A$1:$I$89,5,0)</f>
        <v>-1.9065282685915009E-13</v>
      </c>
      <c r="AK81" s="13" t="e">
        <f t="shared" si="89"/>
        <v>#NUM!</v>
      </c>
      <c r="AL81" s="20" t="e">
        <f t="shared" si="58"/>
        <v>#NUM!</v>
      </c>
      <c r="AM81" s="59" t="e">
        <f t="shared" si="59"/>
        <v>#NUM!</v>
      </c>
      <c r="AN81" s="59">
        <f ca="1">AVERAGE(OFFSET($AM$3,0,0,'Données projet'!$E$10+1,1))-AVERAGE(OFFSET($H$3,0,0,'Données projet'!$E$10+1,1))</f>
        <v>544.48194192356823</v>
      </c>
      <c r="AO81" s="59">
        <f t="shared" si="90"/>
        <v>668.20427590250733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2.8374892314315638</v>
      </c>
      <c r="AV81" s="21">
        <f>EXP(-LN(2)/25)*AV80+(1-EXP(-LN(2)/25))/(LN(2)/25)*Calculateur!AQ81*Calculateur!AS81*VLOOKUP('Données projet'!$B$10,Paramètres!$A$1:$I$89,3,0)*0.475*44/12</f>
        <v>11.260472269327384</v>
      </c>
      <c r="AW81" s="21">
        <f>EXP(-LN(2)/2)*AW80+(1-EXP(-LN(2)/2))/(LN(2)/2)*AQ81*AT81*VLOOKUP('Données projet'!$B$10,Paramètres!$A$1:$I$89,3,0)*0.475*44/12</f>
        <v>8.5937725095377216E-7</v>
      </c>
      <c r="AX81" s="21">
        <f t="shared" si="60"/>
        <v>14.097962360136197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7.2</v>
      </c>
      <c r="BD81" s="12">
        <f>IF('Données projet'!$A$88&gt;35,BD80+BC81-BL80,IF(A81&lt;'Données projet'!$A$88,$BA$205^A81,IF(A81='Données projet'!$A$88,'Données projet'!$B$88,BD80+BC81-BL80)))</f>
        <v>305.60000000000002</v>
      </c>
      <c r="BE81" s="13">
        <f>BD81*VLOOKUP('Données projet'!$B$11,Paramètres!$A$1:$I$89,3,0)*VLOOKUP('Données projet'!$B$11,Paramètres!$A$1:$I$89,5,0)</f>
        <v>276.50687999999997</v>
      </c>
      <c r="BF81" s="13">
        <f t="shared" si="91"/>
        <v>66.228273722513677</v>
      </c>
      <c r="BG81" s="20">
        <f t="shared" si="61"/>
        <v>596.93039273337797</v>
      </c>
      <c r="BH81" s="59">
        <f t="shared" si="62"/>
        <v>890.26372606671134</v>
      </c>
      <c r="BI81" s="59">
        <f ca="1">AVERAGE(OFFSET($BH$3,0,0,'Données projet'!$E$11+1,1))-AVERAGE(OFFSET($H$3,0,0,'Données projet'!$E$11+1,1))</f>
        <v>405.7176439604217</v>
      </c>
      <c r="BJ81" s="59">
        <f t="shared" si="92"/>
        <v>278.21741231699929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2.824774728822109</v>
      </c>
      <c r="BQ81" s="21">
        <f>EXP(-LN(2)/25)*BQ80+(1-EXP(-LN(2)/25))/(LN(2)/25)*Calculateur!BL81*Calculateur!BN81*VLOOKUP('Données projet'!$B$11,Paramètres!$A$1:$I$89,3,0)*0.475*44/12</f>
        <v>2.4746816856036338</v>
      </c>
      <c r="BR81" s="21">
        <f>EXP(-LN(2)/2)*BR80+(1-EXP(-LN(2)/2))/(LN(2)/2)*BL81*BO81*VLOOKUP('Données projet'!$B$11,Paramètres!$A$1:$I$89,3,0)*0.475*44/12</f>
        <v>5.0871566470490131E-7</v>
      </c>
      <c r="BS81" s="22">
        <f t="shared" si="63"/>
        <v>5.2994569231414079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4.4000000000000004</v>
      </c>
      <c r="BY81" s="12">
        <f>IF('Données projet'!$A$114&gt;35,BY80+BX81-CG80,IF(A81&lt;'Données projet'!$A$114,$BV$205^A81,IF(A81='Données projet'!$A$114,'Données projet'!$B$114,BY80+BX81-CG80)))</f>
        <v>255.2000000000001</v>
      </c>
      <c r="BZ81" s="13">
        <f>BY81*VLOOKUP('Données projet'!$B$12,Paramètres!$A$1:$I$89,3,0)*VLOOKUP('Données projet'!$B$12,Paramètres!$A$1:$I$89,5,0)</f>
        <v>222.94272000000009</v>
      </c>
      <c r="CA81" s="13">
        <f t="shared" si="93"/>
        <v>54.753975927514929</v>
      </c>
      <c r="CB81" s="20">
        <f t="shared" si="64"/>
        <v>483.65507874042197</v>
      </c>
      <c r="CC81" s="59">
        <f t="shared" si="65"/>
        <v>776.98841207375528</v>
      </c>
      <c r="CD81" s="59">
        <f ca="1">AVERAGE(OFFSET($CC$3,0,0,'Données projet'!$E$12+1,1))-AVERAGE(OFFSET($H$3,0,0,'Données projet'!$E$12+1,1))</f>
        <v>381.72225529388083</v>
      </c>
      <c r="CE81" s="59">
        <f t="shared" si="94"/>
        <v>360.05900046417361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1.8597193615458887</v>
      </c>
      <c r="CL81" s="21">
        <f>EXP(-LN(2)/25)*CL80+(1-EXP(-LN(2)/25))/(LN(2)/25)*Calculateur!CG81*Calculateur!CI81*VLOOKUP('Données projet'!$B$12,Paramètres!$A$1:$I$89,3,0)*0.475*44/12</f>
        <v>2.9808331694942627</v>
      </c>
      <c r="CM81" s="21">
        <f>EXP(-LN(2)/2)*CM80+(1-EXP(-LN(2)/2))/(LN(2)/2)*CG81*CJ81*VLOOKUP('Données projet'!$B$12,Paramètres!$A$1:$I$89,3,0)*0.475*44/12</f>
        <v>4.1708384832739794E-7</v>
      </c>
      <c r="CN81" s="22">
        <f t="shared" si="66"/>
        <v>4.8405529481239995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2.8</v>
      </c>
      <c r="CT81" s="12">
        <f>IF('Données projet'!$A$140&gt;35,CT80+CS81-DB80,IF(A81&lt;'Données projet'!$A$140,$CQ$205^A81,IF(A81='Données projet'!$A$140,'Données projet'!$B$140,CT80+CS81-DB80)))</f>
        <v>269.39999999999981</v>
      </c>
      <c r="CU81" s="17">
        <f>CT81*VLOOKUP('Données projet'!$B$13,Paramètres!$A$1:$I$89,3,0)*VLOOKUP('Données projet'!$B$13,Paramètres!$A$1:$I$89,5,0)</f>
        <v>214.33463999999984</v>
      </c>
      <c r="CV81" s="13">
        <f t="shared" si="95"/>
        <v>52.881684324030282</v>
      </c>
      <c r="CW81" s="20">
        <f t="shared" si="67"/>
        <v>465.40176486435234</v>
      </c>
      <c r="CX81" s="59">
        <f t="shared" si="68"/>
        <v>758.7350981976856</v>
      </c>
      <c r="CY81" s="59">
        <f ca="1">AVERAGE(OFFSET($CX$3,0,0,'Données projet'!$E$13+1,1))-AVERAGE(OFFSET($H$3,0,0,'Données projet'!$E$13+1,1))</f>
        <v>299.10536994156814</v>
      </c>
      <c r="CZ81" s="59">
        <f t="shared" si="96"/>
        <v>292.57799203101769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3.2548947739537049</v>
      </c>
      <c r="DG81" s="21">
        <f>EXP(-LN(2)/25)*DG80+(1-EXP(-LN(2)/25))/(LN(2)/25)*Calculateur!DB81*Calculateur!DD81*VLOOKUP('Données projet'!$B$13,Paramètres!$A$1:$I$89,3,0)*0.475*44/12</f>
        <v>2.8573185962708236</v>
      </c>
      <c r="DH81" s="21">
        <f>EXP(-LN(2)/2)*DH80+(1-EXP(-LN(2)/2))/(LN(2)/2)*DB81*DE81*VLOOKUP('Données projet'!$B$13,Paramètres!$A$1:$I$89,3,0)*0.475*44/12</f>
        <v>5.348115307584432E-7</v>
      </c>
      <c r="DI81" s="22">
        <f t="shared" si="69"/>
        <v>6.11221390503606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4.5999999999999996</v>
      </c>
      <c r="DO81" s="12">
        <f>IF('Données projet'!$A$166&gt;35,DO80+DN81-DW80,IF(A81&lt;'Données projet'!$A$166,$DL$205^A81,IF(A81='Données projet'!$A$166,'Données projet'!$B$166,DO80+DN81-DW80)))</f>
        <v>267.80000000000018</v>
      </c>
      <c r="DP81" s="17">
        <f>DO81*VLOOKUP('Données projet'!$B$14,Paramètres!$A$1:$I$89,3,0)*VLOOKUP('Données projet'!$B$14,Paramètres!$A$1:$I$89,5,0)</f>
        <v>175.46256000000011</v>
      </c>
      <c r="DQ81" s="13">
        <f t="shared" si="97"/>
        <v>44.311194244027092</v>
      </c>
      <c r="DR81" s="20">
        <f t="shared" si="70"/>
        <v>382.77262197501403</v>
      </c>
      <c r="DS81" s="59">
        <f t="shared" si="71"/>
        <v>676.10595530834735</v>
      </c>
      <c r="DT81" s="59">
        <f ca="1">AVERAGE(OFFSET($DS$3,0,0,'Données projet'!$E$14+1,1))-AVERAGE(OFFSET($H$3,0,0,'Données projet'!$E$14+1,1))</f>
        <v>295.92103934364718</v>
      </c>
      <c r="DU81" s="59">
        <f t="shared" si="98"/>
        <v>304.84379909635476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1.7239634042051069</v>
      </c>
      <c r="EB81" s="21">
        <f>EXP(-LN(2)/25)*EB80+(1-EXP(-LN(2)/25))/(LN(2)/25)*Calculateur!DW81*Calculateur!DY81*VLOOKUP('Données projet'!$B$14,Paramètres!$A$1:$I$89,3,0)*0.475*44/12</f>
        <v>1.8899882054570938</v>
      </c>
      <c r="EC81" s="21">
        <f>EXP(-LN(2)/2)*EC80+(1-EXP(-LN(2)/2))/(LN(2)/2)*DW81*DZ81*VLOOKUP('Données projet'!$B$14,Paramètres!$A$1:$I$89,3,0)*0.475*44/12</f>
        <v>3.4300771364410012E-7</v>
      </c>
      <c r="ED81" s="22">
        <f t="shared" si="72"/>
        <v>3.6139519526699146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17</v>
      </c>
      <c r="N82" s="13">
        <f>IF('Données projet'!$A$36&gt;35,N81+M82-V81,IF(A82&lt;'Données projet'!$A$36,$K$205^A82,IF(A82='Données projet'!$A$36,'Données projet'!$B$36,N81+M82-V81)))</f>
        <v>489.49999999999989</v>
      </c>
      <c r="O82" s="13">
        <f>N82*VLOOKUP('Données projet'!$B$9,Paramètres!$A$1:$I$89,3,0)*VLOOKUP('Données projet'!$B$9,Paramètres!$A$1:$I$89,5,0)</f>
        <v>229.08599999999993</v>
      </c>
      <c r="P82" s="13">
        <f t="shared" si="87"/>
        <v>56.085007586294346</v>
      </c>
      <c r="Q82" s="20">
        <f t="shared" si="54"/>
        <v>496.6728382127958</v>
      </c>
      <c r="R82" s="59">
        <f t="shared" si="55"/>
        <v>790.00617154612905</v>
      </c>
      <c r="S82" s="59">
        <f ca="1">AVERAGE(OFFSET($R$3,0,0,'Données projet'!$E$9+1,1))-AVERAGE(OFFSET($H$3,0,0,'Données projet'!$E$9+1,1))</f>
        <v>319.22903094674564</v>
      </c>
      <c r="T82" s="59">
        <f t="shared" si="88"/>
        <v>254.58690973142848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3.4392242217335633</v>
      </c>
      <c r="AA82" s="21">
        <f>EXP(-LN(2)/25)*AA81+(1-EXP(-LN(2)/25))/(LN(2)/25)*Calculateur!V82*Calculateur!X82*VLOOKUP('Données projet'!$B$9,Paramètres!$A$1:$I$89,3,0)*0.475*44/12</f>
        <v>2.8662066250620621</v>
      </c>
      <c r="AB82" s="21">
        <f>EXP(-LN(2)/2)*AB81+(1-EXP(-LN(2)/2))/(LN(2)/2)*V82*Y82*VLOOKUP('Données projet'!$B$9,Paramètres!$A$1:$I$89,3,0)*0.475*44/12</f>
        <v>4.6543307002805614E-7</v>
      </c>
      <c r="AC82" s="22">
        <f t="shared" si="57"/>
        <v>6.3054313122286949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-3.4106051316484809E-13</v>
      </c>
      <c r="AJ82" s="13">
        <f>AI82*VLOOKUP('Données projet'!$B$10,Paramètres!$A$1:$I$89,3,0)*VLOOKUP('Données projet'!$B$10,Paramètres!$A$1:$I$89,5,0)</f>
        <v>-1.9065282685915009E-13</v>
      </c>
      <c r="AK82" s="13" t="e">
        <f t="shared" si="89"/>
        <v>#NUM!</v>
      </c>
      <c r="AL82" s="20" t="e">
        <f t="shared" si="58"/>
        <v>#NUM!</v>
      </c>
      <c r="AM82" s="59" t="e">
        <f t="shared" si="59"/>
        <v>#NUM!</v>
      </c>
      <c r="AN82" s="59">
        <f ca="1">AVERAGE(OFFSET($AM$3,0,0,'Données projet'!$E$10+1,1))-AVERAGE(OFFSET($H$3,0,0,'Données projet'!$E$10+1,1))</f>
        <v>544.48194192356823</v>
      </c>
      <c r="AO82" s="59">
        <f t="shared" si="90"/>
        <v>668.20427590250733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2.7818477983007299</v>
      </c>
      <c r="AV82" s="21">
        <f>EXP(-LN(2)/25)*AV81+(1-EXP(-LN(2)/25))/(LN(2)/25)*Calculateur!AQ82*Calculateur!AS82*VLOOKUP('Données projet'!$B$10,Paramètres!$A$1:$I$89,3,0)*0.475*44/12</f>
        <v>10.952554062960125</v>
      </c>
      <c r="AW82" s="21">
        <f>EXP(-LN(2)/2)*AW81+(1-EXP(-LN(2)/2))/(LN(2)/2)*AQ82*AT82*VLOOKUP('Données projet'!$B$10,Paramètres!$A$1:$I$89,3,0)*0.475*44/12</f>
        <v>6.076714817468657E-7</v>
      </c>
      <c r="AX82" s="21">
        <f t="shared" si="60"/>
        <v>13.734402468932336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7.2</v>
      </c>
      <c r="BD82" s="12">
        <f>IF('Données projet'!$A$88&gt;35,BD81+BC82-BL81,IF(A82&lt;'Données projet'!$A$88,$BA$205^A82,IF(A82='Données projet'!$A$88,'Données projet'!$B$88,BD81+BC82-BL81)))</f>
        <v>312.8</v>
      </c>
      <c r="BE82" s="13">
        <f>BD82*VLOOKUP('Données projet'!$B$11,Paramètres!$A$1:$I$89,3,0)*VLOOKUP('Données projet'!$B$11,Paramètres!$A$1:$I$89,5,0)</f>
        <v>283.02144000000004</v>
      </c>
      <c r="BF82" s="13">
        <f t="shared" si="91"/>
        <v>67.605126603830598</v>
      </c>
      <c r="BG82" s="20">
        <f t="shared" si="61"/>
        <v>610.67460350167164</v>
      </c>
      <c r="BH82" s="59">
        <f t="shared" si="62"/>
        <v>904.00793683500501</v>
      </c>
      <c r="BI82" s="59">
        <f ca="1">AVERAGE(OFFSET($BH$3,0,0,'Données projet'!$E$11+1,1))-AVERAGE(OFFSET($H$3,0,0,'Données projet'!$E$11+1,1))</f>
        <v>405.7176439604217</v>
      </c>
      <c r="BJ82" s="59">
        <f t="shared" si="92"/>
        <v>278.21741231699929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2.7693826193323656</v>
      </c>
      <c r="BQ82" s="21">
        <f>EXP(-LN(2)/25)*BQ81+(1-EXP(-LN(2)/25))/(LN(2)/25)*Calculateur!BL82*Calculateur!BN82*VLOOKUP('Données projet'!$B$11,Paramètres!$A$1:$I$89,3,0)*0.475*44/12</f>
        <v>2.4070113847729484</v>
      </c>
      <c r="BR82" s="21">
        <f>EXP(-LN(2)/2)*BR81+(1-EXP(-LN(2)/2))/(LN(2)/2)*BL82*BO82*VLOOKUP('Données projet'!$B$11,Paramètres!$A$1:$I$89,3,0)*0.475*44/12</f>
        <v>3.5971629620865773E-7</v>
      </c>
      <c r="BS82" s="22">
        <f t="shared" si="63"/>
        <v>5.1763943638216094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4.4000000000000004</v>
      </c>
      <c r="BY82" s="12">
        <f>IF('Données projet'!$A$114&gt;35,BY81+BX82-CG81,IF(A82&lt;'Données projet'!$A$114,$BV$205^A82,IF(A82='Données projet'!$A$114,'Données projet'!$B$114,BY81+BX82-CG81)))</f>
        <v>259.60000000000008</v>
      </c>
      <c r="BZ82" s="13">
        <f>BY82*VLOOKUP('Données projet'!$B$12,Paramètres!$A$1:$I$89,3,0)*VLOOKUP('Données projet'!$B$12,Paramètres!$A$1:$I$89,5,0)</f>
        <v>226.78656000000009</v>
      </c>
      <c r="CA82" s="13">
        <f t="shared" si="93"/>
        <v>55.587292726829872</v>
      </c>
      <c r="CB82" s="20">
        <f t="shared" si="64"/>
        <v>491.8011268325622</v>
      </c>
      <c r="CC82" s="59">
        <f t="shared" si="65"/>
        <v>785.13446016589546</v>
      </c>
      <c r="CD82" s="59">
        <f ca="1">AVERAGE(OFFSET($CC$3,0,0,'Données projet'!$E$12+1,1))-AVERAGE(OFFSET($H$3,0,0,'Données projet'!$E$12+1,1))</f>
        <v>381.72225529388083</v>
      </c>
      <c r="CE82" s="59">
        <f t="shared" si="94"/>
        <v>360.05900046417361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1.8232513991827799</v>
      </c>
      <c r="CL82" s="21">
        <f>EXP(-LN(2)/25)*CL81+(1-EXP(-LN(2)/25))/(LN(2)/25)*Calculateur!CG82*Calculateur!CI82*VLOOKUP('Données projet'!$B$12,Paramètres!$A$1:$I$89,3,0)*0.475*44/12</f>
        <v>2.8993221297192386</v>
      </c>
      <c r="CM82" s="21">
        <f>EXP(-LN(2)/2)*CM81+(1-EXP(-LN(2)/2))/(LN(2)/2)*CG82*CJ82*VLOOKUP('Données projet'!$B$12,Paramètres!$A$1:$I$89,3,0)*0.475*44/12</f>
        <v>2.9492281747568454E-7</v>
      </c>
      <c r="CN82" s="22">
        <f t="shared" si="66"/>
        <v>4.7225738238248365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2.8</v>
      </c>
      <c r="CT82" s="12">
        <f>IF('Données projet'!$A$140&gt;35,CT81+CS82-DB81,IF(A82&lt;'Données projet'!$A$140,$CQ$205^A82,IF(A82='Données projet'!$A$140,'Données projet'!$B$140,CT81+CS82-DB81)))</f>
        <v>272.19999999999982</v>
      </c>
      <c r="CU82" s="17">
        <f>CT82*VLOOKUP('Données projet'!$B$13,Paramètres!$A$1:$I$89,3,0)*VLOOKUP('Données projet'!$B$13,Paramètres!$A$1:$I$89,5,0)</f>
        <v>216.56231999999989</v>
      </c>
      <c r="CV82" s="13">
        <f t="shared" si="95"/>
        <v>53.367039486661959</v>
      </c>
      <c r="CW82" s="20">
        <f t="shared" si="67"/>
        <v>470.12696777260271</v>
      </c>
      <c r="CX82" s="59">
        <f t="shared" si="68"/>
        <v>763.46030110593597</v>
      </c>
      <c r="CY82" s="59">
        <f ca="1">AVERAGE(OFFSET($CX$3,0,0,'Données projet'!$E$13+1,1))-AVERAGE(OFFSET($H$3,0,0,'Données projet'!$E$13+1,1))</f>
        <v>299.10536994156814</v>
      </c>
      <c r="CZ82" s="59">
        <f t="shared" si="96"/>
        <v>292.57799203101769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3.1910682727262536</v>
      </c>
      <c r="DG82" s="21">
        <f>EXP(-LN(2)/25)*DG81+(1-EXP(-LN(2)/25))/(LN(2)/25)*Calculateur!DB82*Calculateur!DD82*VLOOKUP('Données projet'!$B$13,Paramètres!$A$1:$I$89,3,0)*0.475*44/12</f>
        <v>2.7791850689959436</v>
      </c>
      <c r="DH82" s="21">
        <f>EXP(-LN(2)/2)*DH81+(1-EXP(-LN(2)/2))/(LN(2)/2)*DB82*DE82*VLOOKUP('Données projet'!$B$13,Paramètres!$A$1:$I$89,3,0)*0.475*44/12</f>
        <v>3.7816886005605304E-7</v>
      </c>
      <c r="DI82" s="22">
        <f t="shared" si="69"/>
        <v>5.9702537198910566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4.5999999999999996</v>
      </c>
      <c r="DO82" s="12">
        <f>IF('Données projet'!$A$166&gt;35,DO81+DN82-DW81,IF(A82&lt;'Données projet'!$A$166,$DL$205^A82,IF(A82='Données projet'!$A$166,'Données projet'!$B$166,DO81+DN82-DW81)))</f>
        <v>272.4000000000002</v>
      </c>
      <c r="DP82" s="17">
        <f>DO82*VLOOKUP('Données projet'!$B$14,Paramètres!$A$1:$I$89,3,0)*VLOOKUP('Données projet'!$B$14,Paramètres!$A$1:$I$89,5,0)</f>
        <v>178.47648000000015</v>
      </c>
      <c r="DQ82" s="13">
        <f t="shared" si="97"/>
        <v>44.983063536547988</v>
      </c>
      <c r="DR82" s="20">
        <f t="shared" si="70"/>
        <v>389.19203832615466</v>
      </c>
      <c r="DS82" s="59">
        <f t="shared" si="71"/>
        <v>682.52537165948797</v>
      </c>
      <c r="DT82" s="59">
        <f ca="1">AVERAGE(OFFSET($DS$3,0,0,'Données projet'!$E$14+1,1))-AVERAGE(OFFSET($H$3,0,0,'Données projet'!$E$14+1,1))</f>
        <v>295.92103934364718</v>
      </c>
      <c r="DU82" s="59">
        <f t="shared" si="98"/>
        <v>304.84379909635476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1.690157533362493</v>
      </c>
      <c r="EB82" s="21">
        <f>EXP(-LN(2)/25)*EB81+(1-EXP(-LN(2)/25))/(LN(2)/25)*Calculateur!DW82*Calculateur!DY82*VLOOKUP('Données projet'!$B$14,Paramètres!$A$1:$I$89,3,0)*0.475*44/12</f>
        <v>1.8383063785887095</v>
      </c>
      <c r="EC82" s="21">
        <f>EXP(-LN(2)/2)*EC81+(1-EXP(-LN(2)/2))/(LN(2)/2)*DW82*DZ82*VLOOKUP('Données projet'!$B$14,Paramètres!$A$1:$I$89,3,0)*0.475*44/12</f>
        <v>2.4254308031703665E-7</v>
      </c>
      <c r="ED82" s="22">
        <f t="shared" si="72"/>
        <v>3.5284641544942827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506.5</v>
      </c>
      <c r="L83" s="12">
        <f>VLOOKUP(A83,'Données projet'!$A$35:$I$55,9,0)</f>
        <v>17</v>
      </c>
      <c r="M83" s="12">
        <f t="array" ref="M83">INDEX(L:L,MIN(IF(ISNUMBER(L83:L279),ROW(L83:L279),"")))</f>
        <v>17</v>
      </c>
      <c r="N83" s="13">
        <f>IF('Données projet'!$A$36&gt;35,N82+M83-V82,IF(A83&lt;'Données projet'!$A$36,$K$205^A83,IF(A83='Données projet'!$A$36,'Données projet'!$B$36,N82+M83-V82)))</f>
        <v>506.49999999999989</v>
      </c>
      <c r="O83" s="13">
        <f>N83*VLOOKUP('Données projet'!$B$9,Paramètres!$A$1:$I$89,3,0)*VLOOKUP('Données projet'!$B$9,Paramètres!$A$1:$I$89,5,0)</f>
        <v>237.04199999999994</v>
      </c>
      <c r="P83" s="13">
        <f t="shared" si="87"/>
        <v>57.802643745601223</v>
      </c>
      <c r="Q83" s="20">
        <f t="shared" si="54"/>
        <v>513.52108785692201</v>
      </c>
      <c r="R83" s="59">
        <f t="shared" si="55"/>
        <v>806.85442119025538</v>
      </c>
      <c r="S83" s="59">
        <f ca="1">AVERAGE(OFFSET($R$3,0,0,'Données projet'!$E$9+1,1))-AVERAGE(OFFSET($H$3,0,0,'Données projet'!$E$9+1,1))</f>
        <v>319.22903094674564</v>
      </c>
      <c r="T83" s="59">
        <f t="shared" si="88"/>
        <v>254.58690973142848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93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3.3717831324650107</v>
      </c>
      <c r="AA83" s="21">
        <f>EXP(-LN(2)/25)*AA82+(1-EXP(-LN(2)/25))/(LN(2)/25)*Calculateur!V83*Calculateur!X83*VLOOKUP('Données projet'!$B$9,Paramètres!$A$1:$I$89,3,0)*0.475*44/12</f>
        <v>2.7878300541724843</v>
      </c>
      <c r="AB83" s="21">
        <f>EXP(-LN(2)/2)*AB82+(1-EXP(-LN(2)/2))/(LN(2)/2)*V83*Y83*VLOOKUP('Données projet'!$B$9,Paramètres!$A$1:$I$89,3,0)*0.475*44/12</f>
        <v>3.2911088000531177E-7</v>
      </c>
      <c r="AC83" s="22">
        <f t="shared" si="57"/>
        <v>6.1596135157483749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-3.4106051316484809E-13</v>
      </c>
      <c r="AJ83" s="13">
        <f>AI83*VLOOKUP('Données projet'!$B$10,Paramètres!$A$1:$I$89,3,0)*VLOOKUP('Données projet'!$B$10,Paramètres!$A$1:$I$89,5,0)</f>
        <v>-1.9065282685915009E-13</v>
      </c>
      <c r="AK83" s="13" t="e">
        <f t="shared" si="89"/>
        <v>#NUM!</v>
      </c>
      <c r="AL83" s="20" t="e">
        <f t="shared" si="58"/>
        <v>#NUM!</v>
      </c>
      <c r="AM83" s="59" t="e">
        <f t="shared" si="59"/>
        <v>#NUM!</v>
      </c>
      <c r="AN83" s="59">
        <f ca="1">AVERAGE(OFFSET($AM$3,0,0,'Données projet'!$E$10+1,1))-AVERAGE(OFFSET($H$3,0,0,'Données projet'!$E$10+1,1))</f>
        <v>544.48194192356823</v>
      </c>
      <c r="AO83" s="59">
        <f t="shared" si="90"/>
        <v>668.20427590250733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2.7272974597356683</v>
      </c>
      <c r="AV83" s="21">
        <f>EXP(-LN(2)/25)*AV82+(1-EXP(-LN(2)/25))/(LN(2)/25)*Calculateur!AQ83*Calculateur!AS83*VLOOKUP('Données projet'!$B$10,Paramètres!$A$1:$I$89,3,0)*0.475*44/12</f>
        <v>10.653055896138694</v>
      </c>
      <c r="AW83" s="21">
        <f>EXP(-LN(2)/2)*AW82+(1-EXP(-LN(2)/2))/(LN(2)/2)*AQ83*AT83*VLOOKUP('Données projet'!$B$10,Paramètres!$A$1:$I$89,3,0)*0.475*44/12</f>
        <v>4.2968862547688608E-7</v>
      </c>
      <c r="AX83" s="21">
        <f t="shared" si="60"/>
        <v>13.380353785562988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320</v>
      </c>
      <c r="BB83" s="12">
        <f>VLOOKUP(A83,'Données projet'!$A$87:$I$107,9,0)</f>
        <v>7.2</v>
      </c>
      <c r="BC83" s="12">
        <f t="array" ref="BC83">INDEX(BB:BB,MIN(IF(ISNUMBER(BB83:BB279),ROW(BB83:BB279),"")))</f>
        <v>7.2</v>
      </c>
      <c r="BD83" s="12">
        <f>IF('Données projet'!$A$88&gt;35,BD82+BC83-BL82,IF(A83&lt;'Données projet'!$A$88,$BA$205^A83,IF(A83='Données projet'!$A$88,'Données projet'!$B$88,BD82+BC83-BL82)))</f>
        <v>320</v>
      </c>
      <c r="BE83" s="13">
        <f>BD83*VLOOKUP('Données projet'!$B$11,Paramètres!$A$1:$I$89,3,0)*VLOOKUP('Données projet'!$B$11,Paramètres!$A$1:$I$89,5,0)</f>
        <v>289.536</v>
      </c>
      <c r="BF83" s="13">
        <f t="shared" si="91"/>
        <v>68.97829509904436</v>
      </c>
      <c r="BG83" s="20">
        <f t="shared" si="61"/>
        <v>624.41239729750225</v>
      </c>
      <c r="BH83" s="59">
        <f t="shared" si="62"/>
        <v>917.74573063083562</v>
      </c>
      <c r="BI83" s="59">
        <f ca="1">AVERAGE(OFFSET($BH$3,0,0,'Données projet'!$E$11+1,1))-AVERAGE(OFFSET($H$3,0,0,'Données projet'!$E$11+1,1))</f>
        <v>405.7176439604217</v>
      </c>
      <c r="BJ83" s="59">
        <f t="shared" si="92"/>
        <v>278.21741231699929</v>
      </c>
      <c r="BK83" s="15">
        <f>IF(ISNA(VLOOKUP(A83,'Données projet'!$A$87:$I$107,3,0)),0,VLOOKUP(A83,'Données projet'!$A$87:$I$107,3,0))</f>
        <v>13</v>
      </c>
      <c r="BL83" s="21">
        <f>IF(ISNA(VLOOKUP(A83,'Données projet'!$A$87:$I$107,4,0)),0,VLOOKUP(A83,'Données projet'!$A$87:$I$107,4,0))</f>
        <v>28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2.7150767153238653</v>
      </c>
      <c r="BQ83" s="21">
        <f>EXP(-LN(2)/25)*BQ82+(1-EXP(-LN(2)/25))/(LN(2)/25)*Calculateur!BL83*Calculateur!BN83*VLOOKUP('Données projet'!$B$11,Paramètres!$A$1:$I$89,3,0)*0.475*44/12</f>
        <v>2.3411915318771048</v>
      </c>
      <c r="BR83" s="21">
        <f>EXP(-LN(2)/2)*BR82+(1-EXP(-LN(2)/2))/(LN(2)/2)*BL83*BO83*VLOOKUP('Données projet'!$B$11,Paramètres!$A$1:$I$89,3,0)*0.475*44/12</f>
        <v>2.5435783235245065E-7</v>
      </c>
      <c r="BS83" s="22">
        <f t="shared" si="63"/>
        <v>5.0562685015588027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264</v>
      </c>
      <c r="BW83" s="12">
        <f>VLOOKUP(A83,'Données projet'!$A$113:$I$133,9,0)</f>
        <v>4.4000000000000004</v>
      </c>
      <c r="BX83" s="12">
        <f t="array" ref="BX83">INDEX(BW:BW,MIN(IF(ISNUMBER(BW83:BW279),ROW(BW83:BW279),"")))</f>
        <v>4.4000000000000004</v>
      </c>
      <c r="BY83" s="12">
        <f>IF('Données projet'!$A$114&gt;35,BY82+BX83-CG82,IF(A83&lt;'Données projet'!$A$114,$BV$205^A83,IF(A83='Données projet'!$A$114,'Données projet'!$B$114,BY82+BX83-CG82)))</f>
        <v>264.00000000000006</v>
      </c>
      <c r="BZ83" s="13">
        <f>BY83*VLOOKUP('Données projet'!$B$12,Paramètres!$A$1:$I$89,3,0)*VLOOKUP('Données projet'!$B$12,Paramètres!$A$1:$I$89,5,0)</f>
        <v>230.63040000000007</v>
      </c>
      <c r="CA83" s="13">
        <f t="shared" si="93"/>
        <v>56.418967028503253</v>
      </c>
      <c r="CB83" s="20">
        <f t="shared" si="64"/>
        <v>499.94431424130994</v>
      </c>
      <c r="CC83" s="59">
        <f t="shared" si="65"/>
        <v>793.2776475746432</v>
      </c>
      <c r="CD83" s="59">
        <f ca="1">AVERAGE(OFFSET($CC$3,0,0,'Données projet'!$E$12+1,1))-AVERAGE(OFFSET($H$3,0,0,'Données projet'!$E$12+1,1))</f>
        <v>381.72225529388083</v>
      </c>
      <c r="CE83" s="59">
        <f t="shared" si="94"/>
        <v>360.05900046417361</v>
      </c>
      <c r="CF83" s="15">
        <f>IF(ISNA(VLOOKUP(A83,'Données projet'!$A$113:$I$133,3,0)),0,VLOOKUP(A83,'Données projet'!$A$113:$I$133,3,0))</f>
        <v>14</v>
      </c>
      <c r="CG83" s="15">
        <f>IF(ISNA(VLOOKUP(A83,'Données projet'!$A$113:$I$133,4,0)),0,VLOOKUP(A83,'Données projet'!$A$113:$I$133,4,0))</f>
        <v>17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1.787498551318351</v>
      </c>
      <c r="CL83" s="21">
        <f>EXP(-LN(2)/25)*CL82+(1-EXP(-LN(2)/25))/(LN(2)/25)*Calculateur!CG83*Calculateur!CI83*VLOOKUP('Données projet'!$B$12,Paramètres!$A$1:$I$89,3,0)*0.475*44/12</f>
        <v>2.8200400136133417</v>
      </c>
      <c r="CM83" s="21">
        <f>EXP(-LN(2)/2)*CM82+(1-EXP(-LN(2)/2))/(LN(2)/2)*CG83*CJ83*VLOOKUP('Données projet'!$B$12,Paramètres!$A$1:$I$89,3,0)*0.475*44/12</f>
        <v>2.0854192416369897E-7</v>
      </c>
      <c r="CN83" s="22">
        <f t="shared" si="66"/>
        <v>4.6075387734736166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275</v>
      </c>
      <c r="CR83" s="12">
        <f>VLOOKUP(A83,'Données projet'!$A$139:$I$159,9,0)</f>
        <v>2.8</v>
      </c>
      <c r="CS83" s="12">
        <f t="array" ref="CS83">INDEX(CR:CR,MIN(IF(ISNUMBER(CR83:CR279),ROW(CR83:CR279),"")))</f>
        <v>2.8</v>
      </c>
      <c r="CT83" s="12">
        <f>IF('Données projet'!$A$140&gt;35,CT82+CS83-DB82,IF(A83&lt;'Données projet'!$A$140,$CQ$205^A83,IF(A83='Données projet'!$A$140,'Données projet'!$B$140,CT82+CS83-DB82)))</f>
        <v>274.99999999999983</v>
      </c>
      <c r="CU83" s="17">
        <f>CT83*VLOOKUP('Données projet'!$B$13,Paramètres!$A$1:$I$89,3,0)*VLOOKUP('Données projet'!$B$13,Paramètres!$A$1:$I$89,5,0)</f>
        <v>218.78999999999988</v>
      </c>
      <c r="CV83" s="13">
        <f t="shared" si="95"/>
        <v>53.851813843863468</v>
      </c>
      <c r="CW83" s="20">
        <f t="shared" si="67"/>
        <v>474.85115911139536</v>
      </c>
      <c r="CX83" s="59">
        <f t="shared" si="68"/>
        <v>768.18449244472868</v>
      </c>
      <c r="CY83" s="59">
        <f ca="1">AVERAGE(OFFSET($CX$3,0,0,'Données projet'!$E$13+1,1))-AVERAGE(OFFSET($H$3,0,0,'Données projet'!$E$13+1,1))</f>
        <v>299.10536994156814</v>
      </c>
      <c r="CZ83" s="59">
        <f t="shared" si="96"/>
        <v>292.57799203101769</v>
      </c>
      <c r="DA83" s="15" t="str">
        <f>IF(ISNA(VLOOKUP(A83,'Données projet'!$A$139:$I$159,3,0)),0,VLOOKUP(A83,'Données projet'!$A$139:$I$159,3,0))</f>
        <v>CR</v>
      </c>
      <c r="DB83" s="15">
        <f>IF(ISNA(VLOOKUP(A83,'Données projet'!$A$139:$I$159,4,0)),0,VLOOKUP(A83,'Données projet'!$A$139:$I$159,4,0))</f>
        <v>275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3.128493370257551</v>
      </c>
      <c r="DG83" s="21">
        <f>EXP(-LN(2)/25)*DG82+(1-EXP(-LN(2)/25))/(LN(2)/25)*Calculateur!DB83*Calculateur!DD83*VLOOKUP('Données projet'!$B$13,Paramètres!$A$1:$I$89,3,0)*0.475*44/12</f>
        <v>2.7031881071332586</v>
      </c>
      <c r="DH83" s="21">
        <f>EXP(-LN(2)/2)*DH82+(1-EXP(-LN(2)/2))/(LN(2)/2)*DB83*DE83*VLOOKUP('Données projet'!$B$13,Paramètres!$A$1:$I$89,3,0)*0.475*44/12</f>
        <v>2.674057653792216E-7</v>
      </c>
      <c r="DI83" s="22">
        <f t="shared" si="69"/>
        <v>5.8316817447965743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>
        <f>VLOOKUP(A83,'Données projet'!$A$165:$I$185,2,0)</f>
        <v>277</v>
      </c>
      <c r="DM83" s="12">
        <f>VLOOKUP(A83,'Données projet'!$A$165:$I$185,9,0)</f>
        <v>4.5999999999999996</v>
      </c>
      <c r="DN83" s="12">
        <f t="array" ref="DN83">INDEX(DM:DM,MIN(IF(ISNUMBER(DM83:DM279),ROW(DM83:DM279),"")))</f>
        <v>4.5999999999999996</v>
      </c>
      <c r="DO83" s="12">
        <f>IF('Données projet'!$A$166&gt;35,DO82+DN83-DW82,IF(A83&lt;'Données projet'!$A$166,$DL$205^A83,IF(A83='Données projet'!$A$166,'Données projet'!$B$166,DO82+DN83-DW82)))</f>
        <v>277.00000000000023</v>
      </c>
      <c r="DP83" s="17">
        <f>DO83*VLOOKUP('Données projet'!$B$14,Paramètres!$A$1:$I$89,3,0)*VLOOKUP('Données projet'!$B$14,Paramètres!$A$1:$I$89,5,0)</f>
        <v>181.49040000000014</v>
      </c>
      <c r="DQ83" s="13">
        <f t="shared" si="97"/>
        <v>45.653613407555532</v>
      </c>
      <c r="DR83" s="20">
        <f t="shared" si="70"/>
        <v>395.60915668482608</v>
      </c>
      <c r="DS83" s="59">
        <f t="shared" si="71"/>
        <v>688.94249001815933</v>
      </c>
      <c r="DT83" s="59">
        <f ca="1">AVERAGE(OFFSET($DS$3,0,0,'Données projet'!$E$14+1,1))-AVERAGE(OFFSET($H$3,0,0,'Données projet'!$E$14+1,1))</f>
        <v>295.92103934364718</v>
      </c>
      <c r="DU83" s="59">
        <f t="shared" si="98"/>
        <v>304.84379909635476</v>
      </c>
      <c r="DV83" s="15">
        <f>IF(ISNA(VLOOKUP(A83,'Données projet'!$A$165:$I$185,3,0)),0,VLOOKUP(A83,'Données projet'!$A$165:$I$185,3,0))</f>
        <v>15</v>
      </c>
      <c r="DW83" s="15">
        <f>IF(ISNA(VLOOKUP(A83,'Données projet'!$A$165:$I$185,4,0)),0,VLOOKUP(A83,'Données projet'!$A$165:$I$185,4,0))</f>
        <v>18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1.6570145750275576</v>
      </c>
      <c r="EB83" s="21">
        <f>EXP(-LN(2)/25)*EB82+(1-EXP(-LN(2)/25))/(LN(2)/25)*Calculateur!DW83*Calculateur!DY83*VLOOKUP('Données projet'!$B$14,Paramètres!$A$1:$I$89,3,0)*0.475*44/12</f>
        <v>1.7880377939938703</v>
      </c>
      <c r="EC83" s="21">
        <f>EXP(-LN(2)/2)*EC82+(1-EXP(-LN(2)/2))/(LN(2)/2)*DW83*DZ83*VLOOKUP('Données projet'!$B$14,Paramètres!$A$1:$I$89,3,0)*0.475*44/12</f>
        <v>1.7150385682205006E-7</v>
      </c>
      <c r="ED83" s="22">
        <f t="shared" si="72"/>
        <v>3.445052540525285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17.5</v>
      </c>
      <c r="N84" s="13">
        <f>IF('Données projet'!$A$36&gt;35,N83+M84-V83,IF(A84&lt;'Données projet'!$A$36,$K$205^A84,IF(A84='Données projet'!$A$36,'Données projet'!$B$36,N83+M84-V83)))</f>
        <v>430.99999999999989</v>
      </c>
      <c r="O84" s="13">
        <f>N84*VLOOKUP('Données projet'!$B$9,Paramètres!$A$1:$I$89,3,0)*VLOOKUP('Données projet'!$B$9,Paramètres!$A$1:$I$89,5,0)</f>
        <v>201.70799999999994</v>
      </c>
      <c r="P84" s="13">
        <f t="shared" si="87"/>
        <v>50.119348451854243</v>
      </c>
      <c r="Q84" s="20">
        <f t="shared" si="54"/>
        <v>438.59929855364607</v>
      </c>
      <c r="R84" s="59">
        <f t="shared" si="55"/>
        <v>731.93263188697938</v>
      </c>
      <c r="S84" s="59">
        <f ca="1">AVERAGE(OFFSET($R$3,0,0,'Données projet'!$E$9+1,1))-AVERAGE(OFFSET($H$3,0,0,'Données projet'!$E$9+1,1))</f>
        <v>319.22903094674564</v>
      </c>
      <c r="T84" s="59">
        <f t="shared" si="88"/>
        <v>254.58690973142848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3.305664521822012</v>
      </c>
      <c r="AA84" s="21">
        <f>EXP(-LN(2)/25)*AA83+(1-EXP(-LN(2)/25))/(LN(2)/25)*Calculateur!V84*Calculateur!X84*VLOOKUP('Données projet'!$B$9,Paramètres!$A$1:$I$89,3,0)*0.475*44/12</f>
        <v>2.711596694735527</v>
      </c>
      <c r="AB84" s="21">
        <f>EXP(-LN(2)/2)*AB83+(1-EXP(-LN(2)/2))/(LN(2)/2)*V84*Y84*VLOOKUP('Données projet'!$B$9,Paramètres!$A$1:$I$89,3,0)*0.475*44/12</f>
        <v>2.327165350140281E-7</v>
      </c>
      <c r="AC84" s="22">
        <f t="shared" si="57"/>
        <v>6.0172614492740744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-3.4106051316484809E-13</v>
      </c>
      <c r="AJ84" s="13">
        <f>AI84*VLOOKUP('Données projet'!$B$10,Paramètres!$A$1:$I$89,3,0)*VLOOKUP('Données projet'!$B$10,Paramètres!$A$1:$I$89,5,0)</f>
        <v>-1.9065282685915009E-13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544.48194192356823</v>
      </c>
      <c r="AO84" s="59">
        <f t="shared" si="90"/>
        <v>668.20427590250733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2.6738168200374464</v>
      </c>
      <c r="AV84" s="21">
        <f>EXP(-LN(2)/25)*AV83+(1-EXP(-LN(2)/25))/(LN(2)/25)*Calculateur!AQ84*Calculateur!AS84*VLOOKUP('Données projet'!$B$10,Paramètres!$A$1:$I$89,3,0)*0.475*44/12</f>
        <v>10.36174752243892</v>
      </c>
      <c r="AW84" s="21">
        <f>EXP(-LN(2)/2)*AW83+(1-EXP(-LN(2)/2))/(LN(2)/2)*AQ84*AT84*VLOOKUP('Données projet'!$B$10,Paramètres!$A$1:$I$89,3,0)*0.475*44/12</f>
        <v>3.0383574087343285E-7</v>
      </c>
      <c r="AX84" s="21">
        <f t="shared" si="60"/>
        <v>13.035564646312107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6.8</v>
      </c>
      <c r="BD84" s="12">
        <f>IF('Données projet'!$A$88&gt;35,BD83+BC84-BL83,IF(A84&lt;'Données projet'!$A$88,$BA$205^A84,IF(A84='Données projet'!$A$88,'Données projet'!$B$88,BD83+BC84-BL83)))</f>
        <v>298.8</v>
      </c>
      <c r="BE84" s="13">
        <f>BD84*VLOOKUP('Données projet'!$B$11,Paramètres!$A$1:$I$89,3,0)*VLOOKUP('Données projet'!$B$11,Paramètres!$A$1:$I$89,5,0)</f>
        <v>270.35424</v>
      </c>
      <c r="BF84" s="13">
        <f t="shared" si="91"/>
        <v>64.924442218534367</v>
      </c>
      <c r="BG84" s="20">
        <f t="shared" si="61"/>
        <v>583.94370486394735</v>
      </c>
      <c r="BH84" s="59">
        <f t="shared" si="62"/>
        <v>877.27703819728072</v>
      </c>
      <c r="BI84" s="59">
        <f ca="1">AVERAGE(OFFSET($BH$3,0,0,'Données projet'!$E$11+1,1))-AVERAGE(OFFSET($H$3,0,0,'Données projet'!$E$11+1,1))</f>
        <v>405.7176439604217</v>
      </c>
      <c r="BJ84" s="59">
        <f t="shared" si="92"/>
        <v>278.21741231699929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2.6618357169696409</v>
      </c>
      <c r="BQ84" s="21">
        <f>EXP(-LN(2)/25)*BQ83+(1-EXP(-LN(2)/25))/(LN(2)/25)*Calculateur!BL84*Calculateur!BN84*VLOOKUP('Données projet'!$B$11,Paramètres!$A$1:$I$89,3,0)*0.475*44/12</f>
        <v>2.2771715263200134</v>
      </c>
      <c r="BR84" s="21">
        <f>EXP(-LN(2)/2)*BR83+(1-EXP(-LN(2)/2))/(LN(2)/2)*BL84*BO84*VLOOKUP('Données projet'!$B$11,Paramètres!$A$1:$I$89,3,0)*0.475*44/12</f>
        <v>1.7985814810432887E-7</v>
      </c>
      <c r="BS84" s="22">
        <f t="shared" si="63"/>
        <v>4.9390074231478023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4</v>
      </c>
      <c r="BY84" s="12">
        <f>IF('Données projet'!$A$114&gt;35,BY83+BX84-CG83,IF(A84&lt;'Données projet'!$A$114,$BV$205^A84,IF(A84='Données projet'!$A$114,'Données projet'!$B$114,BY83+BX84-CG83)))</f>
        <v>251.00000000000006</v>
      </c>
      <c r="BZ84" s="13">
        <f>BY84*VLOOKUP('Données projet'!$B$12,Paramètres!$A$1:$I$89,3,0)*VLOOKUP('Données projet'!$B$12,Paramètres!$A$1:$I$89,5,0)</f>
        <v>219.2736000000001</v>
      </c>
      <c r="CA84" s="13">
        <f t="shared" si="93"/>
        <v>53.956975893220125</v>
      </c>
      <c r="CB84" s="20">
        <f t="shared" si="64"/>
        <v>475.87658634735857</v>
      </c>
      <c r="CC84" s="59">
        <f t="shared" si="65"/>
        <v>769.20991968069188</v>
      </c>
      <c r="CD84" s="59">
        <f ca="1">AVERAGE(OFFSET($CC$3,0,0,'Données projet'!$E$12+1,1))-AVERAGE(OFFSET($H$3,0,0,'Données projet'!$E$12+1,1))</f>
        <v>381.72225529388083</v>
      </c>
      <c r="CE84" s="59">
        <f t="shared" si="94"/>
        <v>360.05900046417361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1.7524467949934597</v>
      </c>
      <c r="CL84" s="21">
        <f>EXP(-LN(2)/25)*CL83+(1-EXP(-LN(2)/25))/(LN(2)/25)*Calculateur!CG84*Calculateur!CI84*VLOOKUP('Données projet'!$B$12,Paramètres!$A$1:$I$89,3,0)*0.475*44/12</f>
        <v>2.742925871141626</v>
      </c>
      <c r="CM84" s="21">
        <f>EXP(-LN(2)/2)*CM83+(1-EXP(-LN(2)/2))/(LN(2)/2)*CG84*CJ84*VLOOKUP('Données projet'!$B$12,Paramètres!$A$1:$I$89,3,0)*0.475*44/12</f>
        <v>1.4746140873784227E-7</v>
      </c>
      <c r="CN84" s="22">
        <f t="shared" si="66"/>
        <v>4.4953728135964939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-1.7053025658242404E-13</v>
      </c>
      <c r="CU84" s="17">
        <f>CT84*VLOOKUP('Données projet'!$B$13,Paramètres!$A$1:$I$89,3,0)*VLOOKUP('Données projet'!$B$13,Paramètres!$A$1:$I$89,5,0)</f>
        <v>-1.3567387213697657E-13</v>
      </c>
      <c r="CV84" s="13" t="e">
        <f t="shared" si="95"/>
        <v>#NUM!</v>
      </c>
      <c r="CW84" s="20" t="e">
        <f t="shared" si="67"/>
        <v>#NUM!</v>
      </c>
      <c r="CX84" s="59" t="e">
        <f t="shared" si="68"/>
        <v>#NUM!</v>
      </c>
      <c r="CY84" s="59">
        <f ca="1">AVERAGE(OFFSET($CX$3,0,0,'Données projet'!$E$13+1,1))-AVERAGE(OFFSET($H$3,0,0,'Données projet'!$E$13+1,1))</f>
        <v>299.10536994156814</v>
      </c>
      <c r="CZ84" s="59">
        <f t="shared" si="96"/>
        <v>292.57799203101769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3.0671455234593381</v>
      </c>
      <c r="DG84" s="21">
        <f>EXP(-LN(2)/25)*DG83+(1-EXP(-LN(2)/25))/(LN(2)/25)*Calculateur!DB84*Calculateur!DD84*VLOOKUP('Données projet'!$B$13,Paramètres!$A$1:$I$89,3,0)*0.475*44/12</f>
        <v>2.6292692861892153</v>
      </c>
      <c r="DH84" s="21">
        <f>EXP(-LN(2)/2)*DH83+(1-EXP(-LN(2)/2))/(LN(2)/2)*DB84*DE84*VLOOKUP('Données projet'!$B$13,Paramètres!$A$1:$I$89,3,0)*0.475*44/12</f>
        <v>1.8908443002802652E-7</v>
      </c>
      <c r="DI84" s="22">
        <f t="shared" si="69"/>
        <v>5.6964149987329833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4.2</v>
      </c>
      <c r="DO84" s="12">
        <f>IF('Données projet'!$A$166&gt;35,DO83+DN84-DW83,IF(A84&lt;'Données projet'!$A$166,$DL$205^A84,IF(A84='Données projet'!$A$166,'Données projet'!$B$166,DO83+DN84-DW83)))</f>
        <v>263.20000000000022</v>
      </c>
      <c r="DP84" s="17">
        <f>DO84*VLOOKUP('Données projet'!$B$14,Paramètres!$A$1:$I$89,3,0)*VLOOKUP('Données projet'!$B$14,Paramètres!$A$1:$I$89,5,0)</f>
        <v>172.44864000000013</v>
      </c>
      <c r="DQ84" s="13">
        <f t="shared" si="97"/>
        <v>43.637980200453718</v>
      </c>
      <c r="DR84" s="20">
        <f t="shared" si="70"/>
        <v>376.35086351579042</v>
      </c>
      <c r="DS84" s="59">
        <f t="shared" si="71"/>
        <v>669.68419684912374</v>
      </c>
      <c r="DT84" s="59">
        <f ca="1">AVERAGE(OFFSET($DS$3,0,0,'Données projet'!$E$14+1,1))-AVERAGE(OFFSET($H$3,0,0,'Données projet'!$E$14+1,1))</f>
        <v>295.92103934364718</v>
      </c>
      <c r="DU84" s="59">
        <f t="shared" si="98"/>
        <v>304.84379909635476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1.6245215298903617</v>
      </c>
      <c r="EB84" s="21">
        <f>EXP(-LN(2)/25)*EB83+(1-EXP(-LN(2)/25))/(LN(2)/25)*Calculateur!DW84*Calculateur!DY84*VLOOKUP('Données projet'!$B$14,Paramètres!$A$1:$I$89,3,0)*0.475*44/12</f>
        <v>1.7391438064882869</v>
      </c>
      <c r="EC84" s="21">
        <f>EXP(-LN(2)/2)*EC83+(1-EXP(-LN(2)/2))/(LN(2)/2)*DW84*DZ84*VLOOKUP('Données projet'!$B$14,Paramètres!$A$1:$I$89,3,0)*0.475*44/12</f>
        <v>1.2127154015851833E-7</v>
      </c>
      <c r="ED84" s="22">
        <f t="shared" si="72"/>
        <v>3.363665457650189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17.5</v>
      </c>
      <c r="N85" s="13">
        <f>IF('Données projet'!$A$36&gt;35,N84+M85-V84,IF(A85&lt;'Données projet'!$A$36,$K$205^A85,IF(A85='Données projet'!$A$36,'Données projet'!$B$36,N84+M85-V84)))</f>
        <v>448.49999999999989</v>
      </c>
      <c r="O85" s="13">
        <f>N85*VLOOKUP('Données projet'!$B$9,Paramètres!$A$1:$I$89,3,0)*VLOOKUP('Données projet'!$B$9,Paramètres!$A$1:$I$89,5,0)</f>
        <v>209.89799999999994</v>
      </c>
      <c r="P85" s="13">
        <f t="shared" si="87"/>
        <v>51.913295501810218</v>
      </c>
      <c r="Q85" s="20">
        <f t="shared" si="54"/>
        <v>455.98800633231934</v>
      </c>
      <c r="R85" s="59">
        <f t="shared" si="55"/>
        <v>749.32133966565266</v>
      </c>
      <c r="S85" s="59">
        <f ca="1">AVERAGE(OFFSET($R$3,0,0,'Données projet'!$E$9+1,1))-AVERAGE(OFFSET($H$3,0,0,'Données projet'!$E$9+1,1))</f>
        <v>319.22903094674564</v>
      </c>
      <c r="T85" s="59">
        <f t="shared" si="88"/>
        <v>254.58690973142848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3.240842456805352</v>
      </c>
      <c r="AA85" s="21">
        <f>EXP(-LN(2)/25)*AA84+(1-EXP(-LN(2)/25))/(LN(2)/25)*Calculateur!V85*Calculateur!X85*VLOOKUP('Données projet'!$B$9,Paramètres!$A$1:$I$89,3,0)*0.475*44/12</f>
        <v>2.6374479405213114</v>
      </c>
      <c r="AB85" s="21">
        <f>EXP(-LN(2)/2)*AB84+(1-EXP(-LN(2)/2))/(LN(2)/2)*V85*Y85*VLOOKUP('Données projet'!$B$9,Paramètres!$A$1:$I$89,3,0)*0.475*44/12</f>
        <v>1.6455544000265591E-7</v>
      </c>
      <c r="AC85" s="22">
        <f t="shared" si="57"/>
        <v>5.8782905618821042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-3.4106051316484809E-13</v>
      </c>
      <c r="AJ85" s="13">
        <f>AI85*VLOOKUP('Données projet'!$B$10,Paramètres!$A$1:$I$89,3,0)*VLOOKUP('Données projet'!$B$10,Paramètres!$A$1:$I$89,5,0)</f>
        <v>-1.9065282685915009E-13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544.48194192356823</v>
      </c>
      <c r="AO85" s="59">
        <f t="shared" si="90"/>
        <v>668.20427590250733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2.6213849030637375</v>
      </c>
      <c r="AV85" s="21">
        <f>EXP(-LN(2)/25)*AV84+(1-EXP(-LN(2)/25))/(LN(2)/25)*Calculateur!AQ85*Calculateur!AS85*VLOOKUP('Données projet'!$B$10,Paramètres!$A$1:$I$89,3,0)*0.475*44/12</f>
        <v>10.078404991537207</v>
      </c>
      <c r="AW85" s="21">
        <f>EXP(-LN(2)/2)*AW84+(1-EXP(-LN(2)/2))/(LN(2)/2)*AQ85*AT85*VLOOKUP('Données projet'!$B$10,Paramètres!$A$1:$I$89,3,0)*0.475*44/12</f>
        <v>2.1484431273844304E-7</v>
      </c>
      <c r="AX85" s="21">
        <f t="shared" si="60"/>
        <v>12.699790109445257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6.8</v>
      </c>
      <c r="BD85" s="12">
        <f>IF('Données projet'!$A$88&gt;35,BD84+BC85-BL84,IF(A85&lt;'Données projet'!$A$88,$BA$205^A85,IF(A85='Données projet'!$A$88,'Données projet'!$B$88,BD84+BC85-BL84)))</f>
        <v>305.60000000000002</v>
      </c>
      <c r="BE85" s="13">
        <f>BD85*VLOOKUP('Données projet'!$B$11,Paramètres!$A$1:$I$89,3,0)*VLOOKUP('Données projet'!$B$11,Paramètres!$A$1:$I$89,5,0)</f>
        <v>276.50687999999997</v>
      </c>
      <c r="BF85" s="13">
        <f t="shared" si="91"/>
        <v>66.228273722513677</v>
      </c>
      <c r="BG85" s="20">
        <f t="shared" si="61"/>
        <v>596.93039273337797</v>
      </c>
      <c r="BH85" s="59">
        <f t="shared" si="62"/>
        <v>890.26372606671134</v>
      </c>
      <c r="BI85" s="59">
        <f ca="1">AVERAGE(OFFSET($BH$3,0,0,'Données projet'!$E$11+1,1))-AVERAGE(OFFSET($H$3,0,0,'Données projet'!$E$11+1,1))</f>
        <v>405.7176439604217</v>
      </c>
      <c r="BJ85" s="59">
        <f t="shared" si="92"/>
        <v>278.21741231699929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2.6096387421193405</v>
      </c>
      <c r="BQ85" s="21">
        <f>EXP(-LN(2)/25)*BQ84+(1-EXP(-LN(2)/25))/(LN(2)/25)*Calculateur!BL85*Calculateur!BN85*VLOOKUP('Données projet'!$B$11,Paramètres!$A$1:$I$89,3,0)*0.475*44/12</f>
        <v>2.2149021511815468</v>
      </c>
      <c r="BR85" s="21">
        <f>EXP(-LN(2)/2)*BR84+(1-EXP(-LN(2)/2))/(LN(2)/2)*BL85*BO85*VLOOKUP('Données projet'!$B$11,Paramètres!$A$1:$I$89,3,0)*0.475*44/12</f>
        <v>1.2717891617622533E-7</v>
      </c>
      <c r="BS85" s="22">
        <f t="shared" si="63"/>
        <v>4.8245410204798036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4</v>
      </c>
      <c r="BY85" s="12">
        <f>IF('Données projet'!$A$114&gt;35,BY84+BX85-CG84,IF(A85&lt;'Données projet'!$A$114,$BV$205^A85,IF(A85='Données projet'!$A$114,'Données projet'!$B$114,BY84+BX85-CG84)))</f>
        <v>255.00000000000006</v>
      </c>
      <c r="BZ85" s="13">
        <f>BY85*VLOOKUP('Données projet'!$B$12,Paramètres!$A$1:$I$89,3,0)*VLOOKUP('Données projet'!$B$12,Paramètres!$A$1:$I$89,5,0)</f>
        <v>222.76800000000006</v>
      </c>
      <c r="CA85" s="13">
        <f t="shared" si="93"/>
        <v>54.716058356609508</v>
      </c>
      <c r="CB85" s="20">
        <f t="shared" si="64"/>
        <v>483.28473497109502</v>
      </c>
      <c r="CC85" s="59">
        <f t="shared" si="65"/>
        <v>776.61806830442833</v>
      </c>
      <c r="CD85" s="59">
        <f ca="1">AVERAGE(OFFSET($CC$3,0,0,'Données projet'!$E$12+1,1))-AVERAGE(OFFSET($H$3,0,0,'Données projet'!$E$12+1,1))</f>
        <v>381.72225529388083</v>
      </c>
      <c r="CE85" s="59">
        <f t="shared" si="94"/>
        <v>360.05900046417361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1.718082382230639</v>
      </c>
      <c r="CL85" s="21">
        <f>EXP(-LN(2)/25)*CL84+(1-EXP(-LN(2)/25))/(LN(2)/25)*Calculateur!CG85*Calculateur!CI85*VLOOKUP('Données projet'!$B$12,Paramètres!$A$1:$I$89,3,0)*0.475*44/12</f>
        <v>2.6679204189510557</v>
      </c>
      <c r="CM85" s="21">
        <f>EXP(-LN(2)/2)*CM84+(1-EXP(-LN(2)/2))/(LN(2)/2)*CG85*CJ85*VLOOKUP('Données projet'!$B$12,Paramètres!$A$1:$I$89,3,0)*0.475*44/12</f>
        <v>1.0427096208184948E-7</v>
      </c>
      <c r="CN85" s="22">
        <f t="shared" si="66"/>
        <v>4.3860029054526564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-1.7053025658242404E-13</v>
      </c>
      <c r="CU85" s="17">
        <f>CT85*VLOOKUP('Données projet'!$B$13,Paramètres!$A$1:$I$89,3,0)*VLOOKUP('Données projet'!$B$13,Paramètres!$A$1:$I$89,5,0)</f>
        <v>-1.3567387213697657E-13</v>
      </c>
      <c r="CV85" s="13" t="e">
        <f t="shared" si="95"/>
        <v>#NUM!</v>
      </c>
      <c r="CW85" s="20" t="e">
        <f t="shared" si="67"/>
        <v>#NUM!</v>
      </c>
      <c r="CX85" s="59" t="e">
        <f t="shared" si="68"/>
        <v>#NUM!</v>
      </c>
      <c r="CY85" s="59">
        <f ca="1">AVERAGE(OFFSET($CX$3,0,0,'Données projet'!$E$13+1,1))-AVERAGE(OFFSET($H$3,0,0,'Données projet'!$E$13+1,1))</f>
        <v>299.10536994156814</v>
      </c>
      <c r="CZ85" s="59">
        <f t="shared" si="96"/>
        <v>292.57799203101769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3.0070006705183463</v>
      </c>
      <c r="DG85" s="21">
        <f>EXP(-LN(2)/25)*DG84+(1-EXP(-LN(2)/25))/(LN(2)/25)*Calculateur!DB85*Calculateur!DD85*VLOOKUP('Données projet'!$B$13,Paramètres!$A$1:$I$89,3,0)*0.475*44/12</f>
        <v>2.5573717792911088</v>
      </c>
      <c r="DH85" s="21">
        <f>EXP(-LN(2)/2)*DH84+(1-EXP(-LN(2)/2))/(LN(2)/2)*DB85*DE85*VLOOKUP('Données projet'!$B$13,Paramètres!$A$1:$I$89,3,0)*0.475*44/12</f>
        <v>1.337028826896108E-7</v>
      </c>
      <c r="DI85" s="22">
        <f t="shared" si="69"/>
        <v>5.5643725835123377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4.2</v>
      </c>
      <c r="DO85" s="12">
        <f>IF('Données projet'!$A$166&gt;35,DO84+DN85-DW84,IF(A85&lt;'Données projet'!$A$166,$DL$205^A85,IF(A85='Données projet'!$A$166,'Données projet'!$B$166,DO84+DN85-DW84)))</f>
        <v>267.4000000000002</v>
      </c>
      <c r="DP85" s="17">
        <f>DO85*VLOOKUP('Données projet'!$B$14,Paramètres!$A$1:$I$89,3,0)*VLOOKUP('Données projet'!$B$14,Paramètres!$A$1:$I$89,5,0)</f>
        <v>175.20048000000014</v>
      </c>
      <c r="DQ85" s="13">
        <f t="shared" si="97"/>
        <v>44.252707646937758</v>
      </c>
      <c r="DR85" s="20">
        <f t="shared" si="70"/>
        <v>382.2143018184168</v>
      </c>
      <c r="DS85" s="59">
        <f t="shared" si="71"/>
        <v>675.54763515175011</v>
      </c>
      <c r="DT85" s="59">
        <f ca="1">AVERAGE(OFFSET($DS$3,0,0,'Données projet'!$E$14+1,1))-AVERAGE(OFFSET($H$3,0,0,'Données projet'!$E$14+1,1))</f>
        <v>295.92103934364718</v>
      </c>
      <c r="DU85" s="59">
        <f t="shared" si="98"/>
        <v>304.84379909635476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1.5926656535495056</v>
      </c>
      <c r="EB85" s="21">
        <f>EXP(-LN(2)/25)*EB84+(1-EXP(-LN(2)/25))/(LN(2)/25)*Calculateur!DW85*Calculateur!DY85*VLOOKUP('Données projet'!$B$14,Paramètres!$A$1:$I$89,3,0)*0.475*44/12</f>
        <v>1.6915868276422668</v>
      </c>
      <c r="EC85" s="21">
        <f>EXP(-LN(2)/2)*EC84+(1-EXP(-LN(2)/2))/(LN(2)/2)*DW85*DZ85*VLOOKUP('Données projet'!$B$14,Paramètres!$A$1:$I$89,3,0)*0.475*44/12</f>
        <v>8.575192841102503E-8</v>
      </c>
      <c r="ED85" s="22">
        <f t="shared" si="72"/>
        <v>3.2842525669437004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17.5</v>
      </c>
      <c r="N86" s="13">
        <f>IF('Données projet'!$A$36&gt;35,N85+M86-V85,IF(A86&lt;'Données projet'!$A$36,$K$205^A86,IF(A86='Données projet'!$A$36,'Données projet'!$B$36,N85+M86-V85)))</f>
        <v>465.99999999999989</v>
      </c>
      <c r="O86" s="13">
        <f>N86*VLOOKUP('Données projet'!$B$9,Paramètres!$A$1:$I$89,3,0)*VLOOKUP('Données projet'!$B$9,Paramètres!$A$1:$I$89,5,0)</f>
        <v>218.08799999999997</v>
      </c>
      <c r="P86" s="13">
        <f t="shared" si="87"/>
        <v>53.699111087780629</v>
      </c>
      <c r="Q86" s="20">
        <f t="shared" si="54"/>
        <v>473.36255181121783</v>
      </c>
      <c r="R86" s="59">
        <f t="shared" si="55"/>
        <v>766.69588514455108</v>
      </c>
      <c r="S86" s="59">
        <f ca="1">AVERAGE(OFFSET($R$3,0,0,'Données projet'!$E$9+1,1))-AVERAGE(OFFSET($H$3,0,0,'Données projet'!$E$9+1,1))</f>
        <v>319.22903094674564</v>
      </c>
      <c r="T86" s="59">
        <f t="shared" si="88"/>
        <v>254.58690973142848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3.177291512946113</v>
      </c>
      <c r="AA86" s="21">
        <f>EXP(-LN(2)/25)*AA85+(1-EXP(-LN(2)/25))/(LN(2)/25)*Calculateur!V86*Calculateur!X86*VLOOKUP('Données projet'!$B$9,Paramètres!$A$1:$I$89,3,0)*0.475*44/12</f>
        <v>2.5653267878903967</v>
      </c>
      <c r="AB86" s="21">
        <f>EXP(-LN(2)/2)*AB85+(1-EXP(-LN(2)/2))/(LN(2)/2)*V86*Y86*VLOOKUP('Données projet'!$B$9,Paramètres!$A$1:$I$89,3,0)*0.475*44/12</f>
        <v>1.1635826750701407E-7</v>
      </c>
      <c r="AC86" s="22">
        <f t="shared" si="57"/>
        <v>5.7426184171947776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-3.4106051316484809E-13</v>
      </c>
      <c r="AJ86" s="13">
        <f>AI86*VLOOKUP('Données projet'!$B$10,Paramètres!$A$1:$I$89,3,0)*VLOOKUP('Données projet'!$B$10,Paramètres!$A$1:$I$89,5,0)</f>
        <v>-1.9065282685915009E-13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544.48194192356823</v>
      </c>
      <c r="AO86" s="59">
        <f t="shared" si="90"/>
        <v>668.20427590250733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2.5699811440015714</v>
      </c>
      <c r="AV86" s="21">
        <f>EXP(-LN(2)/25)*AV85+(1-EXP(-LN(2)/25))/(LN(2)/25)*Calculateur!AQ86*Calculateur!AS86*VLOOKUP('Données projet'!$B$10,Paramètres!$A$1:$I$89,3,0)*0.475*44/12</f>
        <v>9.8028104770433373</v>
      </c>
      <c r="AW86" s="21">
        <f>EXP(-LN(2)/2)*AW85+(1-EXP(-LN(2)/2))/(LN(2)/2)*AQ86*AT86*VLOOKUP('Données projet'!$B$10,Paramètres!$A$1:$I$89,3,0)*0.475*44/12</f>
        <v>1.5191787043671643E-7</v>
      </c>
      <c r="AX86" s="21">
        <f t="shared" si="60"/>
        <v>12.372791772962779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6.8</v>
      </c>
      <c r="BD86" s="12">
        <f>IF('Données projet'!$A$88&gt;35,BD85+BC86-BL85,IF(A86&lt;'Données projet'!$A$88,$BA$205^A86,IF(A86='Données projet'!$A$88,'Données projet'!$B$88,BD85+BC86-BL85)))</f>
        <v>312.40000000000003</v>
      </c>
      <c r="BE86" s="13">
        <f>BD86*VLOOKUP('Données projet'!$B$11,Paramètres!$A$1:$I$89,3,0)*VLOOKUP('Données projet'!$B$11,Paramètres!$A$1:$I$89,5,0)</f>
        <v>282.65952000000004</v>
      </c>
      <c r="BF86" s="13">
        <f t="shared" si="91"/>
        <v>67.528732309967324</v>
      </c>
      <c r="BG86" s="20">
        <f t="shared" si="61"/>
        <v>609.91120610652649</v>
      </c>
      <c r="BH86" s="59">
        <f t="shared" si="62"/>
        <v>903.24453943985986</v>
      </c>
      <c r="BI86" s="59">
        <f ca="1">AVERAGE(OFFSET($BH$3,0,0,'Données projet'!$E$11+1,1))-AVERAGE(OFFSET($H$3,0,0,'Données projet'!$E$11+1,1))</f>
        <v>405.7176439604217</v>
      </c>
      <c r="BJ86" s="59">
        <f t="shared" si="92"/>
        <v>278.21741231699929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2.5584653181088433</v>
      </c>
      <c r="BQ86" s="21">
        <f>EXP(-LN(2)/25)*BQ85+(1-EXP(-LN(2)/25))/(LN(2)/25)*Calculateur!BL86*Calculateur!BN86*VLOOKUP('Données projet'!$B$11,Paramètres!$A$1:$I$89,3,0)*0.475*44/12</f>
        <v>2.1543355353808455</v>
      </c>
      <c r="BR86" s="21">
        <f>EXP(-LN(2)/2)*BR85+(1-EXP(-LN(2)/2))/(LN(2)/2)*BL86*BO86*VLOOKUP('Données projet'!$B$11,Paramètres!$A$1:$I$89,3,0)*0.475*44/12</f>
        <v>8.9929074052164433E-8</v>
      </c>
      <c r="BS86" s="22">
        <f t="shared" si="63"/>
        <v>4.7128009434187632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4</v>
      </c>
      <c r="BY86" s="12">
        <f>IF('Données projet'!$A$114&gt;35,BY85+BX86-CG85,IF(A86&lt;'Données projet'!$A$114,$BV$205^A86,IF(A86='Données projet'!$A$114,'Données projet'!$B$114,BY85+BX86-CG85)))</f>
        <v>259.00000000000006</v>
      </c>
      <c r="BZ86" s="13">
        <f>BY86*VLOOKUP('Données projet'!$B$12,Paramètres!$A$1:$I$89,3,0)*VLOOKUP('Données projet'!$B$12,Paramètres!$A$1:$I$89,5,0)</f>
        <v>226.26240000000007</v>
      </c>
      <c r="CA86" s="13">
        <f t="shared" si="93"/>
        <v>55.473756029242935</v>
      </c>
      <c r="CB86" s="20">
        <f t="shared" si="64"/>
        <v>490.69047175093164</v>
      </c>
      <c r="CC86" s="59">
        <f t="shared" si="65"/>
        <v>784.02380508426495</v>
      </c>
      <c r="CD86" s="59">
        <f ca="1">AVERAGE(OFFSET($CC$3,0,0,'Données projet'!$E$12+1,1))-AVERAGE(OFFSET($H$3,0,0,'Données projet'!$E$12+1,1))</f>
        <v>381.72225529388083</v>
      </c>
      <c r="CE86" s="59">
        <f t="shared" si="94"/>
        <v>360.05900046417361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1.6843918346418751</v>
      </c>
      <c r="CL86" s="21">
        <f>EXP(-LN(2)/25)*CL85+(1-EXP(-LN(2)/25))/(LN(2)/25)*Calculateur!CG86*Calculateur!CI86*VLOOKUP('Données projet'!$B$12,Paramètres!$A$1:$I$89,3,0)*0.475*44/12</f>
        <v>2.5949659947950017</v>
      </c>
      <c r="CM86" s="21">
        <f>EXP(-LN(2)/2)*CM85+(1-EXP(-LN(2)/2))/(LN(2)/2)*CG86*CJ86*VLOOKUP('Données projet'!$B$12,Paramètres!$A$1:$I$89,3,0)*0.475*44/12</f>
        <v>7.3730704368921136E-8</v>
      </c>
      <c r="CN86" s="22">
        <f t="shared" si="66"/>
        <v>4.2793579031675808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-1.7053025658242404E-13</v>
      </c>
      <c r="CU86" s="17">
        <f>CT86*VLOOKUP('Données projet'!$B$13,Paramètres!$A$1:$I$89,3,0)*VLOOKUP('Données projet'!$B$13,Paramètres!$A$1:$I$89,5,0)</f>
        <v>-1.3567387213697657E-13</v>
      </c>
      <c r="CV86" s="13" t="e">
        <f t="shared" si="95"/>
        <v>#NUM!</v>
      </c>
      <c r="CW86" s="20" t="e">
        <f t="shared" si="67"/>
        <v>#NUM!</v>
      </c>
      <c r="CX86" s="59" t="e">
        <f t="shared" si="68"/>
        <v>#NUM!</v>
      </c>
      <c r="CY86" s="59">
        <f ca="1">AVERAGE(OFFSET($CX$3,0,0,'Données projet'!$E$13+1,1))-AVERAGE(OFFSET($H$3,0,0,'Données projet'!$E$13+1,1))</f>
        <v>299.10536994156814</v>
      </c>
      <c r="CZ86" s="59">
        <f t="shared" si="96"/>
        <v>292.57799203101769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2.948035221458789</v>
      </c>
      <c r="DG86" s="21">
        <f>EXP(-LN(2)/25)*DG85+(1-EXP(-LN(2)/25))/(LN(2)/25)*Calculateur!DB86*Calculateur!DD86*VLOOKUP('Données projet'!$B$13,Paramètres!$A$1:$I$89,3,0)*0.475*44/12</f>
        <v>2.4874403135000565</v>
      </c>
      <c r="DH86" s="21">
        <f>EXP(-LN(2)/2)*DH85+(1-EXP(-LN(2)/2))/(LN(2)/2)*DB86*DE86*VLOOKUP('Données projet'!$B$13,Paramètres!$A$1:$I$89,3,0)*0.475*44/12</f>
        <v>9.454221501401326E-8</v>
      </c>
      <c r="DI86" s="22">
        <f t="shared" si="69"/>
        <v>5.4354756295010604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4.2</v>
      </c>
      <c r="DO86" s="12">
        <f>IF('Données projet'!$A$166&gt;35,DO85+DN86-DW85,IF(A86&lt;'Données projet'!$A$166,$DL$205^A86,IF(A86='Données projet'!$A$166,'Données projet'!$B$166,DO85+DN86-DW85)))</f>
        <v>271.60000000000019</v>
      </c>
      <c r="DP86" s="17">
        <f>DO86*VLOOKUP('Données projet'!$B$14,Paramètres!$A$1:$I$89,3,0)*VLOOKUP('Données projet'!$B$14,Paramètres!$A$1:$I$89,5,0)</f>
        <v>177.95232000000013</v>
      </c>
      <c r="DQ86" s="13">
        <f t="shared" si="97"/>
        <v>44.866312182234608</v>
      </c>
      <c r="DR86" s="20">
        <f t="shared" si="70"/>
        <v>388.07578438405881</v>
      </c>
      <c r="DS86" s="59">
        <f t="shared" si="71"/>
        <v>681.40911771739206</v>
      </c>
      <c r="DT86" s="59">
        <f ca="1">AVERAGE(OFFSET($DS$3,0,0,'Données projet'!$E$14+1,1))-AVERAGE(OFFSET($H$3,0,0,'Données projet'!$E$14+1,1))</f>
        <v>295.92103934364718</v>
      </c>
      <c r="DU86" s="59">
        <f t="shared" si="98"/>
        <v>304.84379909635476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1.5614344515135277</v>
      </c>
      <c r="EB86" s="21">
        <f>EXP(-LN(2)/25)*EB85+(1-EXP(-LN(2)/25))/(LN(2)/25)*Calculateur!DW86*Calculateur!DY86*VLOOKUP('Données projet'!$B$14,Paramètres!$A$1:$I$89,3,0)*0.475*44/12</f>
        <v>1.6453302968837038</v>
      </c>
      <c r="EC86" s="21">
        <f>EXP(-LN(2)/2)*EC85+(1-EXP(-LN(2)/2))/(LN(2)/2)*DW86*DZ86*VLOOKUP('Données projet'!$B$14,Paramètres!$A$1:$I$89,3,0)*0.475*44/12</f>
        <v>6.0635770079259163E-8</v>
      </c>
      <c r="ED86" s="22">
        <f t="shared" si="72"/>
        <v>3.2067648090330017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17.5</v>
      </c>
      <c r="N87" s="13">
        <f>IF('Données projet'!$A$36&gt;35,N86+M87-V86,IF(A87&lt;'Données projet'!$A$36,$K$205^A87,IF(A87='Données projet'!$A$36,'Données projet'!$B$36,N86+M87-V86)))</f>
        <v>483.49999999999989</v>
      </c>
      <c r="O87" s="13">
        <f>N87*VLOOKUP('Données projet'!$B$9,Paramètres!$A$1:$I$89,3,0)*VLOOKUP('Données projet'!$B$9,Paramètres!$A$1:$I$89,5,0)</f>
        <v>226.27799999999993</v>
      </c>
      <c r="P87" s="13">
        <f t="shared" si="87"/>
        <v>55.477135539319008</v>
      </c>
      <c r="Q87" s="20">
        <f t="shared" si="54"/>
        <v>490.72352773098049</v>
      </c>
      <c r="R87" s="59">
        <f t="shared" si="55"/>
        <v>784.05686106431381</v>
      </c>
      <c r="S87" s="59">
        <f ca="1">AVERAGE(OFFSET($R$3,0,0,'Données projet'!$E$9+1,1))-AVERAGE(OFFSET($H$3,0,0,'Données projet'!$E$9+1,1))</f>
        <v>319.22903094674564</v>
      </c>
      <c r="T87" s="59">
        <f t="shared" si="88"/>
        <v>254.58690973142848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3.1149867643337052</v>
      </c>
      <c r="AA87" s="21">
        <f>EXP(-LN(2)/25)*AA86+(1-EXP(-LN(2)/25))/(LN(2)/25)*Calculateur!V87*Calculateur!X87*VLOOKUP('Données projet'!$B$9,Paramètres!$A$1:$I$89,3,0)*0.475*44/12</f>
        <v>2.4951777919708613</v>
      </c>
      <c r="AB87" s="21">
        <f>EXP(-LN(2)/2)*AB86+(1-EXP(-LN(2)/2))/(LN(2)/2)*V87*Y87*VLOOKUP('Données projet'!$B$9,Paramètres!$A$1:$I$89,3,0)*0.475*44/12</f>
        <v>8.227772000132797E-8</v>
      </c>
      <c r="AC87" s="22">
        <f t="shared" si="57"/>
        <v>5.6101646385822859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-3.4106051316484809E-13</v>
      </c>
      <c r="AJ87" s="13">
        <f>AI87*VLOOKUP('Données projet'!$B$10,Paramètres!$A$1:$I$89,3,0)*VLOOKUP('Données projet'!$B$10,Paramètres!$A$1:$I$89,5,0)</f>
        <v>-1.9065282685915009E-13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544.48194192356823</v>
      </c>
      <c r="AO87" s="59">
        <f t="shared" si="90"/>
        <v>668.20427590250733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2.5195853813014173</v>
      </c>
      <c r="AV87" s="21">
        <f>EXP(-LN(2)/25)*AV86+(1-EXP(-LN(2)/25))/(LN(2)/25)*Calculateur!AQ87*Calculateur!AS87*VLOOKUP('Données projet'!$B$10,Paramètres!$A$1:$I$89,3,0)*0.475*44/12</f>
        <v>9.5347521090411895</v>
      </c>
      <c r="AW87" s="21">
        <f>EXP(-LN(2)/2)*AW86+(1-EXP(-LN(2)/2))/(LN(2)/2)*AQ87*AT87*VLOOKUP('Données projet'!$B$10,Paramètres!$A$1:$I$89,3,0)*0.475*44/12</f>
        <v>1.0742215636922152E-7</v>
      </c>
      <c r="AX87" s="21">
        <f t="shared" si="60"/>
        <v>12.054337597764764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6.8</v>
      </c>
      <c r="BD87" s="12">
        <f>IF('Données projet'!$A$88&gt;35,BD86+BC87-BL86,IF(A87&lt;'Données projet'!$A$88,$BA$205^A87,IF(A87='Données projet'!$A$88,'Données projet'!$B$88,BD86+BC87-BL86)))</f>
        <v>319.20000000000005</v>
      </c>
      <c r="BE87" s="13">
        <f>BD87*VLOOKUP('Données projet'!$B$11,Paramètres!$A$1:$I$89,3,0)*VLOOKUP('Données projet'!$B$11,Paramètres!$A$1:$I$89,5,0)</f>
        <v>288.81216000000006</v>
      </c>
      <c r="BF87" s="13">
        <f t="shared" si="91"/>
        <v>68.825899854238159</v>
      </c>
      <c r="BG87" s="20">
        <f t="shared" si="61"/>
        <v>622.88628757946492</v>
      </c>
      <c r="BH87" s="59">
        <f t="shared" si="62"/>
        <v>916.21962091279829</v>
      </c>
      <c r="BI87" s="59">
        <f ca="1">AVERAGE(OFFSET($BH$3,0,0,'Données projet'!$E$11+1,1))-AVERAGE(OFFSET($H$3,0,0,'Données projet'!$E$11+1,1))</f>
        <v>405.7176439604217</v>
      </c>
      <c r="BJ87" s="59">
        <f t="shared" si="92"/>
        <v>278.21741231699929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2.5082953737304852</v>
      </c>
      <c r="BQ87" s="21">
        <f>EXP(-LN(2)/25)*BQ86+(1-EXP(-LN(2)/25))/(LN(2)/25)*Calculateur!BL87*Calculateur!BN87*VLOOKUP('Données projet'!$B$11,Paramètres!$A$1:$I$89,3,0)*0.475*44/12</f>
        <v>2.0954251168742744</v>
      </c>
      <c r="BR87" s="21">
        <f>EXP(-LN(2)/2)*BR86+(1-EXP(-LN(2)/2))/(LN(2)/2)*BL87*BO87*VLOOKUP('Données projet'!$B$11,Paramètres!$A$1:$I$89,3,0)*0.475*44/12</f>
        <v>6.3589458088112663E-8</v>
      </c>
      <c r="BS87" s="22">
        <f t="shared" si="63"/>
        <v>4.6037205541942177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4</v>
      </c>
      <c r="BY87" s="12">
        <f>IF('Données projet'!$A$114&gt;35,BY86+BX87-CG86,IF(A87&lt;'Données projet'!$A$114,$BV$205^A87,IF(A87='Données projet'!$A$114,'Données projet'!$B$114,BY86+BX87-CG86)))</f>
        <v>263.00000000000006</v>
      </c>
      <c r="BZ87" s="13">
        <f>BY87*VLOOKUP('Données projet'!$B$12,Paramètres!$A$1:$I$89,3,0)*VLOOKUP('Données projet'!$B$12,Paramètres!$A$1:$I$89,5,0)</f>
        <v>229.75680000000011</v>
      </c>
      <c r="CA87" s="13">
        <f t="shared" si="93"/>
        <v>56.230092767727569</v>
      </c>
      <c r="CB87" s="20">
        <f t="shared" si="64"/>
        <v>498.09383823712568</v>
      </c>
      <c r="CC87" s="59">
        <f t="shared" si="65"/>
        <v>791.427171570459</v>
      </c>
      <c r="CD87" s="59">
        <f ca="1">AVERAGE(OFFSET($CC$3,0,0,'Données projet'!$E$12+1,1))-AVERAGE(OFFSET($H$3,0,0,'Données projet'!$E$12+1,1))</f>
        <v>381.72225529388083</v>
      </c>
      <c r="CE87" s="59">
        <f t="shared" si="94"/>
        <v>360.05900046417361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1.6513619381421221</v>
      </c>
      <c r="CL87" s="21">
        <f>EXP(-LN(2)/25)*CL86+(1-EXP(-LN(2)/25))/(LN(2)/25)*Calculateur!CG87*Calculateur!CI87*VLOOKUP('Données projet'!$B$12,Paramètres!$A$1:$I$89,3,0)*0.475*44/12</f>
        <v>2.5240065132040015</v>
      </c>
      <c r="CM87" s="21">
        <f>EXP(-LN(2)/2)*CM86+(1-EXP(-LN(2)/2))/(LN(2)/2)*CG87*CJ87*VLOOKUP('Données projet'!$B$12,Paramètres!$A$1:$I$89,3,0)*0.475*44/12</f>
        <v>5.2135481040924742E-8</v>
      </c>
      <c r="CN87" s="22">
        <f t="shared" si="66"/>
        <v>4.1753685034816046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-1.7053025658242404E-13</v>
      </c>
      <c r="CU87" s="17">
        <f>CT87*VLOOKUP('Données projet'!$B$13,Paramètres!$A$1:$I$89,3,0)*VLOOKUP('Données projet'!$B$13,Paramètres!$A$1:$I$89,5,0)</f>
        <v>-1.3567387213697657E-13</v>
      </c>
      <c r="CV87" s="13" t="e">
        <f t="shared" si="95"/>
        <v>#NUM!</v>
      </c>
      <c r="CW87" s="20" t="e">
        <f t="shared" si="67"/>
        <v>#NUM!</v>
      </c>
      <c r="CX87" s="59" t="e">
        <f t="shared" si="68"/>
        <v>#NUM!</v>
      </c>
      <c r="CY87" s="59">
        <f ca="1">AVERAGE(OFFSET($CX$3,0,0,'Données projet'!$E$13+1,1))-AVERAGE(OFFSET($H$3,0,0,'Données projet'!$E$13+1,1))</f>
        <v>299.10536994156814</v>
      </c>
      <c r="CZ87" s="59">
        <f t="shared" si="96"/>
        <v>292.57799203101769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2.8902260488899172</v>
      </c>
      <c r="DG87" s="21">
        <f>EXP(-LN(2)/25)*DG86+(1-EXP(-LN(2)/25))/(LN(2)/25)*Calculateur!DB87*Calculateur!DD87*VLOOKUP('Données projet'!$B$13,Paramètres!$A$1:$I$89,3,0)*0.475*44/12</f>
        <v>2.4194211273185964</v>
      </c>
      <c r="DH87" s="21">
        <f>EXP(-LN(2)/2)*DH86+(1-EXP(-LN(2)/2))/(LN(2)/2)*DB87*DE87*VLOOKUP('Données projet'!$B$13,Paramètres!$A$1:$I$89,3,0)*0.475*44/12</f>
        <v>6.68514413448054E-8</v>
      </c>
      <c r="DI87" s="22">
        <f t="shared" si="69"/>
        <v>5.3096472430599553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4.2</v>
      </c>
      <c r="DO87" s="12">
        <f>IF('Données projet'!$A$166&gt;35,DO86+DN87-DW86,IF(A87&lt;'Données projet'!$A$166,$DL$205^A87,IF(A87='Données projet'!$A$166,'Données projet'!$B$166,DO86+DN87-DW86)))</f>
        <v>275.80000000000018</v>
      </c>
      <c r="DP87" s="17">
        <f>DO87*VLOOKUP('Données projet'!$B$14,Paramètres!$A$1:$I$89,3,0)*VLOOKUP('Données projet'!$B$14,Paramètres!$A$1:$I$89,5,0)</f>
        <v>180.70416000000012</v>
      </c>
      <c r="DQ87" s="13">
        <f t="shared" si="97"/>
        <v>45.4788131763084</v>
      </c>
      <c r="DR87" s="20">
        <f t="shared" si="70"/>
        <v>393.93534494873728</v>
      </c>
      <c r="DS87" s="59">
        <f t="shared" si="71"/>
        <v>687.2686782820706</v>
      </c>
      <c r="DT87" s="59">
        <f ca="1">AVERAGE(OFFSET($DS$3,0,0,'Données projet'!$E$14+1,1))-AVERAGE(OFFSET($H$3,0,0,'Données projet'!$E$14+1,1))</f>
        <v>295.92103934364718</v>
      </c>
      <c r="DU87" s="59">
        <f t="shared" si="98"/>
        <v>304.84379909635476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1.5308156743003229</v>
      </c>
      <c r="EB87" s="21">
        <f>EXP(-LN(2)/25)*EB86+(1-EXP(-LN(2)/25))/(LN(2)/25)*Calculateur!DW87*Calculateur!DY87*VLOOKUP('Données projet'!$B$14,Paramètres!$A$1:$I$89,3,0)*0.475*44/12</f>
        <v>1.6003386533912591</v>
      </c>
      <c r="EC87" s="21">
        <f>EXP(-LN(2)/2)*EC86+(1-EXP(-LN(2)/2))/(LN(2)/2)*DW87*DZ87*VLOOKUP('Données projet'!$B$14,Paramètres!$A$1:$I$89,3,0)*0.475*44/12</f>
        <v>4.2875964205512515E-8</v>
      </c>
      <c r="ED87" s="22">
        <f t="shared" si="72"/>
        <v>3.131154370567546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17.5</v>
      </c>
      <c r="N88" s="13">
        <f>IF('Données projet'!$A$36&gt;35,N87+M88-V87,IF(A88&lt;'Données projet'!$A$36,$K$205^A88,IF(A88='Données projet'!$A$36,'Données projet'!$B$36,N87+M88-V87)))</f>
        <v>500.99999999999989</v>
      </c>
      <c r="O88" s="13">
        <f>N88*VLOOKUP('Données projet'!$B$9,Paramètres!$A$1:$I$89,3,0)*VLOOKUP('Données projet'!$B$9,Paramètres!$A$1:$I$89,5,0)</f>
        <v>234.46799999999996</v>
      </c>
      <c r="P88" s="13">
        <f t="shared" si="87"/>
        <v>57.247683153605394</v>
      </c>
      <c r="Q88" s="20">
        <f t="shared" si="54"/>
        <v>508.0714814925293</v>
      </c>
      <c r="R88" s="59">
        <f t="shared" si="55"/>
        <v>801.40481482586256</v>
      </c>
      <c r="S88" s="59">
        <f ca="1">AVERAGE(OFFSET($R$3,0,0,'Données projet'!$E$9+1,1))-AVERAGE(OFFSET($H$3,0,0,'Données projet'!$E$9+1,1))</f>
        <v>319.22903094674564</v>
      </c>
      <c r="T88" s="59">
        <f t="shared" si="88"/>
        <v>254.58690973142848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3.0539037738394428</v>
      </c>
      <c r="AA88" s="21">
        <f>EXP(-LN(2)/25)*AA87+(1-EXP(-LN(2)/25))/(LN(2)/25)*Calculateur!V88*Calculateur!X88*VLOOKUP('Données projet'!$B$9,Paramètres!$A$1:$I$89,3,0)*0.475*44/12</f>
        <v>2.426947024033721</v>
      </c>
      <c r="AB88" s="21">
        <f>EXP(-LN(2)/2)*AB87+(1-EXP(-LN(2)/2))/(LN(2)/2)*V88*Y88*VLOOKUP('Données projet'!$B$9,Paramètres!$A$1:$I$89,3,0)*0.475*44/12</f>
        <v>5.8179133753507044E-8</v>
      </c>
      <c r="AC88" s="22">
        <f t="shared" si="57"/>
        <v>5.4808508560522968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-3.4106051316484809E-13</v>
      </c>
      <c r="AJ88" s="13">
        <f>AI88*VLOOKUP('Données projet'!$B$10,Paramètres!$A$1:$I$89,3,0)*VLOOKUP('Données projet'!$B$10,Paramètres!$A$1:$I$89,5,0)</f>
        <v>-1.9065282685915009E-13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544.48194192356823</v>
      </c>
      <c r="AO88" s="59">
        <f t="shared" si="90"/>
        <v>668.20427590250733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2.470177848769433</v>
      </c>
      <c r="AV88" s="21">
        <f>EXP(-LN(2)/25)*AV87+(1-EXP(-LN(2)/25))/(LN(2)/25)*Calculateur!AQ88*Calculateur!AS88*VLOOKUP('Données projet'!$B$10,Paramètres!$A$1:$I$89,3,0)*0.475*44/12</f>
        <v>9.2740238112086359</v>
      </c>
      <c r="AW88" s="21">
        <f>EXP(-LN(2)/2)*AW87+(1-EXP(-LN(2)/2))/(LN(2)/2)*AQ88*AT88*VLOOKUP('Données projet'!$B$10,Paramètres!$A$1:$I$89,3,0)*0.475*44/12</f>
        <v>7.5958935218358213E-8</v>
      </c>
      <c r="AX88" s="21">
        <f t="shared" si="60"/>
        <v>11.744201735937004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>
        <f>VLOOKUP(A88,'Données projet'!$A$87:$I$107,2,0)</f>
        <v>326</v>
      </c>
      <c r="BB88" s="12">
        <f>VLOOKUP(A88,'Données projet'!$A$87:$I$107,9,0)</f>
        <v>6.8</v>
      </c>
      <c r="BC88" s="12">
        <f t="array" ref="BC88">INDEX(BB:BB,MIN(IF(ISNUMBER(BB88:BB284),ROW(BB88:BB284),"")))</f>
        <v>6.8</v>
      </c>
      <c r="BD88" s="12">
        <f>IF('Données projet'!$A$88&gt;35,BD87+BC88-BL87,IF(A88&lt;'Données projet'!$A$88,$BA$205^A88,IF(A88='Données projet'!$A$88,'Données projet'!$B$88,BD87+BC88-BL87)))</f>
        <v>326.00000000000006</v>
      </c>
      <c r="BE88" s="13">
        <f>BD88*VLOOKUP('Données projet'!$B$11,Paramètres!$A$1:$I$89,3,0)*VLOOKUP('Données projet'!$B$11,Paramètres!$A$1:$I$89,5,0)</f>
        <v>294.96480000000003</v>
      </c>
      <c r="BF88" s="13">
        <f t="shared" si="91"/>
        <v>70.119854541045001</v>
      </c>
      <c r="BG88" s="20">
        <f t="shared" si="61"/>
        <v>635.85577332565333</v>
      </c>
      <c r="BH88" s="59">
        <f t="shared" si="62"/>
        <v>929.1891066589867</v>
      </c>
      <c r="BI88" s="59">
        <f ca="1">AVERAGE(OFFSET($BH$3,0,0,'Données projet'!$E$11+1,1))-AVERAGE(OFFSET($H$3,0,0,'Données projet'!$E$11+1,1))</f>
        <v>405.7176439604217</v>
      </c>
      <c r="BJ88" s="59">
        <f t="shared" si="92"/>
        <v>278.21741231699929</v>
      </c>
      <c r="BK88" s="15">
        <f>IF(ISNA(VLOOKUP(A88,'Données projet'!$A$87:$I$107,3,0)),0,VLOOKUP(A88,'Données projet'!$A$87:$I$107,3,0))</f>
        <v>14</v>
      </c>
      <c r="BL88" s="15">
        <f>IF(ISNA(VLOOKUP(A88,'Données projet'!$A$87:$I$107,4,0)),0,VLOOKUP(A88,'Données projet'!$A$87:$I$107,4,0))</f>
        <v>28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2.4591092313607423</v>
      </c>
      <c r="BQ88" s="21">
        <f>EXP(-LN(2)/25)*BQ87+(1-EXP(-LN(2)/25))/(LN(2)/25)*Calculateur!BL88*Calculateur!BN88*VLOOKUP('Données projet'!$B$11,Paramètres!$A$1:$I$89,3,0)*0.475*44/12</f>
        <v>2.0381256068597295</v>
      </c>
      <c r="BR88" s="21">
        <f>EXP(-LN(2)/2)*BR87+(1-EXP(-LN(2)/2))/(LN(2)/2)*BL88*BO88*VLOOKUP('Données projet'!$B$11,Paramètres!$A$1:$I$89,3,0)*0.475*44/12</f>
        <v>4.4964537026082216E-8</v>
      </c>
      <c r="BS88" s="22">
        <f t="shared" si="63"/>
        <v>4.4972348831850084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>
        <f>VLOOKUP(A88,'Données projet'!$A$113:$I$133,2,0)</f>
        <v>267</v>
      </c>
      <c r="BW88" s="12">
        <f>VLOOKUP(A88,'Données projet'!$A$113:$I$133,9,0)</f>
        <v>4</v>
      </c>
      <c r="BX88" s="12">
        <f t="array" ref="BX88">INDEX(BW:BW,MIN(IF(ISNUMBER(BW88:BW284),ROW(BW88:BW284),"")))</f>
        <v>4</v>
      </c>
      <c r="BY88" s="12">
        <f>IF('Données projet'!$A$114&gt;35,BY87+BX88-CG87,IF(A88&lt;'Données projet'!$A$114,$BV$205^A88,IF(A88='Données projet'!$A$114,'Données projet'!$B$114,BY87+BX88-CG87)))</f>
        <v>267.00000000000006</v>
      </c>
      <c r="BZ88" s="13">
        <f>BY88*VLOOKUP('Données projet'!$B$12,Paramètres!$A$1:$I$89,3,0)*VLOOKUP('Données projet'!$B$12,Paramètres!$A$1:$I$89,5,0)</f>
        <v>233.25120000000007</v>
      </c>
      <c r="CA88" s="13">
        <f t="shared" si="93"/>
        <v>56.985091661350914</v>
      </c>
      <c r="CB88" s="20">
        <f t="shared" si="64"/>
        <v>505.49487464351961</v>
      </c>
      <c r="CC88" s="59">
        <f t="shared" si="65"/>
        <v>798.82820797685292</v>
      </c>
      <c r="CD88" s="59">
        <f ca="1">AVERAGE(OFFSET($CC$3,0,0,'Données projet'!$E$12+1,1))-AVERAGE(OFFSET($H$3,0,0,'Données projet'!$E$12+1,1))</f>
        <v>381.72225529388083</v>
      </c>
      <c r="CE88" s="59">
        <f t="shared" si="94"/>
        <v>360.05900046417361</v>
      </c>
      <c r="CF88" s="15">
        <f>IF(ISNA(VLOOKUP(A88,'Données projet'!$A$113:$I$133,3,0)),0,VLOOKUP(A88,'Données projet'!$A$113:$I$133,3,0))</f>
        <v>15</v>
      </c>
      <c r="CG88" s="15">
        <f>IF(ISNA(VLOOKUP(A88,'Données projet'!$A$113:$I$133,4,0)),0,VLOOKUP(A88,'Données projet'!$A$113:$I$133,4,0))</f>
        <v>16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1.6189797377664814</v>
      </c>
      <c r="CL88" s="21">
        <f>EXP(-LN(2)/25)*CL87+(1-EXP(-LN(2)/25))/(LN(2)/25)*Calculateur!CG88*Calculateur!CI88*VLOOKUP('Données projet'!$B$12,Paramètres!$A$1:$I$89,3,0)*0.475*44/12</f>
        <v>2.454987422368704</v>
      </c>
      <c r="CM88" s="21">
        <f>EXP(-LN(2)/2)*CM87+(1-EXP(-LN(2)/2))/(LN(2)/2)*CG88*CJ88*VLOOKUP('Données projet'!$B$12,Paramètres!$A$1:$I$89,3,0)*0.475*44/12</f>
        <v>3.6865352184460568E-8</v>
      </c>
      <c r="CN88" s="22">
        <f t="shared" si="66"/>
        <v>4.0739671970005382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-1.7053025658242404E-13</v>
      </c>
      <c r="CU88" s="17">
        <f>CT88*VLOOKUP('Données projet'!$B$13,Paramètres!$A$1:$I$89,3,0)*VLOOKUP('Données projet'!$B$13,Paramètres!$A$1:$I$89,5,0)</f>
        <v>-1.3567387213697657E-13</v>
      </c>
      <c r="CV88" s="13" t="e">
        <f t="shared" si="95"/>
        <v>#NUM!</v>
      </c>
      <c r="CW88" s="20" t="e">
        <f t="shared" si="67"/>
        <v>#NUM!</v>
      </c>
      <c r="CX88" s="59" t="e">
        <f t="shared" si="68"/>
        <v>#NUM!</v>
      </c>
      <c r="CY88" s="59">
        <f ca="1">AVERAGE(OFFSET($CX$3,0,0,'Données projet'!$E$13+1,1))-AVERAGE(OFFSET($H$3,0,0,'Données projet'!$E$13+1,1))</f>
        <v>299.10536994156814</v>
      </c>
      <c r="CZ88" s="59">
        <f t="shared" si="96"/>
        <v>292.57799203101769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2.8335504789350074</v>
      </c>
      <c r="DG88" s="21">
        <f>EXP(-LN(2)/25)*DG87+(1-EXP(-LN(2)/25))/(LN(2)/25)*Calculateur!DB88*Calculateur!DD88*VLOOKUP('Données projet'!$B$13,Paramètres!$A$1:$I$89,3,0)*0.475*44/12</f>
        <v>2.3532619293602419</v>
      </c>
      <c r="DH88" s="21">
        <f>EXP(-LN(2)/2)*DH87+(1-EXP(-LN(2)/2))/(LN(2)/2)*DB88*DE88*VLOOKUP('Données projet'!$B$13,Paramètres!$A$1:$I$89,3,0)*0.475*44/12</f>
        <v>4.727110750700663E-8</v>
      </c>
      <c r="DI88" s="22">
        <f t="shared" si="69"/>
        <v>5.1868124555663577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>
        <f>VLOOKUP(A88,'Données projet'!$A$165:$I$185,2,0)</f>
        <v>280</v>
      </c>
      <c r="DM88" s="12">
        <f>VLOOKUP(A88,'Données projet'!$A$165:$I$185,9,0)</f>
        <v>4.2</v>
      </c>
      <c r="DN88" s="12">
        <f t="array" ref="DN88">INDEX(DM:DM,MIN(IF(ISNUMBER(DM88:DM284),ROW(DM88:DM284),"")))</f>
        <v>4.2</v>
      </c>
      <c r="DO88" s="12">
        <f>IF('Données projet'!$A$166&gt;35,DO87+DN88-DW87,IF(A88&lt;'Données projet'!$A$166,$DL$205^A88,IF(A88='Données projet'!$A$166,'Données projet'!$B$166,DO87+DN88-DW87)))</f>
        <v>280.00000000000017</v>
      </c>
      <c r="DP88" s="17">
        <f>DO88*VLOOKUP('Données projet'!$B$14,Paramètres!$A$1:$I$89,3,0)*VLOOKUP('Données projet'!$B$14,Paramètres!$A$1:$I$89,5,0)</f>
        <v>183.4560000000001</v>
      </c>
      <c r="DQ88" s="13">
        <f t="shared" si="97"/>
        <v>46.090229375321144</v>
      </c>
      <c r="DR88" s="20">
        <f t="shared" si="70"/>
        <v>399.79301616201786</v>
      </c>
      <c r="DS88" s="59">
        <f t="shared" si="71"/>
        <v>693.12634949535118</v>
      </c>
      <c r="DT88" s="59">
        <f ca="1">AVERAGE(OFFSET($DS$3,0,0,'Données projet'!$E$14+1,1))-AVERAGE(OFFSET($H$3,0,0,'Données projet'!$E$14+1,1))</f>
        <v>295.92103934364718</v>
      </c>
      <c r="DU88" s="59">
        <f t="shared" si="98"/>
        <v>304.84379909635476</v>
      </c>
      <c r="DV88" s="15">
        <f>IF(ISNA(VLOOKUP(A88,'Données projet'!$A$165:$I$185,3,0)),0,VLOOKUP(A88,'Données projet'!$A$165:$I$185,3,0))</f>
        <v>16</v>
      </c>
      <c r="DW88" s="15">
        <f>IF(ISNA(VLOOKUP(A88,'Données projet'!$A$165:$I$185,4,0)),0,VLOOKUP(A88,'Données projet'!$A$165:$I$185,4,0))</f>
        <v>16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1.5007973126326593</v>
      </c>
      <c r="EB88" s="21">
        <f>EXP(-LN(2)/25)*EB87+(1-EXP(-LN(2)/25))/(LN(2)/25)*Calculateur!DW88*Calculateur!DY88*VLOOKUP('Données projet'!$B$14,Paramètres!$A$1:$I$89,3,0)*0.475*44/12</f>
        <v>1.556577308756123</v>
      </c>
      <c r="EC88" s="21">
        <f>EXP(-LN(2)/2)*EC87+(1-EXP(-LN(2)/2))/(LN(2)/2)*DW88*DZ88*VLOOKUP('Données projet'!$B$14,Paramètres!$A$1:$I$89,3,0)*0.475*44/12</f>
        <v>3.0317885039629582E-8</v>
      </c>
      <c r="ED88" s="22">
        <f t="shared" si="72"/>
        <v>3.0573746517066676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17.5</v>
      </c>
      <c r="N89" s="13">
        <f>IF('Données projet'!$A$36&gt;35,N88+M89-V88,IF(A89&lt;'Données projet'!$A$36,$K$205^A89,IF(A89='Données projet'!$A$36,'Données projet'!$B$36,N88+M89-V88)))</f>
        <v>518.49999999999989</v>
      </c>
      <c r="O89" s="13">
        <f>N89*VLOOKUP('Données projet'!$B$9,Paramètres!$A$1:$I$89,3,0)*VLOOKUP('Données projet'!$B$9,Paramètres!$A$1:$I$89,5,0)</f>
        <v>242.65799999999993</v>
      </c>
      <c r="P89" s="13">
        <f t="shared" si="87"/>
        <v>59.011045025839607</v>
      </c>
      <c r="Q89" s="20">
        <f t="shared" si="54"/>
        <v>525.40692008667054</v>
      </c>
      <c r="R89" s="59">
        <f t="shared" si="55"/>
        <v>818.74025342000391</v>
      </c>
      <c r="S89" s="59">
        <f ca="1">AVERAGE(OFFSET($R$3,0,0,'Données projet'!$E$9+1,1))-AVERAGE(OFFSET($H$3,0,0,'Données projet'!$E$9+1,1))</f>
        <v>319.22903094674564</v>
      </c>
      <c r="T89" s="59">
        <f t="shared" si="88"/>
        <v>254.58690973142848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2.9940185835318274</v>
      </c>
      <c r="AA89" s="21">
        <f>EXP(-LN(2)/25)*AA88+(1-EXP(-LN(2)/25))/(LN(2)/25)*Calculateur!V89*Calculateur!X89*VLOOKUP('Données projet'!$B$9,Paramètres!$A$1:$I$89,3,0)*0.475*44/12</f>
        <v>2.3605820300339215</v>
      </c>
      <c r="AB89" s="21">
        <f>EXP(-LN(2)/2)*AB88+(1-EXP(-LN(2)/2))/(LN(2)/2)*V89*Y89*VLOOKUP('Données projet'!$B$9,Paramètres!$A$1:$I$89,3,0)*0.475*44/12</f>
        <v>4.1138860000663991E-8</v>
      </c>
      <c r="AC89" s="22">
        <f t="shared" si="57"/>
        <v>5.3546006547046092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-3.4106051316484809E-13</v>
      </c>
      <c r="AJ89" s="13">
        <f>AI89*VLOOKUP('Données projet'!$B$10,Paramètres!$A$1:$I$89,3,0)*VLOOKUP('Données projet'!$B$10,Paramètres!$A$1:$I$89,5,0)</f>
        <v>-1.9065282685915009E-13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544.48194192356823</v>
      </c>
      <c r="AO89" s="59">
        <f t="shared" si="90"/>
        <v>668.20427590250733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2.4217391678147817</v>
      </c>
      <c r="AV89" s="21">
        <f>EXP(-LN(2)/25)*AV88+(1-EXP(-LN(2)/25))/(LN(2)/25)*Calculateur!AQ89*Calculateur!AS89*VLOOKUP('Données projet'!$B$10,Paramètres!$A$1:$I$89,3,0)*0.475*44/12</f>
        <v>9.020425142391419</v>
      </c>
      <c r="AW89" s="21">
        <f>EXP(-LN(2)/2)*AW88+(1-EXP(-LN(2)/2))/(LN(2)/2)*AQ89*AT89*VLOOKUP('Données projet'!$B$10,Paramètres!$A$1:$I$89,3,0)*0.475*44/12</f>
        <v>5.371107818461076E-8</v>
      </c>
      <c r="AX89" s="21">
        <f t="shared" si="60"/>
        <v>11.442164363917279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6.4</v>
      </c>
      <c r="BD89" s="12">
        <f>IF('Données projet'!$A$88&gt;35,BD88+BC89-BL88,IF(A89&lt;'Données projet'!$A$88,$BA$205^A89,IF(A89='Données projet'!$A$88,'Données projet'!$B$88,BD88+BC89-BL88)))</f>
        <v>304.40000000000003</v>
      </c>
      <c r="BE89" s="13">
        <f>BD89*VLOOKUP('Données projet'!$B$11,Paramètres!$A$1:$I$89,3,0)*VLOOKUP('Données projet'!$B$11,Paramètres!$A$1:$I$89,5,0)</f>
        <v>275.42112000000003</v>
      </c>
      <c r="BF89" s="13">
        <f t="shared" si="91"/>
        <v>65.998433293601067</v>
      </c>
      <c r="BG89" s="20">
        <f t="shared" si="61"/>
        <v>594.63905531968851</v>
      </c>
      <c r="BH89" s="59">
        <f t="shared" si="62"/>
        <v>887.97238865302188</v>
      </c>
      <c r="BI89" s="59">
        <f ca="1">AVERAGE(OFFSET($BH$3,0,0,'Données projet'!$E$11+1,1))-AVERAGE(OFFSET($H$3,0,0,'Données projet'!$E$11+1,1))</f>
        <v>405.7176439604217</v>
      </c>
      <c r="BJ89" s="59">
        <f t="shared" si="92"/>
        <v>278.21741231699929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2.4108875992422858</v>
      </c>
      <c r="BQ89" s="21">
        <f>EXP(-LN(2)/25)*BQ88+(1-EXP(-LN(2)/25))/(LN(2)/25)*Calculateur!BL89*Calculateur!BN89*VLOOKUP('Données projet'!$B$11,Paramètres!$A$1:$I$89,3,0)*0.475*44/12</f>
        <v>1.9823929549597827</v>
      </c>
      <c r="BR89" s="21">
        <f>EXP(-LN(2)/2)*BR88+(1-EXP(-LN(2)/2))/(LN(2)/2)*BL89*BO89*VLOOKUP('Données projet'!$B$11,Paramètres!$A$1:$I$89,3,0)*0.475*44/12</f>
        <v>3.1794729044056332E-8</v>
      </c>
      <c r="BS89" s="22">
        <f t="shared" si="63"/>
        <v>4.3932805859967967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3.4</v>
      </c>
      <c r="BY89" s="12">
        <f>IF('Données projet'!$A$114&gt;35,BY88+BX89-CG88,IF(A89&lt;'Données projet'!$A$114,$BV$205^A89,IF(A89='Données projet'!$A$114,'Données projet'!$B$114,BY88+BX89-CG88)))</f>
        <v>254.40000000000003</v>
      </c>
      <c r="BZ89" s="13">
        <f>BY89*VLOOKUP('Données projet'!$B$12,Paramètres!$A$1:$I$89,3,0)*VLOOKUP('Données projet'!$B$12,Paramètres!$A$1:$I$89,5,0)</f>
        <v>222.24384000000006</v>
      </c>
      <c r="CA89" s="13">
        <f t="shared" si="93"/>
        <v>54.602284860895942</v>
      </c>
      <c r="CB89" s="20">
        <f t="shared" si="64"/>
        <v>482.17366746606058</v>
      </c>
      <c r="CC89" s="59">
        <f t="shared" si="65"/>
        <v>775.50700079939384</v>
      </c>
      <c r="CD89" s="59">
        <f ca="1">AVERAGE(OFFSET($CC$3,0,0,'Données projet'!$E$12+1,1))-AVERAGE(OFFSET($H$3,0,0,'Données projet'!$E$12+1,1))</f>
        <v>381.72225529388083</v>
      </c>
      <c r="CE89" s="59">
        <f t="shared" si="94"/>
        <v>360.05900046417361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1.5872325325890151</v>
      </c>
      <c r="CL89" s="21">
        <f>EXP(-LN(2)/25)*CL88+(1-EXP(-LN(2)/25))/(LN(2)/25)*Calculateur!CG89*Calculateur!CI89*VLOOKUP('Données projet'!$B$12,Paramètres!$A$1:$I$89,3,0)*0.475*44/12</f>
        <v>2.3878556622018543</v>
      </c>
      <c r="CM89" s="21">
        <f>EXP(-LN(2)/2)*CM88+(1-EXP(-LN(2)/2))/(LN(2)/2)*CG89*CJ89*VLOOKUP('Données projet'!$B$12,Paramètres!$A$1:$I$89,3,0)*0.475*44/12</f>
        <v>2.6067740520462371E-8</v>
      </c>
      <c r="CN89" s="22">
        <f t="shared" si="66"/>
        <v>3.9750882208586096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-1.7053025658242404E-13</v>
      </c>
      <c r="CU89" s="17">
        <f>CT89*VLOOKUP('Données projet'!$B$13,Paramètres!$A$1:$I$89,3,0)*VLOOKUP('Données projet'!$B$13,Paramètres!$A$1:$I$89,5,0)</f>
        <v>-1.3567387213697657E-13</v>
      </c>
      <c r="CV89" s="13" t="e">
        <f t="shared" si="95"/>
        <v>#NUM!</v>
      </c>
      <c r="CW89" s="20" t="e">
        <f t="shared" si="67"/>
        <v>#NUM!</v>
      </c>
      <c r="CX89" s="59" t="e">
        <f t="shared" si="68"/>
        <v>#NUM!</v>
      </c>
      <c r="CY89" s="59">
        <f ca="1">AVERAGE(OFFSET($CX$3,0,0,'Données projet'!$E$13+1,1))-AVERAGE(OFFSET($H$3,0,0,'Données projet'!$E$13+1,1))</f>
        <v>299.10536994156814</v>
      </c>
      <c r="CZ89" s="59">
        <f t="shared" si="96"/>
        <v>292.57799203101769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2.7779862823382291</v>
      </c>
      <c r="DG89" s="21">
        <f>EXP(-LN(2)/25)*DG88+(1-EXP(-LN(2)/25))/(LN(2)/25)*Calculateur!DB89*Calculateur!DD89*VLOOKUP('Données projet'!$B$13,Paramètres!$A$1:$I$89,3,0)*0.475*44/12</f>
        <v>2.2889118581492198</v>
      </c>
      <c r="DH89" s="21">
        <f>EXP(-LN(2)/2)*DH88+(1-EXP(-LN(2)/2))/(LN(2)/2)*DB89*DE89*VLOOKUP('Données projet'!$B$13,Paramètres!$A$1:$I$89,3,0)*0.475*44/12</f>
        <v>3.34257206724027E-8</v>
      </c>
      <c r="DI89" s="22">
        <f t="shared" si="69"/>
        <v>5.0668981739131702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3.8</v>
      </c>
      <c r="DO89" s="12">
        <f>IF('Données projet'!$A$166&gt;35,DO88+DN89-DW88,IF(A89&lt;'Données projet'!$A$166,$DL$205^A89,IF(A89='Données projet'!$A$166,'Données projet'!$B$166,DO88+DN89-DW88)))</f>
        <v>267.80000000000018</v>
      </c>
      <c r="DP89" s="17">
        <f>DO89*VLOOKUP('Données projet'!$B$14,Paramètres!$A$1:$I$89,3,0)*VLOOKUP('Données projet'!$B$14,Paramètres!$A$1:$I$89,5,0)</f>
        <v>175.46256000000011</v>
      </c>
      <c r="DQ89" s="13">
        <f t="shared" si="97"/>
        <v>44.311194244027092</v>
      </c>
      <c r="DR89" s="20">
        <f t="shared" si="70"/>
        <v>382.77262197501403</v>
      </c>
      <c r="DS89" s="59">
        <f t="shared" si="71"/>
        <v>676.10595530834735</v>
      </c>
      <c r="DT89" s="59">
        <f ca="1">AVERAGE(OFFSET($DS$3,0,0,'Données projet'!$E$14+1,1))-AVERAGE(OFFSET($H$3,0,0,'Données projet'!$E$14+1,1))</f>
        <v>295.92103934364718</v>
      </c>
      <c r="DU89" s="59">
        <f t="shared" si="98"/>
        <v>304.84379909635476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1.4713675927279057</v>
      </c>
      <c r="EB89" s="21">
        <f>EXP(-LN(2)/25)*EB88+(1-EXP(-LN(2)/25))/(LN(2)/25)*Calculateur!DW89*Calculateur!DY89*VLOOKUP('Données projet'!$B$14,Paramètres!$A$1:$I$89,3,0)*0.475*44/12</f>
        <v>1.5140126203913438</v>
      </c>
      <c r="EC89" s="21">
        <f>EXP(-LN(2)/2)*EC88+(1-EXP(-LN(2)/2))/(LN(2)/2)*DW89*DZ89*VLOOKUP('Données projet'!$B$14,Paramètres!$A$1:$I$89,3,0)*0.475*44/12</f>
        <v>2.1437982102756257E-8</v>
      </c>
      <c r="ED89" s="22">
        <f t="shared" si="72"/>
        <v>2.9853802345572316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17.5</v>
      </c>
      <c r="N90" s="13">
        <f>IF('Données projet'!$A$36&gt;35,N89+M90-V89,IF(A90&lt;'Données projet'!$A$36,$K$205^A90,IF(A90='Données projet'!$A$36,'Données projet'!$B$36,N89+M90-V89)))</f>
        <v>535.99999999999989</v>
      </c>
      <c r="O90" s="13">
        <f>N90*VLOOKUP('Données projet'!$B$9,Paramètres!$A$1:$I$89,3,0)*VLOOKUP('Données projet'!$B$9,Paramètres!$A$1:$I$89,5,0)</f>
        <v>250.84799999999996</v>
      </c>
      <c r="P90" s="13">
        <f t="shared" si="87"/>
        <v>60.767491486783541</v>
      </c>
      <c r="Q90" s="20">
        <f t="shared" si="54"/>
        <v>542.7303143394812</v>
      </c>
      <c r="R90" s="59">
        <f t="shared" si="55"/>
        <v>836.06364767281457</v>
      </c>
      <c r="S90" s="59">
        <f ca="1">AVERAGE(OFFSET($R$3,0,0,'Données projet'!$E$9+1,1))-AVERAGE(OFFSET($H$3,0,0,'Données projet'!$E$9+1,1))</f>
        <v>319.22903094674564</v>
      </c>
      <c r="T90" s="59">
        <f t="shared" si="88"/>
        <v>254.58690973142848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2.9353077052797847</v>
      </c>
      <c r="AA90" s="21">
        <f>EXP(-LN(2)/25)*AA89+(1-EXP(-LN(2)/25))/(LN(2)/25)*Calculateur!V90*Calculateur!X90*VLOOKUP('Données projet'!$B$9,Paramètres!$A$1:$I$89,3,0)*0.475*44/12</f>
        <v>2.29603179028503</v>
      </c>
      <c r="AB90" s="21">
        <f>EXP(-LN(2)/2)*AB89+(1-EXP(-LN(2)/2))/(LN(2)/2)*V90*Y90*VLOOKUP('Données projet'!$B$9,Paramètres!$A$1:$I$89,3,0)*0.475*44/12</f>
        <v>2.9089566876753529E-8</v>
      </c>
      <c r="AC90" s="22">
        <f t="shared" si="57"/>
        <v>5.2313395246543815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-3.4106051316484809E-13</v>
      </c>
      <c r="AJ90" s="13">
        <f>AI90*VLOOKUP('Données projet'!$B$10,Paramètres!$A$1:$I$89,3,0)*VLOOKUP('Données projet'!$B$10,Paramètres!$A$1:$I$89,5,0)</f>
        <v>-1.9065282685915009E-13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544.48194192356823</v>
      </c>
      <c r="AO90" s="59">
        <f t="shared" si="90"/>
        <v>668.20427590250733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2.3742503398489734</v>
      </c>
      <c r="AV90" s="21">
        <f>EXP(-LN(2)/25)*AV89+(1-EXP(-LN(2)/25))/(LN(2)/25)*Calculateur!AQ90*Calculateur!AS90*VLOOKUP('Données projet'!$B$10,Paramètres!$A$1:$I$89,3,0)*0.475*44/12</f>
        <v>8.7737611425091835</v>
      </c>
      <c r="AW90" s="21">
        <f>EXP(-LN(2)/2)*AW89+(1-EXP(-LN(2)/2))/(LN(2)/2)*AQ90*AT90*VLOOKUP('Données projet'!$B$10,Paramètres!$A$1:$I$89,3,0)*0.475*44/12</f>
        <v>3.7979467609179106E-8</v>
      </c>
      <c r="AX90" s="21">
        <f t="shared" si="60"/>
        <v>11.148011520337626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6.4</v>
      </c>
      <c r="BD90" s="12">
        <f>IF('Données projet'!$A$88&gt;35,BD89+BC90-BL89,IF(A90&lt;'Données projet'!$A$88,$BA$205^A90,IF(A90='Données projet'!$A$88,'Données projet'!$B$88,BD89+BC90-BL89)))</f>
        <v>310.8</v>
      </c>
      <c r="BE90" s="13">
        <f>BD90*VLOOKUP('Données projet'!$B$11,Paramètres!$A$1:$I$89,3,0)*VLOOKUP('Données projet'!$B$11,Paramètres!$A$1:$I$89,5,0)</f>
        <v>281.21184</v>
      </c>
      <c r="BF90" s="13">
        <f t="shared" si="91"/>
        <v>67.22304110496664</v>
      </c>
      <c r="BG90" s="20">
        <f t="shared" si="61"/>
        <v>606.85741792448357</v>
      </c>
      <c r="BH90" s="59">
        <f t="shared" si="62"/>
        <v>900.19075125781683</v>
      </c>
      <c r="BI90" s="59">
        <f ca="1">AVERAGE(OFFSET($BH$3,0,0,'Données projet'!$E$11+1,1))-AVERAGE(OFFSET($H$3,0,0,'Données projet'!$E$11+1,1))</f>
        <v>405.7176439604217</v>
      </c>
      <c r="BJ90" s="59">
        <f t="shared" si="92"/>
        <v>278.21741231699929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2.3636115639173805</v>
      </c>
      <c r="BQ90" s="21">
        <f>EXP(-LN(2)/25)*BQ89+(1-EXP(-LN(2)/25))/(LN(2)/25)*Calculateur!BL90*Calculateur!BN90*VLOOKUP('Données projet'!$B$11,Paramètres!$A$1:$I$89,3,0)*0.475*44/12</f>
        <v>1.9281843153568927</v>
      </c>
      <c r="BR90" s="21">
        <f>EXP(-LN(2)/2)*BR89+(1-EXP(-LN(2)/2))/(LN(2)/2)*BL90*BO90*VLOOKUP('Données projet'!$B$11,Paramètres!$A$1:$I$89,3,0)*0.475*44/12</f>
        <v>2.2482268513041108E-8</v>
      </c>
      <c r="BS90" s="22">
        <f t="shared" si="63"/>
        <v>4.2917959017565419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3.4</v>
      </c>
      <c r="BY90" s="12">
        <f>IF('Données projet'!$A$114&gt;35,BY89+BX90-CG89,IF(A90&lt;'Données projet'!$A$114,$BV$205^A90,IF(A90='Données projet'!$A$114,'Données projet'!$B$114,BY89+BX90-CG89)))</f>
        <v>257.8</v>
      </c>
      <c r="BZ90" s="13">
        <f>BY90*VLOOKUP('Données projet'!$B$12,Paramètres!$A$1:$I$89,3,0)*VLOOKUP('Données projet'!$B$12,Paramètres!$A$1:$I$89,5,0)</f>
        <v>225.21408000000005</v>
      </c>
      <c r="CA90" s="13">
        <f t="shared" si="93"/>
        <v>55.246590695846493</v>
      </c>
      <c r="CB90" s="20">
        <f t="shared" si="64"/>
        <v>488.46900146193275</v>
      </c>
      <c r="CC90" s="59">
        <f t="shared" si="65"/>
        <v>781.80233479526601</v>
      </c>
      <c r="CD90" s="59">
        <f ca="1">AVERAGE(OFFSET($CC$3,0,0,'Données projet'!$E$12+1,1))-AVERAGE(OFFSET($H$3,0,0,'Données projet'!$E$12+1,1))</f>
        <v>381.72225529388083</v>
      </c>
      <c r="CE90" s="59">
        <f t="shared" si="94"/>
        <v>360.05900046417361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1.5561078707411959</v>
      </c>
      <c r="CL90" s="21">
        <f>EXP(-LN(2)/25)*CL89+(1-EXP(-LN(2)/25))/(LN(2)/25)*Calculateur!CG90*Calculateur!CI90*VLOOKUP('Données projet'!$B$12,Paramètres!$A$1:$I$89,3,0)*0.475*44/12</f>
        <v>2.3225596235470727</v>
      </c>
      <c r="CM90" s="21">
        <f>EXP(-LN(2)/2)*CM89+(1-EXP(-LN(2)/2))/(LN(2)/2)*CG90*CJ90*VLOOKUP('Données projet'!$B$12,Paramètres!$A$1:$I$89,3,0)*0.475*44/12</f>
        <v>1.8432676092230284E-8</v>
      </c>
      <c r="CN90" s="22">
        <f t="shared" si="66"/>
        <v>3.8786675127209449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-1.7053025658242404E-13</v>
      </c>
      <c r="CU90" s="17">
        <f>CT90*VLOOKUP('Données projet'!$B$13,Paramètres!$A$1:$I$89,3,0)*VLOOKUP('Données projet'!$B$13,Paramètres!$A$1:$I$89,5,0)</f>
        <v>-1.3567387213697657E-13</v>
      </c>
      <c r="CV90" s="13" t="e">
        <f t="shared" si="95"/>
        <v>#NUM!</v>
      </c>
      <c r="CW90" s="20" t="e">
        <f t="shared" si="67"/>
        <v>#NUM!</v>
      </c>
      <c r="CX90" s="59" t="e">
        <f t="shared" si="68"/>
        <v>#NUM!</v>
      </c>
      <c r="CY90" s="59">
        <f ca="1">AVERAGE(OFFSET($CX$3,0,0,'Données projet'!$E$13+1,1))-AVERAGE(OFFSET($H$3,0,0,'Données projet'!$E$13+1,1))</f>
        <v>299.10536994156814</v>
      </c>
      <c r="CZ90" s="59">
        <f t="shared" si="96"/>
        <v>292.57799203101769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2.7235116657459</v>
      </c>
      <c r="DG90" s="21">
        <f>EXP(-LN(2)/25)*DG89+(1-EXP(-LN(2)/25))/(LN(2)/25)*Calculateur!DB90*Calculateur!DD90*VLOOKUP('Données projet'!$B$13,Paramètres!$A$1:$I$89,3,0)*0.475*44/12</f>
        <v>2.226321443019486</v>
      </c>
      <c r="DH90" s="21">
        <f>EXP(-LN(2)/2)*DH89+(1-EXP(-LN(2)/2))/(LN(2)/2)*DB90*DE90*VLOOKUP('Données projet'!$B$13,Paramètres!$A$1:$I$89,3,0)*0.475*44/12</f>
        <v>2.3635553753503315E-8</v>
      </c>
      <c r="DI90" s="22">
        <f t="shared" si="69"/>
        <v>4.9498331324009399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3.8</v>
      </c>
      <c r="DO90" s="12">
        <f>IF('Données projet'!$A$166&gt;35,DO89+DN90-DW89,IF(A90&lt;'Données projet'!$A$166,$DL$205^A90,IF(A90='Données projet'!$A$166,'Données projet'!$B$166,DO89+DN90-DW89)))</f>
        <v>271.60000000000019</v>
      </c>
      <c r="DP90" s="17">
        <f>DO90*VLOOKUP('Données projet'!$B$14,Paramètres!$A$1:$I$89,3,0)*VLOOKUP('Données projet'!$B$14,Paramètres!$A$1:$I$89,5,0)</f>
        <v>177.95232000000013</v>
      </c>
      <c r="DQ90" s="13">
        <f t="shared" si="97"/>
        <v>44.866312182234608</v>
      </c>
      <c r="DR90" s="20">
        <f t="shared" si="70"/>
        <v>388.07578438405881</v>
      </c>
      <c r="DS90" s="59">
        <f t="shared" si="71"/>
        <v>681.40911771739206</v>
      </c>
      <c r="DT90" s="59">
        <f ca="1">AVERAGE(OFFSET($DS$3,0,0,'Données projet'!$E$14+1,1))-AVERAGE(OFFSET($H$3,0,0,'Données projet'!$E$14+1,1))</f>
        <v>295.92103934364718</v>
      </c>
      <c r="DU90" s="59">
        <f t="shared" si="98"/>
        <v>304.84379909635476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1.4425149716801278</v>
      </c>
      <c r="EB90" s="21">
        <f>EXP(-LN(2)/25)*EB89+(1-EXP(-LN(2)/25))/(LN(2)/25)*Calculateur!DW90*Calculateur!DY90*VLOOKUP('Données projet'!$B$14,Paramètres!$A$1:$I$89,3,0)*0.475*44/12</f>
        <v>1.4726118656682792</v>
      </c>
      <c r="EC90" s="21">
        <f>EXP(-LN(2)/2)*EC89+(1-EXP(-LN(2)/2))/(LN(2)/2)*DW90*DZ90*VLOOKUP('Données projet'!$B$14,Paramètres!$A$1:$I$89,3,0)*0.475*44/12</f>
        <v>1.5158942519814791E-8</v>
      </c>
      <c r="ED90" s="22">
        <f t="shared" si="72"/>
        <v>2.9151268525073495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17.5</v>
      </c>
      <c r="N91" s="13">
        <f>IF('Données projet'!$A$36&gt;35,N90+M91-V90,IF(A91&lt;'Données projet'!$A$36,$K$205^A91,IF(A91='Données projet'!$A$36,'Données projet'!$B$36,N90+M91-V90)))</f>
        <v>553.49999999999989</v>
      </c>
      <c r="O91" s="13">
        <f>N91*VLOOKUP('Données projet'!$B$9,Paramètres!$A$1:$I$89,3,0)*VLOOKUP('Données projet'!$B$9,Paramètres!$A$1:$I$89,5,0)</f>
        <v>259.03799999999995</v>
      </c>
      <c r="P91" s="13">
        <f t="shared" si="87"/>
        <v>62.517274213025487</v>
      </c>
      <c r="Q91" s="20">
        <f t="shared" si="54"/>
        <v>560.04210258768592</v>
      </c>
      <c r="R91" s="59">
        <f t="shared" si="55"/>
        <v>853.37543592101929</v>
      </c>
      <c r="S91" s="59">
        <f ca="1">AVERAGE(OFFSET($R$3,0,0,'Données projet'!$E$9+1,1))-AVERAGE(OFFSET($H$3,0,0,'Données projet'!$E$9+1,1))</f>
        <v>319.22903094674564</v>
      </c>
      <c r="T91" s="59">
        <f t="shared" si="88"/>
        <v>254.58690973142848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2.8777481115401651</v>
      </c>
      <c r="AA91" s="21">
        <f>EXP(-LN(2)/25)*AA90+(1-EXP(-LN(2)/25))/(LN(2)/25)*Calculateur!V91*Calculateur!X91*VLOOKUP('Données projet'!$B$9,Paramètres!$A$1:$I$89,3,0)*0.475*44/12</f>
        <v>2.2332466802366215</v>
      </c>
      <c r="AB91" s="21">
        <f>EXP(-LN(2)/2)*AB90+(1-EXP(-LN(2)/2))/(LN(2)/2)*V91*Y91*VLOOKUP('Données projet'!$B$9,Paramètres!$A$1:$I$89,3,0)*0.475*44/12</f>
        <v>2.0569430000331999E-8</v>
      </c>
      <c r="AC91" s="22">
        <f t="shared" si="57"/>
        <v>5.1109948123462159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-3.4106051316484809E-13</v>
      </c>
      <c r="AJ91" s="13">
        <f>AI91*VLOOKUP('Données projet'!$B$10,Paramètres!$A$1:$I$89,3,0)*VLOOKUP('Données projet'!$B$10,Paramètres!$A$1:$I$89,5,0)</f>
        <v>-1.9065282685915009E-13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544.48194192356823</v>
      </c>
      <c r="AO91" s="59">
        <f t="shared" si="90"/>
        <v>668.20427590250733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2.3276927388342492</v>
      </c>
      <c r="AV91" s="21">
        <f>EXP(-LN(2)/25)*AV90+(1-EXP(-LN(2)/25))/(LN(2)/25)*Calculateur!AQ91*Calculateur!AS91*VLOOKUP('Données projet'!$B$10,Paramètres!$A$1:$I$89,3,0)*0.475*44/12</f>
        <v>8.5338421826752242</v>
      </c>
      <c r="AW91" s="21">
        <f>EXP(-LN(2)/2)*AW90+(1-EXP(-LN(2)/2))/(LN(2)/2)*AQ91*AT91*VLOOKUP('Données projet'!$B$10,Paramètres!$A$1:$I$89,3,0)*0.475*44/12</f>
        <v>2.685553909230538E-8</v>
      </c>
      <c r="AX91" s="21">
        <f t="shared" si="60"/>
        <v>10.861534948365012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6.4</v>
      </c>
      <c r="BD91" s="12">
        <f>IF('Données projet'!$A$88&gt;35,BD90+BC91-BL90,IF(A91&lt;'Données projet'!$A$88,$BA$205^A91,IF(A91='Données projet'!$A$88,'Données projet'!$B$88,BD90+BC91-BL90)))</f>
        <v>317.2</v>
      </c>
      <c r="BE91" s="13">
        <f>BD91*VLOOKUP('Données projet'!$B$11,Paramètres!$A$1:$I$89,3,0)*VLOOKUP('Données projet'!$B$11,Paramètres!$A$1:$I$89,5,0)</f>
        <v>287.00255999999996</v>
      </c>
      <c r="BF91" s="13">
        <f t="shared" si="91"/>
        <v>68.444716936118553</v>
      </c>
      <c r="BG91" s="20">
        <f t="shared" si="61"/>
        <v>619.07067399707296</v>
      </c>
      <c r="BH91" s="59">
        <f t="shared" si="62"/>
        <v>912.40400733040633</v>
      </c>
      <c r="BI91" s="59">
        <f ca="1">AVERAGE(OFFSET($BH$3,0,0,'Données projet'!$E$11+1,1))-AVERAGE(OFFSET($H$3,0,0,'Données projet'!$E$11+1,1))</f>
        <v>405.7176439604217</v>
      </c>
      <c r="BJ91" s="59">
        <f t="shared" si="92"/>
        <v>278.21741231699929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2.3172625828096627</v>
      </c>
      <c r="BQ91" s="21">
        <f>EXP(-LN(2)/25)*BQ90+(1-EXP(-LN(2)/25))/(LN(2)/25)*Calculateur!BL91*Calculateur!BN91*VLOOKUP('Données projet'!$B$11,Paramètres!$A$1:$I$89,3,0)*0.475*44/12</f>
        <v>1.8754580138546522</v>
      </c>
      <c r="BR91" s="21">
        <f>EXP(-LN(2)/2)*BR90+(1-EXP(-LN(2)/2))/(LN(2)/2)*BL91*BO91*VLOOKUP('Données projet'!$B$11,Paramètres!$A$1:$I$89,3,0)*0.475*44/12</f>
        <v>1.5897364522028166E-8</v>
      </c>
      <c r="BS91" s="22">
        <f t="shared" si="63"/>
        <v>4.1927206125616792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3.4</v>
      </c>
      <c r="BY91" s="12">
        <f>IF('Données projet'!$A$114&gt;35,BY90+BX91-CG90,IF(A91&lt;'Données projet'!$A$114,$BV$205^A91,IF(A91='Données projet'!$A$114,'Données projet'!$B$114,BY90+BX91-CG90)))</f>
        <v>261.2</v>
      </c>
      <c r="BZ91" s="13">
        <f>BY91*VLOOKUP('Données projet'!$B$12,Paramètres!$A$1:$I$89,3,0)*VLOOKUP('Données projet'!$B$12,Paramètres!$A$1:$I$89,5,0)</f>
        <v>228.18432000000004</v>
      </c>
      <c r="CA91" s="13">
        <f t="shared" si="93"/>
        <v>55.889908157388689</v>
      </c>
      <c r="CB91" s="20">
        <f t="shared" si="64"/>
        <v>494.76261404078542</v>
      </c>
      <c r="CC91" s="59">
        <f t="shared" si="65"/>
        <v>788.09594737411874</v>
      </c>
      <c r="CD91" s="59">
        <f ca="1">AVERAGE(OFFSET($CC$3,0,0,'Données projet'!$E$12+1,1))-AVERAGE(OFFSET($H$3,0,0,'Données projet'!$E$12+1,1))</f>
        <v>381.72225529388083</v>
      </c>
      <c r="CE91" s="59">
        <f t="shared" si="94"/>
        <v>360.05900046417361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1.5255935445280433</v>
      </c>
      <c r="CL91" s="21">
        <f>EXP(-LN(2)/25)*CL90+(1-EXP(-LN(2)/25))/(LN(2)/25)*Calculateur!CG91*Calculateur!CI91*VLOOKUP('Données projet'!$B$12,Paramètres!$A$1:$I$89,3,0)*0.475*44/12</f>
        <v>2.2590491085030755</v>
      </c>
      <c r="CM91" s="21">
        <f>EXP(-LN(2)/2)*CM90+(1-EXP(-LN(2)/2))/(LN(2)/2)*CG91*CJ91*VLOOKUP('Données projet'!$B$12,Paramètres!$A$1:$I$89,3,0)*0.475*44/12</f>
        <v>1.3033870260231186E-8</v>
      </c>
      <c r="CN91" s="22">
        <f t="shared" si="66"/>
        <v>3.7846426660649892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-1.7053025658242404E-13</v>
      </c>
      <c r="CU91" s="17">
        <f>CT91*VLOOKUP('Données projet'!$B$13,Paramètres!$A$1:$I$89,3,0)*VLOOKUP('Données projet'!$B$13,Paramètres!$A$1:$I$89,5,0)</f>
        <v>-1.3567387213697657E-13</v>
      </c>
      <c r="CV91" s="13" t="e">
        <f t="shared" si="95"/>
        <v>#NUM!</v>
      </c>
      <c r="CW91" s="20" t="e">
        <f t="shared" si="67"/>
        <v>#NUM!</v>
      </c>
      <c r="CX91" s="59" t="e">
        <f t="shared" si="68"/>
        <v>#NUM!</v>
      </c>
      <c r="CY91" s="59">
        <f ca="1">AVERAGE(OFFSET($CX$3,0,0,'Données projet'!$E$13+1,1))-AVERAGE(OFFSET($H$3,0,0,'Données projet'!$E$13+1,1))</f>
        <v>299.10536994156814</v>
      </c>
      <c r="CZ91" s="59">
        <f t="shared" si="96"/>
        <v>292.57799203101769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2.6701052631587112</v>
      </c>
      <c r="DG91" s="21">
        <f>EXP(-LN(2)/25)*DG90+(1-EXP(-LN(2)/25))/(LN(2)/25)*Calculateur!DB91*Calculateur!DD91*VLOOKUP('Données projet'!$B$13,Paramètres!$A$1:$I$89,3,0)*0.475*44/12</f>
        <v>2.1654425660829619</v>
      </c>
      <c r="DH91" s="21">
        <f>EXP(-LN(2)/2)*DH90+(1-EXP(-LN(2)/2))/(LN(2)/2)*DB91*DE91*VLOOKUP('Données projet'!$B$13,Paramètres!$A$1:$I$89,3,0)*0.475*44/12</f>
        <v>1.671286033620135E-8</v>
      </c>
      <c r="DI91" s="22">
        <f t="shared" si="69"/>
        <v>4.8355478459545331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3.8</v>
      </c>
      <c r="DO91" s="12">
        <f>IF('Données projet'!$A$166&gt;35,DO90+DN91-DW90,IF(A91&lt;'Données projet'!$A$166,$DL$205^A91,IF(A91='Données projet'!$A$166,'Données projet'!$B$166,DO90+DN91-DW90)))</f>
        <v>275.4000000000002</v>
      </c>
      <c r="DP91" s="17">
        <f>DO91*VLOOKUP('Données projet'!$B$14,Paramètres!$A$1:$I$89,3,0)*VLOOKUP('Données projet'!$B$14,Paramètres!$A$1:$I$89,5,0)</f>
        <v>180.44208000000012</v>
      </c>
      <c r="DQ91" s="13">
        <f t="shared" si="97"/>
        <v>45.420526775820072</v>
      </c>
      <c r="DR91" s="20">
        <f t="shared" si="70"/>
        <v>393.3773734678868</v>
      </c>
      <c r="DS91" s="59">
        <f t="shared" si="71"/>
        <v>686.71070680122011</v>
      </c>
      <c r="DT91" s="59">
        <f ca="1">AVERAGE(OFFSET($DS$3,0,0,'Données projet'!$E$14+1,1))-AVERAGE(OFFSET($H$3,0,0,'Données projet'!$E$14+1,1))</f>
        <v>295.92103934364718</v>
      </c>
      <c r="DU91" s="59">
        <f t="shared" si="98"/>
        <v>304.84379909635476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1.4142281329327355</v>
      </c>
      <c r="EB91" s="21">
        <f>EXP(-LN(2)/25)*EB90+(1-EXP(-LN(2)/25))/(LN(2)/25)*Calculateur!DW91*Calculateur!DY91*VLOOKUP('Données projet'!$B$14,Paramètres!$A$1:$I$89,3,0)*0.475*44/12</f>
        <v>1.4323432167602879</v>
      </c>
      <c r="EC91" s="21">
        <f>EXP(-LN(2)/2)*EC90+(1-EXP(-LN(2)/2))/(LN(2)/2)*DW91*DZ91*VLOOKUP('Données projet'!$B$14,Paramètres!$A$1:$I$89,3,0)*0.475*44/12</f>
        <v>1.0718991051378129E-8</v>
      </c>
      <c r="ED91" s="22">
        <f t="shared" si="72"/>
        <v>2.8465713604120144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17.5</v>
      </c>
      <c r="N92" s="13">
        <f>IF('Données projet'!$A$36&gt;35,N91+M92-V91,IF(A92&lt;'Données projet'!$A$36,$K$205^A92,IF(A92='Données projet'!$A$36,'Données projet'!$B$36,N91+M92-V91)))</f>
        <v>570.99999999999989</v>
      </c>
      <c r="O92" s="13">
        <f>N92*VLOOKUP('Données projet'!$B$9,Paramètres!$A$1:$I$89,3,0)*VLOOKUP('Données projet'!$B$9,Paramètres!$A$1:$I$89,5,0)</f>
        <v>267.22799999999995</v>
      </c>
      <c r="P92" s="13">
        <f t="shared" si="87"/>
        <v>64.260628062866161</v>
      </c>
      <c r="Q92" s="20">
        <f t="shared" si="54"/>
        <v>577.34269387615848</v>
      </c>
      <c r="R92" s="59">
        <f t="shared" si="55"/>
        <v>870.67602720949185</v>
      </c>
      <c r="S92" s="59">
        <f ca="1">AVERAGE(OFFSET($R$3,0,0,'Données projet'!$E$9+1,1))-AVERAGE(OFFSET($H$3,0,0,'Données projet'!$E$9+1,1))</f>
        <v>319.22903094674564</v>
      </c>
      <c r="T92" s="59">
        <f t="shared" si="88"/>
        <v>254.58690973142848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2.8213172263258937</v>
      </c>
      <c r="AA92" s="21">
        <f>EXP(-LN(2)/25)*AA91+(1-EXP(-LN(2)/25))/(LN(2)/25)*Calculateur!V92*Calculateur!X92*VLOOKUP('Données projet'!$B$9,Paramètres!$A$1:$I$89,3,0)*0.475*44/12</f>
        <v>2.1721784323242121</v>
      </c>
      <c r="AB92" s="21">
        <f>EXP(-LN(2)/2)*AB91+(1-EXP(-LN(2)/2))/(LN(2)/2)*V92*Y92*VLOOKUP('Données projet'!$B$9,Paramètres!$A$1:$I$89,3,0)*0.475*44/12</f>
        <v>1.4544783438376766E-8</v>
      </c>
      <c r="AC92" s="22">
        <f t="shared" si="57"/>
        <v>4.9934956731948894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-3.4106051316484809E-13</v>
      </c>
      <c r="AJ92" s="13">
        <f>AI92*VLOOKUP('Données projet'!$B$10,Paramètres!$A$1:$I$89,3,0)*VLOOKUP('Données projet'!$B$10,Paramètres!$A$1:$I$89,5,0)</f>
        <v>-1.9065282685915009E-13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544.48194192356823</v>
      </c>
      <c r="AO92" s="59">
        <f t="shared" si="90"/>
        <v>668.20427590250733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2.2820481039780915</v>
      </c>
      <c r="AV92" s="21">
        <f>EXP(-LN(2)/25)*AV91+(1-EXP(-LN(2)/25))/(LN(2)/25)*Calculateur!AQ92*Calculateur!AS92*VLOOKUP('Données projet'!$B$10,Paramètres!$A$1:$I$89,3,0)*0.475*44/12</f>
        <v>8.3004838194147137</v>
      </c>
      <c r="AW92" s="21">
        <f>EXP(-LN(2)/2)*AW91+(1-EXP(-LN(2)/2))/(LN(2)/2)*AQ92*AT92*VLOOKUP('Données projet'!$B$10,Paramètres!$A$1:$I$89,3,0)*0.475*44/12</f>
        <v>1.8989733804589553E-8</v>
      </c>
      <c r="AX92" s="21">
        <f t="shared" si="60"/>
        <v>10.582531942382539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6.4</v>
      </c>
      <c r="BD92" s="12">
        <f>IF('Données projet'!$A$88&gt;35,BD91+BC92-BL91,IF(A92&lt;'Données projet'!$A$88,$BA$205^A92,IF(A92='Données projet'!$A$88,'Données projet'!$B$88,BD91+BC92-BL91)))</f>
        <v>323.59999999999997</v>
      </c>
      <c r="BE92" s="13">
        <f>BD92*VLOOKUP('Données projet'!$B$11,Paramètres!$A$1:$I$89,3,0)*VLOOKUP('Données projet'!$B$11,Paramètres!$A$1:$I$89,5,0)</f>
        <v>292.79327999999992</v>
      </c>
      <c r="BF92" s="13">
        <f t="shared" si="91"/>
        <v>69.663526761731433</v>
      </c>
      <c r="BG92" s="20">
        <f t="shared" si="61"/>
        <v>631.27893844334869</v>
      </c>
      <c r="BH92" s="59">
        <f t="shared" si="62"/>
        <v>924.61227177668206</v>
      </c>
      <c r="BI92" s="59">
        <f ca="1">AVERAGE(OFFSET($BH$3,0,0,'Données projet'!$E$11+1,1))-AVERAGE(OFFSET($H$3,0,0,'Données projet'!$E$11+1,1))</f>
        <v>405.7176439604217</v>
      </c>
      <c r="BJ92" s="59">
        <f t="shared" si="92"/>
        <v>278.21741231699929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2.27182247695138</v>
      </c>
      <c r="BQ92" s="21">
        <f>EXP(-LN(2)/25)*BQ91+(1-EXP(-LN(2)/25))/(LN(2)/25)*Calculateur!BL92*Calculateur!BN92*VLOOKUP('Données projet'!$B$11,Paramètres!$A$1:$I$89,3,0)*0.475*44/12</f>
        <v>1.8241735158397461</v>
      </c>
      <c r="BR92" s="21">
        <f>EXP(-LN(2)/2)*BR91+(1-EXP(-LN(2)/2))/(LN(2)/2)*BL92*BO92*VLOOKUP('Données projet'!$B$11,Paramètres!$A$1:$I$89,3,0)*0.475*44/12</f>
        <v>1.1241134256520554E-8</v>
      </c>
      <c r="BS92" s="22">
        <f t="shared" si="63"/>
        <v>4.0959960040322603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3.4</v>
      </c>
      <c r="BY92" s="12">
        <f>IF('Données projet'!$A$114&gt;35,BY91+BX92-CG91,IF(A92&lt;'Données projet'!$A$114,$BV$205^A92,IF(A92='Données projet'!$A$114,'Données projet'!$B$114,BY91+BX92-CG91)))</f>
        <v>264.59999999999997</v>
      </c>
      <c r="BZ92" s="13">
        <f>BY92*VLOOKUP('Données projet'!$B$12,Paramètres!$A$1:$I$89,3,0)*VLOOKUP('Données projet'!$B$12,Paramètres!$A$1:$I$89,5,0)</f>
        <v>231.15455999999998</v>
      </c>
      <c r="CA92" s="13">
        <f t="shared" si="93"/>
        <v>56.532251598510484</v>
      </c>
      <c r="CB92" s="20">
        <f t="shared" si="64"/>
        <v>501.05453020073901</v>
      </c>
      <c r="CC92" s="59">
        <f t="shared" si="65"/>
        <v>794.38786353407227</v>
      </c>
      <c r="CD92" s="59">
        <f ca="1">AVERAGE(OFFSET($CC$3,0,0,'Données projet'!$E$12+1,1))-AVERAGE(OFFSET($H$3,0,0,'Données projet'!$E$12+1,1))</f>
        <v>381.72225529388083</v>
      </c>
      <c r="CE92" s="59">
        <f t="shared" si="94"/>
        <v>360.05900046417361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1.4956775856400293</v>
      </c>
      <c r="CL92" s="21">
        <f>EXP(-LN(2)/25)*CL91+(1-EXP(-LN(2)/25))/(LN(2)/25)*Calculateur!CG92*Calculateur!CI92*VLOOKUP('Données projet'!$B$12,Paramètres!$A$1:$I$89,3,0)*0.475*44/12</f>
        <v>2.1972752918328293</v>
      </c>
      <c r="CM92" s="21">
        <f>EXP(-LN(2)/2)*CM91+(1-EXP(-LN(2)/2))/(LN(2)/2)*CG92*CJ92*VLOOKUP('Données projet'!$B$12,Paramètres!$A$1:$I$89,3,0)*0.475*44/12</f>
        <v>9.216338046115142E-9</v>
      </c>
      <c r="CN92" s="22">
        <f t="shared" si="66"/>
        <v>3.6929528866891967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-1.7053025658242404E-13</v>
      </c>
      <c r="CU92" s="17">
        <f>CT92*VLOOKUP('Données projet'!$B$13,Paramètres!$A$1:$I$89,3,0)*VLOOKUP('Données projet'!$B$13,Paramètres!$A$1:$I$89,5,0)</f>
        <v>-1.3567387213697657E-13</v>
      </c>
      <c r="CV92" s="13" t="e">
        <f t="shared" si="95"/>
        <v>#NUM!</v>
      </c>
      <c r="CW92" s="20" t="e">
        <f t="shared" si="67"/>
        <v>#NUM!</v>
      </c>
      <c r="CX92" s="59" t="e">
        <f t="shared" si="68"/>
        <v>#NUM!</v>
      </c>
      <c r="CY92" s="59">
        <f ca="1">AVERAGE(OFFSET($CX$3,0,0,'Données projet'!$E$13+1,1))-AVERAGE(OFFSET($H$3,0,0,'Données projet'!$E$13+1,1))</f>
        <v>299.10536994156814</v>
      </c>
      <c r="CZ92" s="59">
        <f t="shared" si="96"/>
        <v>292.57799203101769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2.6177461275515683</v>
      </c>
      <c r="DG92" s="21">
        <f>EXP(-LN(2)/25)*DG91+(1-EXP(-LN(2)/25))/(LN(2)/25)*Calculateur!DB92*Calculateur!DD92*VLOOKUP('Données projet'!$B$13,Paramètres!$A$1:$I$89,3,0)*0.475*44/12</f>
        <v>2.1062284252377479</v>
      </c>
      <c r="DH92" s="21">
        <f>EXP(-LN(2)/2)*DH91+(1-EXP(-LN(2)/2))/(LN(2)/2)*DB92*DE92*VLOOKUP('Données projet'!$B$13,Paramètres!$A$1:$I$89,3,0)*0.475*44/12</f>
        <v>1.1817776876751657E-8</v>
      </c>
      <c r="DI92" s="22">
        <f t="shared" si="69"/>
        <v>4.7239745646070936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3.8</v>
      </c>
      <c r="DO92" s="12">
        <f>IF('Données projet'!$A$166&gt;35,DO91+DN92-DW91,IF(A92&lt;'Données projet'!$A$166,$DL$205^A92,IF(A92='Données projet'!$A$166,'Données projet'!$B$166,DO91+DN92-DW91)))</f>
        <v>279.20000000000022</v>
      </c>
      <c r="DP92" s="17">
        <f>DO92*VLOOKUP('Données projet'!$B$14,Paramètres!$A$1:$I$89,3,0)*VLOOKUP('Données projet'!$B$14,Paramètres!$A$1:$I$89,5,0)</f>
        <v>182.93184000000014</v>
      </c>
      <c r="DQ92" s="13">
        <f t="shared" si="97"/>
        <v>45.973851929814685</v>
      </c>
      <c r="DR92" s="20">
        <f t="shared" si="70"/>
        <v>398.67741344442743</v>
      </c>
      <c r="DS92" s="59">
        <f t="shared" si="71"/>
        <v>692.01074677776069</v>
      </c>
      <c r="DT92" s="59">
        <f ca="1">AVERAGE(OFFSET($DS$3,0,0,'Données projet'!$E$14+1,1))-AVERAGE(OFFSET($H$3,0,0,'Données projet'!$E$14+1,1))</f>
        <v>295.92103934364718</v>
      </c>
      <c r="DU92" s="59">
        <f t="shared" si="98"/>
        <v>304.84379909635476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1.3864959818399116</v>
      </c>
      <c r="EB92" s="21">
        <f>EXP(-LN(2)/25)*EB91+(1-EXP(-LN(2)/25))/(LN(2)/25)*Calculateur!DW92*Calculateur!DY92*VLOOKUP('Données projet'!$B$14,Paramètres!$A$1:$I$89,3,0)*0.475*44/12</f>
        <v>1.3931757161743217</v>
      </c>
      <c r="EC92" s="21">
        <f>EXP(-LN(2)/2)*EC91+(1-EXP(-LN(2)/2))/(LN(2)/2)*DW92*DZ92*VLOOKUP('Données projet'!$B$14,Paramètres!$A$1:$I$89,3,0)*0.475*44/12</f>
        <v>7.5794712599073954E-9</v>
      </c>
      <c r="ED92" s="22">
        <f t="shared" si="72"/>
        <v>2.7796717055937048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588.5</v>
      </c>
      <c r="L93" s="12">
        <f>VLOOKUP(A93,'Données projet'!$A$35:$I$55,9,0)</f>
        <v>17.5</v>
      </c>
      <c r="M93" s="12">
        <f t="array" ref="M93">INDEX(L:L,MIN(IF(ISNUMBER(L93:L289),ROW(L93:L289),"")))</f>
        <v>17.5</v>
      </c>
      <c r="N93" s="13">
        <f>IF('Données projet'!$A$36&gt;35,N92+M93-V92,IF(A93&lt;'Données projet'!$A$36,$K$205^A93,IF(A93='Données projet'!$A$36,'Données projet'!$B$36,N92+M93-V92)))</f>
        <v>588.49999999999989</v>
      </c>
      <c r="O93" s="13">
        <f>N93*VLOOKUP('Données projet'!$B$9,Paramètres!$A$1:$I$89,3,0)*VLOOKUP('Données projet'!$B$9,Paramètres!$A$1:$I$89,5,0)</f>
        <v>275.41799999999995</v>
      </c>
      <c r="P93" s="13">
        <f t="shared" si="87"/>
        <v>65.997772680817278</v>
      </c>
      <c r="Q93" s="20">
        <f t="shared" si="54"/>
        <v>594.63247075242327</v>
      </c>
      <c r="R93" s="59">
        <f t="shared" si="55"/>
        <v>887.96580408575664</v>
      </c>
      <c r="S93" s="59">
        <f ca="1">AVERAGE(OFFSET($R$3,0,0,'Données projet'!$E$9+1,1))-AVERAGE(OFFSET($H$3,0,0,'Données projet'!$E$9+1,1))</f>
        <v>319.22903094674564</v>
      </c>
      <c r="T93" s="59">
        <f t="shared" si="88"/>
        <v>254.58690973142848</v>
      </c>
      <c r="U93" s="15">
        <f>IF(ISNA(VLOOKUP(A93,'Données projet'!$A$35:$I$55,3,0)),0,VLOOKUP(A93,'Données projet'!$A$35:$I$55,3,0))</f>
        <v>8</v>
      </c>
      <c r="V93" s="15">
        <f>IF(ISNA(VLOOKUP(A93,'Données projet'!$A$35:$I$55,4,0)),0,VLOOKUP(A93,'Données projet'!$A$35:$I$55,4,0))</f>
        <v>98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2.7659929163512329</v>
      </c>
      <c r="AA93" s="21">
        <f>EXP(-LN(2)/25)*AA92+(1-EXP(-LN(2)/25))/(LN(2)/25)*Calculateur!V93*Calculateur!X93*VLOOKUP('Données projet'!$B$9,Paramètres!$A$1:$I$89,3,0)*0.475*44/12</f>
        <v>2.1127800988624075</v>
      </c>
      <c r="AB93" s="21">
        <f>EXP(-LN(2)/2)*AB92+(1-EXP(-LN(2)/2))/(LN(2)/2)*V93*Y93*VLOOKUP('Données projet'!$B$9,Paramètres!$A$1:$I$89,3,0)*0.475*44/12</f>
        <v>1.0284715000166001E-8</v>
      </c>
      <c r="AC93" s="22">
        <f t="shared" si="57"/>
        <v>4.8787730254983561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-3.4106051316484809E-13</v>
      </c>
      <c r="AJ93" s="13">
        <f>AI93*VLOOKUP('Données projet'!$B$10,Paramètres!$A$1:$I$89,3,0)*VLOOKUP('Données projet'!$B$10,Paramètres!$A$1:$I$89,5,0)</f>
        <v>-1.9065282685915009E-13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544.48194192356823</v>
      </c>
      <c r="AO93" s="59">
        <f t="shared" si="90"/>
        <v>668.20427590250733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2.2372985325709847</v>
      </c>
      <c r="AV93" s="21">
        <f>EXP(-LN(2)/25)*AV92+(1-EXP(-LN(2)/25))/(LN(2)/25)*Calculateur!AQ93*Calculateur!AS93*VLOOKUP('Données projet'!$B$10,Paramètres!$A$1:$I$89,3,0)*0.475*44/12</f>
        <v>8.0735066528693444</v>
      </c>
      <c r="AW93" s="21">
        <f>EXP(-LN(2)/2)*AW92+(1-EXP(-LN(2)/2))/(LN(2)/2)*AQ93*AT93*VLOOKUP('Données projet'!$B$10,Paramètres!$A$1:$I$89,3,0)*0.475*44/12</f>
        <v>1.342776954615269E-8</v>
      </c>
      <c r="AX93" s="21">
        <f t="shared" si="60"/>
        <v>10.310805198868099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330</v>
      </c>
      <c r="BB93" s="12">
        <f>VLOOKUP(A93,'Données projet'!$A$87:$I$107,9,0)</f>
        <v>6.4</v>
      </c>
      <c r="BC93" s="12">
        <f t="array" ref="BC93">INDEX(BB:BB,MIN(IF(ISNUMBER(BB93:BB289),ROW(BB93:BB289),"")))</f>
        <v>6.4</v>
      </c>
      <c r="BD93" s="12">
        <f>IF('Données projet'!$A$88&gt;35,BD92+BC93-BL92,IF(A93&lt;'Données projet'!$A$88,$BA$205^A93,IF(A93='Données projet'!$A$88,'Données projet'!$B$88,BD92+BC93-BL92)))</f>
        <v>329.99999999999994</v>
      </c>
      <c r="BE93" s="13">
        <f>BD93*VLOOKUP('Données projet'!$B$11,Paramètres!$A$1:$I$89,3,0)*VLOOKUP('Données projet'!$B$11,Paramètres!$A$1:$I$89,5,0)</f>
        <v>298.58399999999995</v>
      </c>
      <c r="BF93" s="13">
        <f t="shared" si="91"/>
        <v>70.879533797607607</v>
      </c>
      <c r="BG93" s="20">
        <f t="shared" si="61"/>
        <v>643.48232136416652</v>
      </c>
      <c r="BH93" s="59">
        <f t="shared" si="62"/>
        <v>936.81565469749989</v>
      </c>
      <c r="BI93" s="59">
        <f ca="1">AVERAGE(OFFSET($BH$3,0,0,'Données projet'!$E$11+1,1))-AVERAGE(OFFSET($H$3,0,0,'Données projet'!$E$11+1,1))</f>
        <v>405.7176439604217</v>
      </c>
      <c r="BJ93" s="59">
        <f t="shared" si="92"/>
        <v>278.21741231699929</v>
      </c>
      <c r="BK93" s="15">
        <f>IF(ISNA(VLOOKUP(A93,'Données projet'!$A$87:$I$107,3,0)),0,VLOOKUP(A93,'Données projet'!$A$87:$I$107,3,0))</f>
        <v>15</v>
      </c>
      <c r="BL93" s="15">
        <f>IF(ISNA(VLOOKUP(A93,'Données projet'!$A$87:$I$107,4,0)),0,VLOOKUP(A93,'Données projet'!$A$87:$I$107,4,0))</f>
        <v>28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2.2272734238532501</v>
      </c>
      <c r="BQ93" s="21">
        <f>EXP(-LN(2)/25)*BQ92+(1-EXP(-LN(2)/25))/(LN(2)/25)*Calculateur!BL93*Calculateur!BN93*VLOOKUP('Données projet'!$B$11,Paramètres!$A$1:$I$89,3,0)*0.475*44/12</f>
        <v>1.7742913951199921</v>
      </c>
      <c r="BR93" s="21">
        <f>EXP(-LN(2)/2)*BR92+(1-EXP(-LN(2)/2))/(LN(2)/2)*BL93*BO93*VLOOKUP('Données projet'!$B$11,Paramètres!$A$1:$I$89,3,0)*0.475*44/12</f>
        <v>7.9486822610140829E-9</v>
      </c>
      <c r="BS93" s="22">
        <f t="shared" si="63"/>
        <v>4.0015648269219248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>
        <f>VLOOKUP(A93,'Données projet'!$A$113:$I$133,2,0)</f>
        <v>268</v>
      </c>
      <c r="BW93" s="12">
        <f>VLOOKUP(A93,'Données projet'!$A$113:$I$133,9,0)</f>
        <v>3.4</v>
      </c>
      <c r="BX93" s="12">
        <f t="array" ref="BX93">INDEX(BW:BW,MIN(IF(ISNUMBER(BW93:BW289),ROW(BW93:BW289),"")))</f>
        <v>3.4</v>
      </c>
      <c r="BY93" s="12">
        <f>IF('Données projet'!$A$114&gt;35,BY92+BX93-CG92,IF(A93&lt;'Données projet'!$A$114,$BV$205^A93,IF(A93='Données projet'!$A$114,'Données projet'!$B$114,BY92+BX93-CG92)))</f>
        <v>267.99999999999994</v>
      </c>
      <c r="BZ93" s="13">
        <f>BY93*VLOOKUP('Données projet'!$B$12,Paramètres!$A$1:$I$89,3,0)*VLOOKUP('Données projet'!$B$12,Paramètres!$A$1:$I$89,5,0)</f>
        <v>234.12479999999999</v>
      </c>
      <c r="CA93" s="13">
        <f t="shared" si="93"/>
        <v>57.173634982132555</v>
      </c>
      <c r="CB93" s="20">
        <f t="shared" si="64"/>
        <v>507.34477426054747</v>
      </c>
      <c r="CC93" s="59">
        <f t="shared" si="65"/>
        <v>800.67810759388078</v>
      </c>
      <c r="CD93" s="59">
        <f ca="1">AVERAGE(OFFSET($CC$3,0,0,'Données projet'!$E$12+1,1))-AVERAGE(OFFSET($H$3,0,0,'Données projet'!$E$12+1,1))</f>
        <v>381.72225529388083</v>
      </c>
      <c r="CE93" s="59">
        <f t="shared" si="94"/>
        <v>360.05900046417361</v>
      </c>
      <c r="CF93" s="15">
        <f>IF(ISNA(VLOOKUP(A93,'Données projet'!$A$113:$I$133,3,0)),0,VLOOKUP(A93,'Données projet'!$A$113:$I$133,3,0))</f>
        <v>16</v>
      </c>
      <c r="CG93" s="15">
        <f>IF(ISNA(VLOOKUP(A93,'Données projet'!$A$113:$I$133,4,0)),0,VLOOKUP(A93,'Données projet'!$A$113:$I$133,4,0))</f>
        <v>14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1.466348260458876</v>
      </c>
      <c r="CL93" s="21">
        <f>EXP(-LN(2)/25)*CL92+(1-EXP(-LN(2)/25))/(LN(2)/25)*Calculateur!CG93*Calculateur!CI93*VLOOKUP('Données projet'!$B$12,Paramètres!$A$1:$I$89,3,0)*0.475*44/12</f>
        <v>2.137190683427975</v>
      </c>
      <c r="CM93" s="21">
        <f>EXP(-LN(2)/2)*CM92+(1-EXP(-LN(2)/2))/(LN(2)/2)*CG93*CJ93*VLOOKUP('Données projet'!$B$12,Paramètres!$A$1:$I$89,3,0)*0.475*44/12</f>
        <v>6.5169351301155928E-9</v>
      </c>
      <c r="CN93" s="22">
        <f t="shared" si="66"/>
        <v>3.6035389504037858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-1.7053025658242404E-13</v>
      </c>
      <c r="CU93" s="17">
        <f>CT93*VLOOKUP('Données projet'!$B$13,Paramètres!$A$1:$I$89,3,0)*VLOOKUP('Données projet'!$B$13,Paramètres!$A$1:$I$89,5,0)</f>
        <v>-1.3567387213697657E-13</v>
      </c>
      <c r="CV93" s="13" t="e">
        <f t="shared" si="95"/>
        <v>#NUM!</v>
      </c>
      <c r="CW93" s="20" t="e">
        <f t="shared" si="67"/>
        <v>#NUM!</v>
      </c>
      <c r="CX93" s="59" t="e">
        <f t="shared" si="68"/>
        <v>#NUM!</v>
      </c>
      <c r="CY93" s="59">
        <f ca="1">AVERAGE(OFFSET($CX$3,0,0,'Données projet'!$E$13+1,1))-AVERAGE(OFFSET($H$3,0,0,'Données projet'!$E$13+1,1))</f>
        <v>299.10536994156814</v>
      </c>
      <c r="CZ93" s="59">
        <f t="shared" si="96"/>
        <v>292.57799203101769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2.5664137226577619</v>
      </c>
      <c r="DG93" s="21">
        <f>EXP(-LN(2)/25)*DG92+(1-EXP(-LN(2)/25))/(LN(2)/25)*Calculateur!DB93*Calculateur!DD93*VLOOKUP('Données projet'!$B$13,Paramètres!$A$1:$I$89,3,0)*0.475*44/12</f>
        <v>2.0486334981878827</v>
      </c>
      <c r="DH93" s="21">
        <f>EXP(-LN(2)/2)*DH92+(1-EXP(-LN(2)/2))/(LN(2)/2)*DB93*DE93*VLOOKUP('Données projet'!$B$13,Paramètres!$A$1:$I$89,3,0)*0.475*44/12</f>
        <v>8.356430168100675E-9</v>
      </c>
      <c r="DI93" s="22">
        <f t="shared" si="69"/>
        <v>4.6150472292020748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>
        <f>VLOOKUP(A93,'Données projet'!$A$165:$I$185,2,0)</f>
        <v>283</v>
      </c>
      <c r="DM93" s="12">
        <f>VLOOKUP(A93,'Données projet'!$A$165:$I$185,9,0)</f>
        <v>3.8</v>
      </c>
      <c r="DN93" s="12">
        <f t="array" ref="DN93">INDEX(DM:DM,MIN(IF(ISNUMBER(DM93:DM289),ROW(DM93:DM289),"")))</f>
        <v>3.8</v>
      </c>
      <c r="DO93" s="12">
        <f>IF('Données projet'!$A$166&gt;35,DO92+DN93-DW92,IF(A93&lt;'Données projet'!$A$166,$DL$205^A93,IF(A93='Données projet'!$A$166,'Données projet'!$B$166,DO92+DN93-DW92)))</f>
        <v>283.00000000000023</v>
      </c>
      <c r="DP93" s="17">
        <f>DO93*VLOOKUP('Données projet'!$B$14,Paramètres!$A$1:$I$89,3,0)*VLOOKUP('Données projet'!$B$14,Paramètres!$A$1:$I$89,5,0)</f>
        <v>185.42160000000013</v>
      </c>
      <c r="DQ93" s="13">
        <f t="shared" si="97"/>
        <v>46.526301148997497</v>
      </c>
      <c r="DR93" s="20">
        <f t="shared" si="70"/>
        <v>403.97592783450415</v>
      </c>
      <c r="DS93" s="59">
        <f t="shared" si="71"/>
        <v>697.30926116783746</v>
      </c>
      <c r="DT93" s="59">
        <f ca="1">AVERAGE(OFFSET($DS$3,0,0,'Données projet'!$E$14+1,1))-AVERAGE(OFFSET($H$3,0,0,'Données projet'!$E$14+1,1))</f>
        <v>295.92103934364718</v>
      </c>
      <c r="DU93" s="59">
        <f t="shared" si="98"/>
        <v>304.84379909635476</v>
      </c>
      <c r="DV93" s="15">
        <f>IF(ISNA(VLOOKUP(A93,'Données projet'!$A$165:$I$185,3,0)),0,VLOOKUP(A93,'Données projet'!$A$165:$I$185,3,0))</f>
        <v>17</v>
      </c>
      <c r="DW93" s="15">
        <f>IF(ISNA(VLOOKUP(A93,'Données projet'!$A$165:$I$185,4,0)),0,VLOOKUP(A93,'Données projet'!$A$165:$I$185,4,0))</f>
        <v>283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1.359307641315076</v>
      </c>
      <c r="EB93" s="21">
        <f>EXP(-LN(2)/25)*EB92+(1-EXP(-LN(2)/25))/(LN(2)/25)*Calculateur!DW93*Calculateur!DY93*VLOOKUP('Données projet'!$B$14,Paramètres!$A$1:$I$89,3,0)*0.475*44/12</f>
        <v>1.355079252951608</v>
      </c>
      <c r="EC93" s="21">
        <f>EXP(-LN(2)/2)*EC92+(1-EXP(-LN(2)/2))/(LN(2)/2)*DW93*DZ93*VLOOKUP('Données projet'!$B$14,Paramètres!$A$1:$I$89,3,0)*0.475*44/12</f>
        <v>5.3594955256890644E-9</v>
      </c>
      <c r="ED93" s="22">
        <f t="shared" si="72"/>
        <v>2.7143868996261795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18.5</v>
      </c>
      <c r="N94" s="13">
        <f>IF('Données projet'!$A$36&gt;35,N93+M94-V93,IF(A94&lt;'Données projet'!$A$36,$K$205^A94,IF(A94='Données projet'!$A$36,'Données projet'!$B$36,N93+M94-V93)))</f>
        <v>508.99999999999989</v>
      </c>
      <c r="O94" s="13">
        <f>N94*VLOOKUP('Données projet'!$B$9,Paramètres!$A$1:$I$89,3,0)*VLOOKUP('Données projet'!$B$9,Paramètres!$A$1:$I$89,5,0)</f>
        <v>238.21199999999993</v>
      </c>
      <c r="P94" s="13">
        <f t="shared" si="87"/>
        <v>58.054666307163771</v>
      </c>
      <c r="Q94" s="20">
        <f t="shared" si="54"/>
        <v>515.99777715164339</v>
      </c>
      <c r="R94" s="59">
        <f t="shared" si="55"/>
        <v>809.33111048497676</v>
      </c>
      <c r="S94" s="59">
        <f ca="1">AVERAGE(OFFSET($R$3,0,0,'Données projet'!$E$9+1,1))-AVERAGE(OFFSET($H$3,0,0,'Données projet'!$E$9+1,1))</f>
        <v>319.22903094674564</v>
      </c>
      <c r="T94" s="59">
        <f t="shared" si="88"/>
        <v>254.58690973142848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2.7117534823506779</v>
      </c>
      <c r="AA94" s="21">
        <f>EXP(-LN(2)/25)*AA93+(1-EXP(-LN(2)/25))/(LN(2)/25)*Calculateur!V94*Calculateur!X94*VLOOKUP('Données projet'!$B$9,Paramètres!$A$1:$I$89,3,0)*0.475*44/12</f>
        <v>2.0550060159527384</v>
      </c>
      <c r="AB94" s="21">
        <f>EXP(-LN(2)/2)*AB93+(1-EXP(-LN(2)/2))/(LN(2)/2)*V94*Y94*VLOOKUP('Données projet'!$B$9,Paramètres!$A$1:$I$89,3,0)*0.475*44/12</f>
        <v>7.2723917191883838E-9</v>
      </c>
      <c r="AC94" s="22">
        <f t="shared" si="57"/>
        <v>4.7667595055758083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-3.4106051316484809E-13</v>
      </c>
      <c r="AJ94" s="13">
        <f>AI94*VLOOKUP('Données projet'!$B$10,Paramètres!$A$1:$I$89,3,0)*VLOOKUP('Données projet'!$B$10,Paramètres!$A$1:$I$89,5,0)</f>
        <v>-1.9065282685915009E-13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544.48194192356823</v>
      </c>
      <c r="AO94" s="59">
        <f t="shared" si="90"/>
        <v>668.20427590250733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2.1934264729646276</v>
      </c>
      <c r="AV94" s="21">
        <f>EXP(-LN(2)/25)*AV93+(1-EXP(-LN(2)/25))/(LN(2)/25)*Calculateur!AQ94*Calculateur!AS94*VLOOKUP('Données projet'!$B$10,Paramètres!$A$1:$I$89,3,0)*0.475*44/12</f>
        <v>7.8527361888793692</v>
      </c>
      <c r="AW94" s="21">
        <f>EXP(-LN(2)/2)*AW93+(1-EXP(-LN(2)/2))/(LN(2)/2)*AQ94*AT94*VLOOKUP('Données projet'!$B$10,Paramètres!$A$1:$I$89,3,0)*0.475*44/12</f>
        <v>9.4948669022947766E-9</v>
      </c>
      <c r="AX94" s="21">
        <f t="shared" si="60"/>
        <v>10.046162671338864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6.2</v>
      </c>
      <c r="BD94" s="12">
        <f>IF('Données projet'!$A$88&gt;35,BD93+BC94-BL93,IF(A94&lt;'Données projet'!$A$88,$BA$205^A94,IF(A94='Données projet'!$A$88,'Données projet'!$B$88,BD93+BC94-BL93)))</f>
        <v>308.19999999999993</v>
      </c>
      <c r="BE94" s="13">
        <f>BD94*VLOOKUP('Données projet'!$B$11,Paramètres!$A$1:$I$89,3,0)*VLOOKUP('Données projet'!$B$11,Paramètres!$A$1:$I$89,5,0)</f>
        <v>278.85935999999992</v>
      </c>
      <c r="BF94" s="13">
        <f t="shared" si="91"/>
        <v>66.725901622172387</v>
      </c>
      <c r="BG94" s="20">
        <f t="shared" si="61"/>
        <v>601.8943306586167</v>
      </c>
      <c r="BH94" s="59">
        <f t="shared" si="62"/>
        <v>895.22766399195007</v>
      </c>
      <c r="BI94" s="59">
        <f ca="1">AVERAGE(OFFSET($BH$3,0,0,'Données projet'!$E$11+1,1))-AVERAGE(OFFSET($H$3,0,0,'Données projet'!$E$11+1,1))</f>
        <v>405.7176439604217</v>
      </c>
      <c r="BJ94" s="59">
        <f t="shared" si="92"/>
        <v>278.21741231699929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2.1835979505141356</v>
      </c>
      <c r="BQ94" s="21">
        <f>EXP(-LN(2)/25)*BQ93+(1-EXP(-LN(2)/25))/(LN(2)/25)*Calculateur!BL94*Calculateur!BN94*VLOOKUP('Données projet'!$B$11,Paramètres!$A$1:$I$89,3,0)*0.475*44/12</f>
        <v>1.7257733036145066</v>
      </c>
      <c r="BR94" s="21">
        <f>EXP(-LN(2)/2)*BR93+(1-EXP(-LN(2)/2))/(LN(2)/2)*BL94*BO94*VLOOKUP('Données projet'!$B$11,Paramètres!$A$1:$I$89,3,0)*0.475*44/12</f>
        <v>5.620567128260277E-9</v>
      </c>
      <c r="BS94" s="22">
        <f t="shared" si="63"/>
        <v>3.9093712597492094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3.2</v>
      </c>
      <c r="BY94" s="12">
        <f>IF('Données projet'!$A$114&gt;35,BY93+BX94-CG93,IF(A94&lt;'Données projet'!$A$114,$BV$205^A94,IF(A94='Données projet'!$A$114,'Données projet'!$B$114,BY93+BX94-CG93)))</f>
        <v>257.19999999999993</v>
      </c>
      <c r="BZ94" s="13">
        <f>BY94*VLOOKUP('Données projet'!$B$12,Paramètres!$A$1:$I$89,3,0)*VLOOKUP('Données projet'!$B$12,Paramètres!$A$1:$I$89,5,0)</f>
        <v>224.68991999999997</v>
      </c>
      <c r="CA94" s="13">
        <f t="shared" si="93"/>
        <v>55.132961900876232</v>
      </c>
      <c r="CB94" s="20">
        <f t="shared" si="64"/>
        <v>487.35818597735943</v>
      </c>
      <c r="CC94" s="59">
        <f t="shared" si="65"/>
        <v>780.69151931069268</v>
      </c>
      <c r="CD94" s="59">
        <f ca="1">AVERAGE(OFFSET($CC$3,0,0,'Données projet'!$E$12+1,1))-AVERAGE(OFFSET($H$3,0,0,'Données projet'!$E$12+1,1))</f>
        <v>381.72225529388083</v>
      </c>
      <c r="CE94" s="59">
        <f t="shared" si="94"/>
        <v>360.05900046417361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1.4375940654554031</v>
      </c>
      <c r="CL94" s="21">
        <f>EXP(-LN(2)/25)*CL93+(1-EXP(-LN(2)/25))/(LN(2)/25)*Calculateur!CG94*Calculateur!CI94*VLOOKUP('Données projet'!$B$12,Paramètres!$A$1:$I$89,3,0)*0.475*44/12</f>
        <v>2.0787490917996636</v>
      </c>
      <c r="CM94" s="21">
        <f>EXP(-LN(2)/2)*CM93+(1-EXP(-LN(2)/2))/(LN(2)/2)*CG94*CJ94*VLOOKUP('Données projet'!$B$12,Paramètres!$A$1:$I$89,3,0)*0.475*44/12</f>
        <v>4.608169023057571E-9</v>
      </c>
      <c r="CN94" s="22">
        <f t="shared" si="66"/>
        <v>3.5163431618632357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-1.7053025658242404E-13</v>
      </c>
      <c r="CU94" s="17">
        <f>CT94*VLOOKUP('Données projet'!$B$13,Paramètres!$A$1:$I$89,3,0)*VLOOKUP('Données projet'!$B$13,Paramètres!$A$1:$I$89,5,0)</f>
        <v>-1.3567387213697657E-13</v>
      </c>
      <c r="CV94" s="13" t="e">
        <f t="shared" si="95"/>
        <v>#NUM!</v>
      </c>
      <c r="CW94" s="20" t="e">
        <f t="shared" si="67"/>
        <v>#NUM!</v>
      </c>
      <c r="CX94" s="59" t="e">
        <f t="shared" si="68"/>
        <v>#NUM!</v>
      </c>
      <c r="CY94" s="59">
        <f ca="1">AVERAGE(OFFSET($CX$3,0,0,'Données projet'!$E$13+1,1))-AVERAGE(OFFSET($H$3,0,0,'Données projet'!$E$13+1,1))</f>
        <v>299.10536994156814</v>
      </c>
      <c r="CZ94" s="59">
        <f t="shared" si="96"/>
        <v>292.57799203101769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2.5160879149142477</v>
      </c>
      <c r="DG94" s="21">
        <f>EXP(-LN(2)/25)*DG93+(1-EXP(-LN(2)/25))/(LN(2)/25)*Calculateur!DB94*Calculateur!DD94*VLOOKUP('Données projet'!$B$13,Paramètres!$A$1:$I$89,3,0)*0.475*44/12</f>
        <v>1.9926135074469815</v>
      </c>
      <c r="DH94" s="21">
        <f>EXP(-LN(2)/2)*DH93+(1-EXP(-LN(2)/2))/(LN(2)/2)*DB94*DE94*VLOOKUP('Données projet'!$B$13,Paramètres!$A$1:$I$89,3,0)*0.475*44/12</f>
        <v>5.9088884383758287E-9</v>
      </c>
      <c r="DI94" s="22">
        <f t="shared" si="69"/>
        <v>4.5087014282701174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2.2737367544323206E-13</v>
      </c>
      <c r="DP94" s="17">
        <f>DO94*VLOOKUP('Données projet'!$B$14,Paramètres!$A$1:$I$89,3,0)*VLOOKUP('Données projet'!$B$14,Paramètres!$A$1:$I$89,5,0)</f>
        <v>1.4897523215040565E-13</v>
      </c>
      <c r="DQ94" s="13">
        <f t="shared" si="97"/>
        <v>2.136562777003313E-12</v>
      </c>
      <c r="DR94" s="20">
        <f t="shared" si="70"/>
        <v>3.9806453659427267E-12</v>
      </c>
      <c r="DS94" s="59">
        <f t="shared" si="71"/>
        <v>293.33333333333729</v>
      </c>
      <c r="DT94" s="59">
        <f ca="1">AVERAGE(OFFSET($DS$3,0,0,'Données projet'!$E$14+1,1))-AVERAGE(OFFSET($H$3,0,0,'Données projet'!$E$14+1,1))</f>
        <v>295.92103934364718</v>
      </c>
      <c r="DU94" s="59">
        <f t="shared" si="98"/>
        <v>304.84379909635476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1.3326524475646822</v>
      </c>
      <c r="EB94" s="21">
        <f>EXP(-LN(2)/25)*EB93+(1-EXP(-LN(2)/25))/(LN(2)/25)*Calculateur!DW94*Calculateur!DY94*VLOOKUP('Données projet'!$B$14,Paramètres!$A$1:$I$89,3,0)*0.475*44/12</f>
        <v>1.3180245395191255</v>
      </c>
      <c r="EC94" s="21">
        <f>EXP(-LN(2)/2)*EC93+(1-EXP(-LN(2)/2))/(LN(2)/2)*DW94*DZ94*VLOOKUP('Données projet'!$B$14,Paramètres!$A$1:$I$89,3,0)*0.475*44/12</f>
        <v>3.7897356299536977E-9</v>
      </c>
      <c r="ED94" s="22">
        <f t="shared" si="72"/>
        <v>2.650676990873543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18.5</v>
      </c>
      <c r="N95" s="13">
        <f>IF('Données projet'!$A$36&gt;35,N94+M95-V94,IF(A95&lt;'Données projet'!$A$36,$K$205^A95,IF(A95='Données projet'!$A$36,'Données projet'!$B$36,N94+M95-V94)))</f>
        <v>527.49999999999989</v>
      </c>
      <c r="O95" s="13">
        <f>N95*VLOOKUP('Données projet'!$B$9,Paramètres!$A$1:$I$89,3,0)*VLOOKUP('Données projet'!$B$9,Paramètres!$A$1:$I$89,5,0)</f>
        <v>246.86999999999995</v>
      </c>
      <c r="P95" s="13">
        <f t="shared" si="87"/>
        <v>59.91520778876734</v>
      </c>
      <c r="Q95" s="20">
        <f t="shared" si="54"/>
        <v>534.31757023210309</v>
      </c>
      <c r="R95" s="59">
        <f t="shared" si="55"/>
        <v>827.65090356543647</v>
      </c>
      <c r="S95" s="59">
        <f ca="1">AVERAGE(OFFSET($R$3,0,0,'Données projet'!$E$9+1,1))-AVERAGE(OFFSET($H$3,0,0,'Données projet'!$E$9+1,1))</f>
        <v>319.22903094674564</v>
      </c>
      <c r="T95" s="59">
        <f t="shared" si="88"/>
        <v>254.58690973142848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2.6585776505680858</v>
      </c>
      <c r="AA95" s="21">
        <f>EXP(-LN(2)/25)*AA94+(1-EXP(-LN(2)/25))/(LN(2)/25)*Calculateur!V95*Calculateur!X95*VLOOKUP('Données projet'!$B$9,Paramètres!$A$1:$I$89,3,0)*0.475*44/12</f>
        <v>1.9988117683784412</v>
      </c>
      <c r="AB95" s="21">
        <f>EXP(-LN(2)/2)*AB94+(1-EXP(-LN(2)/2))/(LN(2)/2)*V95*Y95*VLOOKUP('Données projet'!$B$9,Paramètres!$A$1:$I$89,3,0)*0.475*44/12</f>
        <v>5.1423575000830014E-9</v>
      </c>
      <c r="AC95" s="22">
        <f t="shared" si="57"/>
        <v>4.6573894240888851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-3.4106051316484809E-13</v>
      </c>
      <c r="AJ95" s="13">
        <f>AI95*VLOOKUP('Données projet'!$B$10,Paramètres!$A$1:$I$89,3,0)*VLOOKUP('Données projet'!$B$10,Paramètres!$A$1:$I$89,5,0)</f>
        <v>-1.9065282685915009E-13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544.48194192356823</v>
      </c>
      <c r="AO95" s="59">
        <f t="shared" si="90"/>
        <v>668.20427590250733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2.1504147176878372</v>
      </c>
      <c r="AV95" s="21">
        <f>EXP(-LN(2)/25)*AV94+(1-EXP(-LN(2)/25))/(LN(2)/25)*Calculateur!AQ95*Calculateur!AS95*VLOOKUP('Données projet'!$B$10,Paramètres!$A$1:$I$89,3,0)*0.475*44/12</f>
        <v>7.6380027048370147</v>
      </c>
      <c r="AW95" s="21">
        <f>EXP(-LN(2)/2)*AW94+(1-EXP(-LN(2)/2))/(LN(2)/2)*AQ95*AT95*VLOOKUP('Données projet'!$B$10,Paramètres!$A$1:$I$89,3,0)*0.475*44/12</f>
        <v>6.713884773076345E-9</v>
      </c>
      <c r="AX95" s="21">
        <f t="shared" si="60"/>
        <v>9.788417429238736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6.2</v>
      </c>
      <c r="BD95" s="12">
        <f>IF('Données projet'!$A$88&gt;35,BD94+BC95-BL94,IF(A95&lt;'Données projet'!$A$88,$BA$205^A95,IF(A95='Données projet'!$A$88,'Données projet'!$B$88,BD94+BC95-BL94)))</f>
        <v>314.39999999999992</v>
      </c>
      <c r="BE95" s="13">
        <f>BD95*VLOOKUP('Données projet'!$B$11,Paramètres!$A$1:$I$89,3,0)*VLOOKUP('Données projet'!$B$11,Paramètres!$A$1:$I$89,5,0)</f>
        <v>284.46911999999992</v>
      </c>
      <c r="BF95" s="13">
        <f t="shared" si="91"/>
        <v>67.91059023737904</v>
      </c>
      <c r="BG95" s="20">
        <f t="shared" si="61"/>
        <v>613.72799533010163</v>
      </c>
      <c r="BH95" s="59">
        <f t="shared" si="62"/>
        <v>907.06132866343501</v>
      </c>
      <c r="BI95" s="59">
        <f ca="1">AVERAGE(OFFSET($BH$3,0,0,'Données projet'!$E$11+1,1))-AVERAGE(OFFSET($H$3,0,0,'Données projet'!$E$11+1,1))</f>
        <v>405.7176439604217</v>
      </c>
      <c r="BJ95" s="59">
        <f t="shared" si="92"/>
        <v>278.21741231699929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2.1407789265677928</v>
      </c>
      <c r="BQ95" s="21">
        <f>EXP(-LN(2)/25)*BQ94+(1-EXP(-LN(2)/25))/(LN(2)/25)*Calculateur!BL95*Calculateur!BN95*VLOOKUP('Données projet'!$B$11,Paramètres!$A$1:$I$89,3,0)*0.475*44/12</f>
        <v>1.6785819418726942</v>
      </c>
      <c r="BR95" s="21">
        <f>EXP(-LN(2)/2)*BR94+(1-EXP(-LN(2)/2))/(LN(2)/2)*BL95*BO95*VLOOKUP('Données projet'!$B$11,Paramètres!$A$1:$I$89,3,0)*0.475*44/12</f>
        <v>3.9743411305070415E-9</v>
      </c>
      <c r="BS95" s="22">
        <f t="shared" si="63"/>
        <v>3.8193608724148285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3.2</v>
      </c>
      <c r="BY95" s="12">
        <f>IF('Données projet'!$A$114&gt;35,BY94+BX95-CG94,IF(A95&lt;'Données projet'!$A$114,$BV$205^A95,IF(A95='Données projet'!$A$114,'Données projet'!$B$114,BY94+BX95-CG94)))</f>
        <v>260.39999999999992</v>
      </c>
      <c r="BZ95" s="13">
        <f>BY95*VLOOKUP('Données projet'!$B$12,Paramètres!$A$1:$I$89,3,0)*VLOOKUP('Données projet'!$B$12,Paramètres!$A$1:$I$89,5,0)</f>
        <v>227.48543999999993</v>
      </c>
      <c r="CA95" s="13">
        <f t="shared" si="93"/>
        <v>55.738627496252377</v>
      </c>
      <c r="CB95" s="20">
        <f t="shared" si="64"/>
        <v>493.28191755597277</v>
      </c>
      <c r="CC95" s="59">
        <f t="shared" si="65"/>
        <v>786.61525088930603</v>
      </c>
      <c r="CD95" s="59">
        <f ca="1">AVERAGE(OFFSET($CC$3,0,0,'Données projet'!$E$12+1,1))-AVERAGE(OFFSET($H$3,0,0,'Données projet'!$E$12+1,1))</f>
        <v>381.72225529388083</v>
      </c>
      <c r="CE95" s="59">
        <f t="shared" si="94"/>
        <v>360.05900046417361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1.4094037226776213</v>
      </c>
      <c r="CL95" s="21">
        <f>EXP(-LN(2)/25)*CL94+(1-EXP(-LN(2)/25))/(LN(2)/25)*Calculateur!CG95*Calculateur!CI95*VLOOKUP('Données projet'!$B$12,Paramètres!$A$1:$I$89,3,0)*0.475*44/12</f>
        <v>2.0219055885677379</v>
      </c>
      <c r="CM95" s="21">
        <f>EXP(-LN(2)/2)*CM94+(1-EXP(-LN(2)/2))/(LN(2)/2)*CG95*CJ95*VLOOKUP('Données projet'!$B$12,Paramètres!$A$1:$I$89,3,0)*0.475*44/12</f>
        <v>3.2584675650577964E-9</v>
      </c>
      <c r="CN95" s="22">
        <f t="shared" si="66"/>
        <v>3.4313093145038267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-1.7053025658242404E-13</v>
      </c>
      <c r="CU95" s="17">
        <f>CT95*VLOOKUP('Données projet'!$B$13,Paramètres!$A$1:$I$89,3,0)*VLOOKUP('Données projet'!$B$13,Paramètres!$A$1:$I$89,5,0)</f>
        <v>-1.3567387213697657E-13</v>
      </c>
      <c r="CV95" s="13" t="e">
        <f t="shared" si="95"/>
        <v>#NUM!</v>
      </c>
      <c r="CW95" s="20" t="e">
        <f t="shared" si="67"/>
        <v>#NUM!</v>
      </c>
      <c r="CX95" s="59" t="e">
        <f t="shared" si="68"/>
        <v>#NUM!</v>
      </c>
      <c r="CY95" s="59">
        <f ca="1">AVERAGE(OFFSET($CX$3,0,0,'Données projet'!$E$13+1,1))-AVERAGE(OFFSET($H$3,0,0,'Données projet'!$E$13+1,1))</f>
        <v>299.10536994156814</v>
      </c>
      <c r="CZ95" s="59">
        <f t="shared" si="96"/>
        <v>292.57799203101769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2.466748965564872</v>
      </c>
      <c r="DG95" s="21">
        <f>EXP(-LN(2)/25)*DG94+(1-EXP(-LN(2)/25))/(LN(2)/25)*Calculateur!DB95*Calculateur!DD95*VLOOKUP('Données projet'!$B$13,Paramètres!$A$1:$I$89,3,0)*0.475*44/12</f>
        <v>1.9381253862988537</v>
      </c>
      <c r="DH95" s="21">
        <f>EXP(-LN(2)/2)*DH94+(1-EXP(-LN(2)/2))/(LN(2)/2)*DB95*DE95*VLOOKUP('Données projet'!$B$13,Paramètres!$A$1:$I$89,3,0)*0.475*44/12</f>
        <v>4.1782150840503375E-9</v>
      </c>
      <c r="DI95" s="22">
        <f t="shared" si="69"/>
        <v>4.4048743560419403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2.2737367544323206E-13</v>
      </c>
      <c r="DP95" s="17">
        <f>DO95*VLOOKUP('Données projet'!$B$14,Paramètres!$A$1:$I$89,3,0)*VLOOKUP('Données projet'!$B$14,Paramètres!$A$1:$I$89,5,0)</f>
        <v>1.4897523215040565E-13</v>
      </c>
      <c r="DQ95" s="13">
        <f t="shared" si="97"/>
        <v>2.136562777003313E-12</v>
      </c>
      <c r="DR95" s="20">
        <f t="shared" si="70"/>
        <v>3.9806453659427267E-12</v>
      </c>
      <c r="DS95" s="59">
        <f t="shared" si="71"/>
        <v>293.33333333333729</v>
      </c>
      <c r="DT95" s="59">
        <f ca="1">AVERAGE(OFFSET($DS$3,0,0,'Données projet'!$E$14+1,1))-AVERAGE(OFFSET($H$3,0,0,'Données projet'!$E$14+1,1))</f>
        <v>295.92103934364718</v>
      </c>
      <c r="DU95" s="59">
        <f t="shared" si="98"/>
        <v>304.84379909635476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1.3065199459056707</v>
      </c>
      <c r="EB95" s="21">
        <f>EXP(-LN(2)/25)*EB94+(1-EXP(-LN(2)/25))/(LN(2)/25)*Calculateur!DW95*Calculateur!DY95*VLOOKUP('Données projet'!$B$14,Paramètres!$A$1:$I$89,3,0)*0.475*44/12</f>
        <v>1.2819830891740769</v>
      </c>
      <c r="EC95" s="21">
        <f>EXP(-LN(2)/2)*EC94+(1-EXP(-LN(2)/2))/(LN(2)/2)*DW95*DZ95*VLOOKUP('Données projet'!$B$14,Paramètres!$A$1:$I$89,3,0)*0.475*44/12</f>
        <v>2.6797477628445322E-9</v>
      </c>
      <c r="ED95" s="22">
        <f t="shared" si="72"/>
        <v>2.5885030377594953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18.5</v>
      </c>
      <c r="N96" s="13">
        <f>IF('Données projet'!$A$36&gt;35,N95+M96-V95,IF(A96&lt;'Données projet'!$A$36,$K$205^A96,IF(A96='Données projet'!$A$36,'Données projet'!$B$36,N95+M96-V95)))</f>
        <v>545.99999999999989</v>
      </c>
      <c r="O96" s="13">
        <f>N96*VLOOKUP('Données projet'!$B$9,Paramètres!$A$1:$I$89,3,0)*VLOOKUP('Données projet'!$B$9,Paramètres!$A$1:$I$89,5,0)</f>
        <v>255.52799999999993</v>
      </c>
      <c r="P96" s="13">
        <f t="shared" si="87"/>
        <v>61.768167868721477</v>
      </c>
      <c r="Q96" s="20">
        <f t="shared" si="54"/>
        <v>552.62415903802309</v>
      </c>
      <c r="R96" s="59">
        <f t="shared" si="55"/>
        <v>845.95749237135647</v>
      </c>
      <c r="S96" s="59">
        <f ca="1">AVERAGE(OFFSET($R$3,0,0,'Données projet'!$E$9+1,1))-AVERAGE(OFFSET($H$3,0,0,'Données projet'!$E$9+1,1))</f>
        <v>319.22903094674564</v>
      </c>
      <c r="T96" s="59">
        <f t="shared" si="88"/>
        <v>254.58690973142848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2.6064445644126955</v>
      </c>
      <c r="AA96" s="21">
        <f>EXP(-LN(2)/25)*AA95+(1-EXP(-LN(2)/25))/(LN(2)/25)*Calculateur!V96*Calculateur!X96*VLOOKUP('Données projet'!$B$9,Paramètres!$A$1:$I$89,3,0)*0.475*44/12</f>
        <v>1.9441541554591901</v>
      </c>
      <c r="AB96" s="21">
        <f>EXP(-LN(2)/2)*AB95+(1-EXP(-LN(2)/2))/(LN(2)/2)*V96*Y96*VLOOKUP('Données projet'!$B$9,Paramètres!$A$1:$I$89,3,0)*0.475*44/12</f>
        <v>3.6361958595941927E-9</v>
      </c>
      <c r="AC96" s="22">
        <f t="shared" si="57"/>
        <v>4.5505987235080818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-3.4106051316484809E-13</v>
      </c>
      <c r="AJ96" s="13">
        <f>AI96*VLOOKUP('Données projet'!$B$10,Paramètres!$A$1:$I$89,3,0)*VLOOKUP('Données projet'!$B$10,Paramètres!$A$1:$I$89,5,0)</f>
        <v>-1.9065282685915009E-13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544.48194192356823</v>
      </c>
      <c r="AO96" s="59">
        <f t="shared" si="90"/>
        <v>668.20427590250733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2.1082463966974445</v>
      </c>
      <c r="AV96" s="21">
        <f>EXP(-LN(2)/25)*AV95+(1-EXP(-LN(2)/25))/(LN(2)/25)*Calculateur!AQ96*Calculateur!AS96*VLOOKUP('Données projet'!$B$10,Paramètres!$A$1:$I$89,3,0)*0.475*44/12</f>
        <v>7.4291411192081416</v>
      </c>
      <c r="AW96" s="21">
        <f>EXP(-LN(2)/2)*AW95+(1-EXP(-LN(2)/2))/(LN(2)/2)*AQ96*AT96*VLOOKUP('Données projet'!$B$10,Paramètres!$A$1:$I$89,3,0)*0.475*44/12</f>
        <v>4.7474334511473883E-9</v>
      </c>
      <c r="AX96" s="21">
        <f t="shared" si="60"/>
        <v>9.5373875206530183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6.2</v>
      </c>
      <c r="BD96" s="12">
        <f>IF('Données projet'!$A$88&gt;35,BD95+BC96-BL95,IF(A96&lt;'Données projet'!$A$88,$BA$205^A96,IF(A96='Données projet'!$A$88,'Données projet'!$B$88,BD95+BC96-BL95)))</f>
        <v>320.59999999999991</v>
      </c>
      <c r="BE96" s="13">
        <f>BD96*VLOOKUP('Données projet'!$B$11,Paramètres!$A$1:$I$89,3,0)*VLOOKUP('Données projet'!$B$11,Paramètres!$A$1:$I$89,5,0)</f>
        <v>290.07887999999991</v>
      </c>
      <c r="BF96" s="13">
        <f t="shared" si="91"/>
        <v>69.092562427360406</v>
      </c>
      <c r="BG96" s="20">
        <f t="shared" si="61"/>
        <v>625.55692889431919</v>
      </c>
      <c r="BH96" s="59">
        <f t="shared" si="62"/>
        <v>918.89026222765256</v>
      </c>
      <c r="BI96" s="59">
        <f ca="1">AVERAGE(OFFSET($BH$3,0,0,'Données projet'!$E$11+1,1))-AVERAGE(OFFSET($H$3,0,0,'Données projet'!$E$11+1,1))</f>
        <v>405.7176439604217</v>
      </c>
      <c r="BJ96" s="59">
        <f t="shared" si="92"/>
        <v>278.21741231699929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2.0987995575640119</v>
      </c>
      <c r="BQ96" s="21">
        <f>EXP(-LN(2)/25)*BQ95+(1-EXP(-LN(2)/25))/(LN(2)/25)*Calculateur!BL96*Calculateur!BN96*VLOOKUP('Données projet'!$B$11,Paramètres!$A$1:$I$89,3,0)*0.475*44/12</f>
        <v>1.6326810303993975</v>
      </c>
      <c r="BR96" s="21">
        <f>EXP(-LN(2)/2)*BR95+(1-EXP(-LN(2)/2))/(LN(2)/2)*BL96*BO96*VLOOKUP('Données projet'!$B$11,Paramètres!$A$1:$I$89,3,0)*0.475*44/12</f>
        <v>2.8102835641301385E-9</v>
      </c>
      <c r="BS96" s="22">
        <f t="shared" si="63"/>
        <v>3.731480590773693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3.2</v>
      </c>
      <c r="BY96" s="12">
        <f>IF('Données projet'!$A$114&gt;35,BY95+BX96-CG95,IF(A96&lt;'Données projet'!$A$114,$BV$205^A96,IF(A96='Données projet'!$A$114,'Données projet'!$B$114,BY95+BX96-CG95)))</f>
        <v>263.59999999999991</v>
      </c>
      <c r="BZ96" s="13">
        <f>BY96*VLOOKUP('Données projet'!$B$12,Paramètres!$A$1:$I$89,3,0)*VLOOKUP('Données projet'!$B$12,Paramètres!$A$1:$I$89,5,0)</f>
        <v>230.28095999999994</v>
      </c>
      <c r="CA96" s="13">
        <f t="shared" si="93"/>
        <v>56.343427334913351</v>
      </c>
      <c r="CB96" s="20">
        <f t="shared" si="64"/>
        <v>499.20414127497389</v>
      </c>
      <c r="CC96" s="59">
        <f t="shared" si="65"/>
        <v>792.53747460830721</v>
      </c>
      <c r="CD96" s="59">
        <f ca="1">AVERAGE(OFFSET($CC$3,0,0,'Données projet'!$E$12+1,1))-AVERAGE(OFFSET($H$3,0,0,'Données projet'!$E$12+1,1))</f>
        <v>381.72225529388083</v>
      </c>
      <c r="CE96" s="59">
        <f t="shared" si="94"/>
        <v>360.05900046417361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1.3817661753273005</v>
      </c>
      <c r="CL96" s="21">
        <f>EXP(-LN(2)/25)*CL95+(1-EXP(-LN(2)/25))/(LN(2)/25)*Calculateur!CG96*Calculateur!CI96*VLOOKUP('Données projet'!$B$12,Paramètres!$A$1:$I$89,3,0)*0.475*44/12</f>
        <v>1.9666164739209593</v>
      </c>
      <c r="CM96" s="21">
        <f>EXP(-LN(2)/2)*CM95+(1-EXP(-LN(2)/2))/(LN(2)/2)*CG96*CJ96*VLOOKUP('Données projet'!$B$12,Paramètres!$A$1:$I$89,3,0)*0.475*44/12</f>
        <v>2.3040845115287855E-9</v>
      </c>
      <c r="CN96" s="22">
        <f t="shared" si="66"/>
        <v>3.348382651552344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-1.7053025658242404E-13</v>
      </c>
      <c r="CU96" s="17">
        <f>CT96*VLOOKUP('Données projet'!$B$13,Paramètres!$A$1:$I$89,3,0)*VLOOKUP('Données projet'!$B$13,Paramètres!$A$1:$I$89,5,0)</f>
        <v>-1.3567387213697657E-13</v>
      </c>
      <c r="CV96" s="13" t="e">
        <f t="shared" si="95"/>
        <v>#NUM!</v>
      </c>
      <c r="CW96" s="20" t="e">
        <f t="shared" si="67"/>
        <v>#NUM!</v>
      </c>
      <c r="CX96" s="59" t="e">
        <f t="shared" si="68"/>
        <v>#NUM!</v>
      </c>
      <c r="CY96" s="59">
        <f ca="1">AVERAGE(OFFSET($CX$3,0,0,'Données projet'!$E$13+1,1))-AVERAGE(OFFSET($H$3,0,0,'Données projet'!$E$13+1,1))</f>
        <v>299.10536994156814</v>
      </c>
      <c r="CZ96" s="59">
        <f t="shared" si="96"/>
        <v>292.57799203101769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2.4183775229184499</v>
      </c>
      <c r="DG96" s="21">
        <f>EXP(-LN(2)/25)*DG95+(1-EXP(-LN(2)/25))/(LN(2)/25)*Calculateur!DB96*Calculateur!DD96*VLOOKUP('Données projet'!$B$13,Paramètres!$A$1:$I$89,3,0)*0.475*44/12</f>
        <v>1.8851272456889272</v>
      </c>
      <c r="DH96" s="21">
        <f>EXP(-LN(2)/2)*DH95+(1-EXP(-LN(2)/2))/(LN(2)/2)*DB96*DE96*VLOOKUP('Données projet'!$B$13,Paramètres!$A$1:$I$89,3,0)*0.475*44/12</f>
        <v>2.9544442191879144E-9</v>
      </c>
      <c r="DI96" s="22">
        <f t="shared" si="69"/>
        <v>4.3035047715618209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2.2737367544323206E-13</v>
      </c>
      <c r="DP96" s="17">
        <f>DO96*VLOOKUP('Données projet'!$B$14,Paramètres!$A$1:$I$89,3,0)*VLOOKUP('Données projet'!$B$14,Paramètres!$A$1:$I$89,5,0)</f>
        <v>1.4897523215040565E-13</v>
      </c>
      <c r="DQ96" s="13">
        <f t="shared" si="97"/>
        <v>2.136562777003313E-12</v>
      </c>
      <c r="DR96" s="20">
        <f t="shared" si="70"/>
        <v>3.9806453659427267E-12</v>
      </c>
      <c r="DS96" s="59">
        <f t="shared" si="71"/>
        <v>293.33333333333729</v>
      </c>
      <c r="DT96" s="59">
        <f ca="1">AVERAGE(OFFSET($DS$3,0,0,'Données projet'!$E$14+1,1))-AVERAGE(OFFSET($H$3,0,0,'Données projet'!$E$14+1,1))</f>
        <v>295.92103934364718</v>
      </c>
      <c r="DU96" s="59">
        <f t="shared" si="98"/>
        <v>304.84379909635476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1.2808998866649404</v>
      </c>
      <c r="EB96" s="21">
        <f>EXP(-LN(2)/25)*EB95+(1-EXP(-LN(2)/25))/(LN(2)/25)*Calculateur!DW96*Calculateur!DY96*VLOOKUP('Données projet'!$B$14,Paramètres!$A$1:$I$89,3,0)*0.475*44/12</f>
        <v>1.2469271941840512</v>
      </c>
      <c r="EC96" s="21">
        <f>EXP(-LN(2)/2)*EC95+(1-EXP(-LN(2)/2))/(LN(2)/2)*DW96*DZ96*VLOOKUP('Données projet'!$B$14,Paramètres!$A$1:$I$89,3,0)*0.475*44/12</f>
        <v>1.8948678149768488E-9</v>
      </c>
      <c r="ED96" s="22">
        <f t="shared" si="72"/>
        <v>2.5278270827438596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18.5</v>
      </c>
      <c r="N97" s="13">
        <f>IF('Données projet'!$A$36&gt;35,N96+M97-V96,IF(A97&lt;'Données projet'!$A$36,$K$205^A97,IF(A97='Données projet'!$A$36,'Données projet'!$B$36,N96+M97-V96)))</f>
        <v>564.49999999999989</v>
      </c>
      <c r="O97" s="13">
        <f>N97*VLOOKUP('Données projet'!$B$9,Paramètres!$A$1:$I$89,3,0)*VLOOKUP('Données projet'!$B$9,Paramètres!$A$1:$I$89,5,0)</f>
        <v>264.18599999999992</v>
      </c>
      <c r="P97" s="13">
        <f t="shared" si="87"/>
        <v>63.613832873262751</v>
      </c>
      <c r="Q97" s="20">
        <f t="shared" si="54"/>
        <v>570.91804225426574</v>
      </c>
      <c r="R97" s="59">
        <f t="shared" si="55"/>
        <v>864.25137558759911</v>
      </c>
      <c r="S97" s="59">
        <f ca="1">AVERAGE(OFFSET($R$3,0,0,'Données projet'!$E$9+1,1))-AVERAGE(OFFSET($H$3,0,0,'Données projet'!$E$9+1,1))</f>
        <v>319.22903094674564</v>
      </c>
      <c r="T97" s="59">
        <f t="shared" si="88"/>
        <v>254.58690973142848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2.5553337762787698</v>
      </c>
      <c r="AA97" s="21">
        <f>EXP(-LN(2)/25)*AA96+(1-EXP(-LN(2)/25))/(LN(2)/25)*Calculateur!V97*Calculateur!X97*VLOOKUP('Données projet'!$B$9,Paramètres!$A$1:$I$89,3,0)*0.475*44/12</f>
        <v>1.8909911578395349</v>
      </c>
      <c r="AB97" s="21">
        <f>EXP(-LN(2)/2)*AB96+(1-EXP(-LN(2)/2))/(LN(2)/2)*V97*Y97*VLOOKUP('Données projet'!$B$9,Paramètres!$A$1:$I$89,3,0)*0.475*44/12</f>
        <v>2.5711787500415011E-9</v>
      </c>
      <c r="AC97" s="22">
        <f t="shared" si="57"/>
        <v>4.4463249366894839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-3.4106051316484809E-13</v>
      </c>
      <c r="AJ97" s="13">
        <f>AI97*VLOOKUP('Données projet'!$B$10,Paramètres!$A$1:$I$89,3,0)*VLOOKUP('Données projet'!$B$10,Paramètres!$A$1:$I$89,5,0)</f>
        <v>-1.9065282685915009E-13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544.48194192356823</v>
      </c>
      <c r="AO97" s="59">
        <f t="shared" si="90"/>
        <v>668.20427590250733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2.066904970761537</v>
      </c>
      <c r="AV97" s="21">
        <f>EXP(-LN(2)/25)*AV96+(1-EXP(-LN(2)/25))/(LN(2)/25)*Calculateur!AQ97*Calculateur!AS97*VLOOKUP('Données projet'!$B$10,Paramètres!$A$1:$I$89,3,0)*0.475*44/12</f>
        <v>7.2259908646218429</v>
      </c>
      <c r="AW97" s="21">
        <f>EXP(-LN(2)/2)*AW96+(1-EXP(-LN(2)/2))/(LN(2)/2)*AQ97*AT97*VLOOKUP('Données projet'!$B$10,Paramètres!$A$1:$I$89,3,0)*0.475*44/12</f>
        <v>3.3569423865381725E-9</v>
      </c>
      <c r="AX97" s="21">
        <f t="shared" si="60"/>
        <v>9.2928958387403231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6.2</v>
      </c>
      <c r="BD97" s="12">
        <f>IF('Données projet'!$A$88&gt;35,BD96+BC97-BL96,IF(A97&lt;'Données projet'!$A$88,$BA$205^A97,IF(A97='Données projet'!$A$88,'Données projet'!$B$88,BD96+BC97-BL96)))</f>
        <v>326.7999999999999</v>
      </c>
      <c r="BE97" s="13">
        <f>BD97*VLOOKUP('Données projet'!$B$11,Paramètres!$A$1:$I$89,3,0)*VLOOKUP('Données projet'!$B$11,Paramètres!$A$1:$I$89,5,0)</f>
        <v>295.68863999999991</v>
      </c>
      <c r="BF97" s="13">
        <f t="shared" si="91"/>
        <v>70.271876780519747</v>
      </c>
      <c r="BG97" s="20">
        <f t="shared" si="61"/>
        <v>637.3812333927383</v>
      </c>
      <c r="BH97" s="59">
        <f t="shared" si="62"/>
        <v>930.71456672607155</v>
      </c>
      <c r="BI97" s="59">
        <f ca="1">AVERAGE(OFFSET($BH$3,0,0,'Données projet'!$E$11+1,1))-AVERAGE(OFFSET($H$3,0,0,'Données projet'!$E$11+1,1))</f>
        <v>405.7176439604217</v>
      </c>
      <c r="BJ97" s="59">
        <f t="shared" si="92"/>
        <v>278.21741231699929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2.0576433783815085</v>
      </c>
      <c r="BQ97" s="21">
        <f>EXP(-LN(2)/25)*BQ96+(1-EXP(-LN(2)/25))/(LN(2)/25)*Calculateur!BL97*Calculateur!BN97*VLOOKUP('Données projet'!$B$11,Paramètres!$A$1:$I$89,3,0)*0.475*44/12</f>
        <v>1.5880352817641621</v>
      </c>
      <c r="BR97" s="21">
        <f>EXP(-LN(2)/2)*BR96+(1-EXP(-LN(2)/2))/(LN(2)/2)*BL97*BO97*VLOOKUP('Données projet'!$B$11,Paramètres!$A$1:$I$89,3,0)*0.475*44/12</f>
        <v>1.9871705652535207E-9</v>
      </c>
      <c r="BS97" s="22">
        <f t="shared" si="63"/>
        <v>3.6456786621328412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3.2</v>
      </c>
      <c r="BY97" s="12">
        <f>IF('Données projet'!$A$114&gt;35,BY96+BX97-CG96,IF(A97&lt;'Données projet'!$A$114,$BV$205^A97,IF(A97='Données projet'!$A$114,'Données projet'!$B$114,BY96+BX97-CG96)))</f>
        <v>266.7999999999999</v>
      </c>
      <c r="BZ97" s="13">
        <f>BY97*VLOOKUP('Données projet'!$B$12,Paramètres!$A$1:$I$89,3,0)*VLOOKUP('Données projet'!$B$12,Paramètres!$A$1:$I$89,5,0)</f>
        <v>233.07647999999995</v>
      </c>
      <c r="CA97" s="13">
        <f t="shared" si="93"/>
        <v>56.947373142454879</v>
      </c>
      <c r="CB97" s="20">
        <f t="shared" si="64"/>
        <v>505.12487755644207</v>
      </c>
      <c r="CC97" s="59">
        <f t="shared" si="65"/>
        <v>798.45821088977539</v>
      </c>
      <c r="CD97" s="59">
        <f ca="1">AVERAGE(OFFSET($CC$3,0,0,'Données projet'!$E$12+1,1))-AVERAGE(OFFSET($H$3,0,0,'Données projet'!$E$12+1,1))</f>
        <v>381.72225529388083</v>
      </c>
      <c r="CE97" s="59">
        <f t="shared" si="94"/>
        <v>360.05900046417361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1.3546705834232802</v>
      </c>
      <c r="CL97" s="21">
        <f>EXP(-LN(2)/25)*CL96+(1-EXP(-LN(2)/25))/(LN(2)/25)*Calculateur!CG97*Calculateur!CI97*VLOOKUP('Données projet'!$B$12,Paramètres!$A$1:$I$89,3,0)*0.475*44/12</f>
        <v>1.9128392430217251</v>
      </c>
      <c r="CM97" s="21">
        <f>EXP(-LN(2)/2)*CM96+(1-EXP(-LN(2)/2))/(LN(2)/2)*CG97*CJ97*VLOOKUP('Données projet'!$B$12,Paramètres!$A$1:$I$89,3,0)*0.475*44/12</f>
        <v>1.6292337825288982E-9</v>
      </c>
      <c r="CN97" s="22">
        <f t="shared" si="66"/>
        <v>3.267509828074239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-1.7053025658242404E-13</v>
      </c>
      <c r="CU97" s="17">
        <f>CT97*VLOOKUP('Données projet'!$B$13,Paramètres!$A$1:$I$89,3,0)*VLOOKUP('Données projet'!$B$13,Paramètres!$A$1:$I$89,5,0)</f>
        <v>-1.3567387213697657E-13</v>
      </c>
      <c r="CV97" s="13" t="e">
        <f t="shared" si="95"/>
        <v>#NUM!</v>
      </c>
      <c r="CW97" s="20" t="e">
        <f t="shared" si="67"/>
        <v>#NUM!</v>
      </c>
      <c r="CX97" s="59" t="e">
        <f t="shared" si="68"/>
        <v>#NUM!</v>
      </c>
      <c r="CY97" s="59">
        <f ca="1">AVERAGE(OFFSET($CX$3,0,0,'Données projet'!$E$13+1,1))-AVERAGE(OFFSET($H$3,0,0,'Données projet'!$E$13+1,1))</f>
        <v>299.10536994156814</v>
      </c>
      <c r="CZ97" s="59">
        <f t="shared" si="96"/>
        <v>292.57799203101769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2.3709546147586575</v>
      </c>
      <c r="DG97" s="21">
        <f>EXP(-LN(2)/25)*DG96+(1-EXP(-LN(2)/25))/(LN(2)/25)*Calculateur!DB97*Calculateur!DD97*VLOOKUP('Données projet'!$B$13,Paramètres!$A$1:$I$89,3,0)*0.475*44/12</f>
        <v>1.8335783420210301</v>
      </c>
      <c r="DH97" s="21">
        <f>EXP(-LN(2)/2)*DH96+(1-EXP(-LN(2)/2))/(LN(2)/2)*DB97*DE97*VLOOKUP('Données projet'!$B$13,Paramètres!$A$1:$I$89,3,0)*0.475*44/12</f>
        <v>2.0891075420251688E-9</v>
      </c>
      <c r="DI97" s="22">
        <f t="shared" si="69"/>
        <v>4.2045329588687954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2.2737367544323206E-13</v>
      </c>
      <c r="DP97" s="17">
        <f>DO97*VLOOKUP('Données projet'!$B$14,Paramètres!$A$1:$I$89,3,0)*VLOOKUP('Données projet'!$B$14,Paramètres!$A$1:$I$89,5,0)</f>
        <v>1.4897523215040565E-13</v>
      </c>
      <c r="DQ97" s="13">
        <f t="shared" si="97"/>
        <v>2.136562777003313E-12</v>
      </c>
      <c r="DR97" s="20">
        <f t="shared" si="70"/>
        <v>3.9806453659427267E-12</v>
      </c>
      <c r="DS97" s="59">
        <f t="shared" si="71"/>
        <v>293.33333333333729</v>
      </c>
      <c r="DT97" s="59">
        <f ca="1">AVERAGE(OFFSET($DS$3,0,0,'Données projet'!$E$14+1,1))-AVERAGE(OFFSET($H$3,0,0,'Données projet'!$E$14+1,1))</f>
        <v>295.92103934364718</v>
      </c>
      <c r="DU97" s="59">
        <f t="shared" si="98"/>
        <v>304.84379909635476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1.2557822211592276</v>
      </c>
      <c r="EB97" s="21">
        <f>EXP(-LN(2)/25)*EB96+(1-EXP(-LN(2)/25))/(LN(2)/25)*Calculateur!DW97*Calculateur!DY97*VLOOKUP('Données projet'!$B$14,Paramètres!$A$1:$I$89,3,0)*0.475*44/12</f>
        <v>1.2128299044860371</v>
      </c>
      <c r="EC97" s="21">
        <f>EXP(-LN(2)/2)*EC96+(1-EXP(-LN(2)/2))/(LN(2)/2)*DW97*DZ97*VLOOKUP('Données projet'!$B$14,Paramètres!$A$1:$I$89,3,0)*0.475*44/12</f>
        <v>1.3398738814222661E-9</v>
      </c>
      <c r="ED97" s="22">
        <f t="shared" si="72"/>
        <v>2.4686121269851387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18.5</v>
      </c>
      <c r="N98" s="13">
        <f>IF('Données projet'!$A$36&gt;35,N97+M98-V97,IF(A98&lt;'Données projet'!$A$36,$K$205^A98,IF(A98='Données projet'!$A$36,'Données projet'!$B$36,N97+M98-V97)))</f>
        <v>582.99999999999989</v>
      </c>
      <c r="O98" s="13">
        <f>N98*VLOOKUP('Données projet'!$B$9,Paramètres!$A$1:$I$89,3,0)*VLOOKUP('Données projet'!$B$9,Paramètres!$A$1:$I$89,5,0)</f>
        <v>272.84399999999994</v>
      </c>
      <c r="P98" s="13">
        <f t="shared" si="87"/>
        <v>65.452469296244189</v>
      </c>
      <c r="Q98" s="20">
        <f t="shared" si="54"/>
        <v>589.19968402429186</v>
      </c>
      <c r="R98" s="59">
        <f t="shared" si="55"/>
        <v>882.53301735762511</v>
      </c>
      <c r="S98" s="59">
        <f ca="1">AVERAGE(OFFSET($R$3,0,0,'Données projet'!$E$9+1,1))-AVERAGE(OFFSET($H$3,0,0,'Données projet'!$E$9+1,1))</f>
        <v>319.22903094674564</v>
      </c>
      <c r="T98" s="59">
        <f t="shared" si="88"/>
        <v>254.58690973142848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2.5052252395256476</v>
      </c>
      <c r="AA98" s="21">
        <f>EXP(-LN(2)/25)*AA97+(1-EXP(-LN(2)/25))/(LN(2)/25)*Calculateur!V98*Calculateur!X98*VLOOKUP('Données projet'!$B$9,Paramètres!$A$1:$I$89,3,0)*0.475*44/12</f>
        <v>1.8392819051855096</v>
      </c>
      <c r="AB98" s="21">
        <f>EXP(-LN(2)/2)*AB97+(1-EXP(-LN(2)/2))/(LN(2)/2)*V98*Y98*VLOOKUP('Données projet'!$B$9,Paramètres!$A$1:$I$89,3,0)*0.475*44/12</f>
        <v>1.8180979297970966E-9</v>
      </c>
      <c r="AC98" s="22">
        <f t="shared" si="57"/>
        <v>4.3445071465292546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-3.4106051316484809E-13</v>
      </c>
      <c r="AJ98" s="13">
        <f>AI98*VLOOKUP('Données projet'!$B$10,Paramètres!$A$1:$I$89,3,0)*VLOOKUP('Données projet'!$B$10,Paramètres!$A$1:$I$89,5,0)</f>
        <v>-1.9065282685915009E-13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544.48194192356823</v>
      </c>
      <c r="AO98" s="59">
        <f t="shared" si="90"/>
        <v>668.20427590250733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2.0263742249724528</v>
      </c>
      <c r="AV98" s="21">
        <f>EXP(-LN(2)/25)*AV97+(1-EXP(-LN(2)/25))/(LN(2)/25)*Calculateur!AQ98*Calculateur!AS98*VLOOKUP('Données projet'!$B$10,Paramètres!$A$1:$I$89,3,0)*0.475*44/12</f>
        <v>7.0283957644304147</v>
      </c>
      <c r="AW98" s="21">
        <f>EXP(-LN(2)/2)*AW97+(1-EXP(-LN(2)/2))/(LN(2)/2)*AQ98*AT98*VLOOKUP('Données projet'!$B$10,Paramètres!$A$1:$I$89,3,0)*0.475*44/12</f>
        <v>2.3737167255736942E-9</v>
      </c>
      <c r="AX98" s="21">
        <f t="shared" si="60"/>
        <v>9.0547699917765847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>
        <f>VLOOKUP(A98,'Données projet'!$A$87:$I$107,2,0)</f>
        <v>333</v>
      </c>
      <c r="BB98" s="12">
        <f>VLOOKUP(A98,'Données projet'!$A$87:$I$107,9,0)</f>
        <v>6.2</v>
      </c>
      <c r="BC98" s="12">
        <f t="array" ref="BC98">INDEX(BB:BB,MIN(IF(ISNUMBER(BB98:BB294),ROW(BB98:BB294),"")))</f>
        <v>6.2</v>
      </c>
      <c r="BD98" s="12">
        <f>IF('Données projet'!$A$88&gt;35,BD97+BC98-BL97,IF(A98&lt;'Données projet'!$A$88,$BA$205^A98,IF(A98='Données projet'!$A$88,'Données projet'!$B$88,BD97+BC98-BL97)))</f>
        <v>332.99999999999989</v>
      </c>
      <c r="BE98" s="13">
        <f>BD98*VLOOKUP('Données projet'!$B$11,Paramètres!$A$1:$I$89,3,0)*VLOOKUP('Données projet'!$B$11,Paramètres!$A$1:$I$89,5,0)</f>
        <v>301.2983999999999</v>
      </c>
      <c r="BF98" s="13">
        <f t="shared" si="91"/>
        <v>71.448589534990518</v>
      </c>
      <c r="BG98" s="20">
        <f t="shared" si="61"/>
        <v>649.20100677344158</v>
      </c>
      <c r="BH98" s="59">
        <f t="shared" si="62"/>
        <v>942.53434010677483</v>
      </c>
      <c r="BI98" s="59">
        <f ca="1">AVERAGE(OFFSET($BH$3,0,0,'Données projet'!$E$11+1,1))-AVERAGE(OFFSET($H$3,0,0,'Données projet'!$E$11+1,1))</f>
        <v>405.7176439604217</v>
      </c>
      <c r="BJ98" s="59">
        <f t="shared" si="92"/>
        <v>278.21741231699929</v>
      </c>
      <c r="BK98" s="15">
        <f>IF(ISNA(VLOOKUP(A98,'Données projet'!$A$87:$I$107,3,0)),0,VLOOKUP(A98,'Données projet'!$A$87:$I$107,3,0))</f>
        <v>16</v>
      </c>
      <c r="BL98" s="15">
        <f>IF(ISNA(VLOOKUP(A98,'Données projet'!$A$87:$I$107,4,0)),0,VLOOKUP(A98,'Données projet'!$A$87:$I$107,4,0))</f>
        <v>28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2.0172942467699833</v>
      </c>
      <c r="BQ98" s="21">
        <f>EXP(-LN(2)/25)*BQ97+(1-EXP(-LN(2)/25))/(LN(2)/25)*Calculateur!BL98*Calculateur!BN98*VLOOKUP('Données projet'!$B$11,Paramètres!$A$1:$I$89,3,0)*0.475*44/12</f>
        <v>1.5446103734731751</v>
      </c>
      <c r="BR98" s="21">
        <f>EXP(-LN(2)/2)*BR97+(1-EXP(-LN(2)/2))/(LN(2)/2)*BL98*BO98*VLOOKUP('Données projet'!$B$11,Paramètres!$A$1:$I$89,3,0)*0.475*44/12</f>
        <v>1.4051417820650693E-9</v>
      </c>
      <c r="BS98" s="22">
        <f t="shared" si="63"/>
        <v>3.5619046216483001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>
        <f>VLOOKUP(A98,'Données projet'!$A$113:$I$133,2,0)</f>
        <v>270</v>
      </c>
      <c r="BW98" s="12">
        <f>VLOOKUP(A98,'Données projet'!$A$113:$I$133,9,0)</f>
        <v>3.2</v>
      </c>
      <c r="BX98" s="12">
        <f t="array" ref="BX98">INDEX(BW:BW,MIN(IF(ISNUMBER(BW98:BW294),ROW(BW98:BW294),"")))</f>
        <v>3.2</v>
      </c>
      <c r="BY98" s="12">
        <f>IF('Données projet'!$A$114&gt;35,BY97+BX98-CG97,IF(A98&lt;'Données projet'!$A$114,$BV$205^A98,IF(A98='Données projet'!$A$114,'Données projet'!$B$114,BY97+BX98-CG97)))</f>
        <v>269.99999999999989</v>
      </c>
      <c r="BZ98" s="13">
        <f>BY98*VLOOKUP('Données projet'!$B$12,Paramètres!$A$1:$I$89,3,0)*VLOOKUP('Données projet'!$B$12,Paramètres!$A$1:$I$89,5,0)</f>
        <v>235.87199999999996</v>
      </c>
      <c r="CA98" s="13">
        <f t="shared" si="93"/>
        <v>57.550476347015277</v>
      </c>
      <c r="CB98" s="20">
        <f t="shared" si="64"/>
        <v>511.04414630438487</v>
      </c>
      <c r="CC98" s="59">
        <f t="shared" si="65"/>
        <v>804.37747963771812</v>
      </c>
      <c r="CD98" s="59">
        <f ca="1">AVERAGE(OFFSET($CC$3,0,0,'Données projet'!$E$12+1,1))-AVERAGE(OFFSET($H$3,0,0,'Données projet'!$E$12+1,1))</f>
        <v>381.72225529388083</v>
      </c>
      <c r="CE98" s="59">
        <f t="shared" si="94"/>
        <v>360.05900046417361</v>
      </c>
      <c r="CF98" s="15">
        <f>IF(ISNA(VLOOKUP(A98,'Données projet'!$A$113:$I$133,3,0)),0,VLOOKUP(A98,'Données projet'!$A$113:$I$133,3,0))</f>
        <v>17</v>
      </c>
      <c r="CG98" s="15">
        <f>IF(ISNA(VLOOKUP(A98,'Données projet'!$A$113:$I$133,4,0)),0,VLOOKUP(A98,'Données projet'!$A$113:$I$133,4,0))</f>
        <v>13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1.3281063195498184</v>
      </c>
      <c r="CL98" s="21">
        <f>EXP(-LN(2)/25)*CL97+(1-EXP(-LN(2)/25))/(LN(2)/25)*Calculateur!CG98*Calculateur!CI98*VLOOKUP('Données projet'!$B$12,Paramètres!$A$1:$I$89,3,0)*0.475*44/12</f>
        <v>1.8605325533294521</v>
      </c>
      <c r="CM98" s="21">
        <f>EXP(-LN(2)/2)*CM97+(1-EXP(-LN(2)/2))/(LN(2)/2)*CG98*CJ98*VLOOKUP('Données projet'!$B$12,Paramètres!$A$1:$I$89,3,0)*0.475*44/12</f>
        <v>1.1520422557643927E-9</v>
      </c>
      <c r="CN98" s="22">
        <f t="shared" si="66"/>
        <v>3.1886388740313127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-1.7053025658242404E-13</v>
      </c>
      <c r="CU98" s="17">
        <f>CT98*VLOOKUP('Données projet'!$B$13,Paramètres!$A$1:$I$89,3,0)*VLOOKUP('Données projet'!$B$13,Paramètres!$A$1:$I$89,5,0)</f>
        <v>-1.3567387213697657E-13</v>
      </c>
      <c r="CV98" s="13" t="e">
        <f t="shared" si="95"/>
        <v>#NUM!</v>
      </c>
      <c r="CW98" s="20" t="e">
        <f t="shared" si="67"/>
        <v>#NUM!</v>
      </c>
      <c r="CX98" s="59" t="e">
        <f t="shared" si="68"/>
        <v>#NUM!</v>
      </c>
      <c r="CY98" s="59">
        <f ca="1">AVERAGE(OFFSET($CX$3,0,0,'Données projet'!$E$13+1,1))-AVERAGE(OFFSET($H$3,0,0,'Données projet'!$E$13+1,1))</f>
        <v>299.10536994156814</v>
      </c>
      <c r="CZ98" s="59">
        <f t="shared" si="96"/>
        <v>292.57799203101769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2.324461640902761</v>
      </c>
      <c r="DG98" s="21">
        <f>EXP(-LN(2)/25)*DG97+(1-EXP(-LN(2)/25))/(LN(2)/25)*Calculateur!DB98*Calculateur!DD98*VLOOKUP('Données projet'!$B$13,Paramètres!$A$1:$I$89,3,0)*0.475*44/12</f>
        <v>1.7834390458347706</v>
      </c>
      <c r="DH98" s="21">
        <f>EXP(-LN(2)/2)*DH97+(1-EXP(-LN(2)/2))/(LN(2)/2)*DB98*DE98*VLOOKUP('Données projet'!$B$13,Paramètres!$A$1:$I$89,3,0)*0.475*44/12</f>
        <v>1.4772221095939572E-9</v>
      </c>
      <c r="DI98" s="22">
        <f t="shared" si="69"/>
        <v>4.1079006882147535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2.2737367544323206E-13</v>
      </c>
      <c r="DP98" s="17">
        <f>DO98*VLOOKUP('Données projet'!$B$14,Paramètres!$A$1:$I$89,3,0)*VLOOKUP('Données projet'!$B$14,Paramètres!$A$1:$I$89,5,0)</f>
        <v>1.4897523215040565E-13</v>
      </c>
      <c r="DQ98" s="13">
        <f t="shared" si="97"/>
        <v>2.136562777003313E-12</v>
      </c>
      <c r="DR98" s="20">
        <f t="shared" si="70"/>
        <v>3.9806453659427267E-12</v>
      </c>
      <c r="DS98" s="59">
        <f t="shared" si="71"/>
        <v>293.33333333333729</v>
      </c>
      <c r="DT98" s="59">
        <f ca="1">AVERAGE(OFFSET($DS$3,0,0,'Données projet'!$E$14+1,1))-AVERAGE(OFFSET($H$3,0,0,'Données projet'!$E$14+1,1))</f>
        <v>295.92103934364718</v>
      </c>
      <c r="DU98" s="59">
        <f t="shared" si="98"/>
        <v>304.84379909635476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1.2311570977538187</v>
      </c>
      <c r="EB98" s="21">
        <f>EXP(-LN(2)/25)*EB97+(1-EXP(-LN(2)/25))/(LN(2)/25)*Calculateur!DW98*Calculateur!DY98*VLOOKUP('Données projet'!$B$14,Paramètres!$A$1:$I$89,3,0)*0.475*44/12</f>
        <v>1.1796650069679138</v>
      </c>
      <c r="EC98" s="21">
        <f>EXP(-LN(2)/2)*EC97+(1-EXP(-LN(2)/2))/(LN(2)/2)*DW98*DZ98*VLOOKUP('Données projet'!$B$14,Paramètres!$A$1:$I$89,3,0)*0.475*44/12</f>
        <v>9.4743390748842442E-10</v>
      </c>
      <c r="ED98" s="22">
        <f t="shared" si="72"/>
        <v>2.4108221056691659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18.5</v>
      </c>
      <c r="N99" s="13">
        <f>IF('Données projet'!$A$36&gt;35,N98+M99-V98,IF(A99&lt;'Données projet'!$A$36,$K$205^A99,IF(A99='Données projet'!$A$36,'Données projet'!$B$36,N98+M99-V98)))</f>
        <v>601.49999999999989</v>
      </c>
      <c r="O99" s="13">
        <f>N99*VLOOKUP('Données projet'!$B$9,Paramètres!$A$1:$I$89,3,0)*VLOOKUP('Données projet'!$B$9,Paramètres!$A$1:$I$89,5,0)</f>
        <v>281.50199999999995</v>
      </c>
      <c r="P99" s="13">
        <f t="shared" si="87"/>
        <v>67.28432575810065</v>
      </c>
      <c r="Q99" s="20">
        <f t="shared" ref="Q99:Q130" si="107">(O99+P99)*0.475*44/12</f>
        <v>607.46951736202516</v>
      </c>
      <c r="R99" s="59">
        <f t="shared" si="55"/>
        <v>900.80285069535853</v>
      </c>
      <c r="S99" s="59">
        <f ca="1">AVERAGE(OFFSET($R$3,0,0,'Données projet'!$E$9+1,1))-AVERAGE(OFFSET($H$3,0,0,'Données projet'!$E$9+1,1))</f>
        <v>319.22903094674564</v>
      </c>
      <c r="T99" s="59">
        <f t="shared" si="88"/>
        <v>254.58690973142848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2.4560993006150649</v>
      </c>
      <c r="AA99" s="21">
        <f>EXP(-LN(2)/25)*AA98+(1-EXP(-LN(2)/25))/(LN(2)/25)*Calculateur!V99*Calculateur!X99*VLOOKUP('Données projet'!$B$9,Paramètres!$A$1:$I$89,3,0)*0.475*44/12</f>
        <v>1.7889866447645801</v>
      </c>
      <c r="AB99" s="21">
        <f>EXP(-LN(2)/2)*AB98+(1-EXP(-LN(2)/2))/(LN(2)/2)*V99*Y99*VLOOKUP('Données projet'!$B$9,Paramètres!$A$1:$I$89,3,0)*0.475*44/12</f>
        <v>1.2855893750207508E-9</v>
      </c>
      <c r="AC99" s="22">
        <f t="shared" si="57"/>
        <v>4.2450859466652346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-3.4106051316484809E-13</v>
      </c>
      <c r="AJ99" s="13">
        <f>AI99*VLOOKUP('Données projet'!$B$10,Paramètres!$A$1:$I$89,3,0)*VLOOKUP('Données projet'!$B$10,Paramètres!$A$1:$I$89,5,0)</f>
        <v>-1.9065282685915009E-13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544.48194192356823</v>
      </c>
      <c r="AO99" s="59">
        <f t="shared" si="90"/>
        <v>668.20427590250733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1.9866382623869787</v>
      </c>
      <c r="AV99" s="21">
        <f>EXP(-LN(2)/25)*AV98+(1-EXP(-LN(2)/25))/(LN(2)/25)*Calculateur!AQ99*Calculateur!AS99*VLOOKUP('Données projet'!$B$10,Paramètres!$A$1:$I$89,3,0)*0.475*44/12</f>
        <v>6.8362039126447955</v>
      </c>
      <c r="AW99" s="21">
        <f>EXP(-LN(2)/2)*AW98+(1-EXP(-LN(2)/2))/(LN(2)/2)*AQ99*AT99*VLOOKUP('Données projet'!$B$10,Paramètres!$A$1:$I$89,3,0)*0.475*44/12</f>
        <v>1.6784711932690863E-9</v>
      </c>
      <c r="AX99" s="21">
        <f t="shared" si="60"/>
        <v>8.8228421767102443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5.6</v>
      </c>
      <c r="BD99" s="12">
        <f>IF('Données projet'!$A$88&gt;35,BD98+BC99-BL98,IF(A99&lt;'Données projet'!$A$88,$BA$205^A99,IF(A99='Données projet'!$A$88,'Données projet'!$B$88,BD98+BC99-BL98)))</f>
        <v>310.59999999999991</v>
      </c>
      <c r="BE99" s="13">
        <f>BD99*VLOOKUP('Données projet'!$B$11,Paramètres!$A$1:$I$89,3,0)*VLOOKUP('Données projet'!$B$11,Paramètres!$A$1:$I$89,5,0)</f>
        <v>281.03087999999991</v>
      </c>
      <c r="BF99" s="13">
        <f t="shared" si="91"/>
        <v>67.184816842275467</v>
      </c>
      <c r="BG99" s="20">
        <f t="shared" si="61"/>
        <v>606.4756720002963</v>
      </c>
      <c r="BH99" s="59">
        <f t="shared" si="62"/>
        <v>899.80900533362956</v>
      </c>
      <c r="BI99" s="59">
        <f ca="1">AVERAGE(OFFSET($BH$3,0,0,'Données projet'!$E$11+1,1))-AVERAGE(OFFSET($H$3,0,0,'Données projet'!$E$11+1,1))</f>
        <v>405.7176439604217</v>
      </c>
      <c r="BJ99" s="59">
        <f t="shared" si="92"/>
        <v>278.21741231699929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1.9777363370188197</v>
      </c>
      <c r="BQ99" s="21">
        <f>EXP(-LN(2)/25)*BQ98+(1-EXP(-LN(2)/25))/(LN(2)/25)*Calculateur!BL99*Calculateur!BN99*VLOOKUP('Données projet'!$B$11,Paramètres!$A$1:$I$89,3,0)*0.475*44/12</f>
        <v>1.5023729215830219</v>
      </c>
      <c r="BR99" s="21">
        <f>EXP(-LN(2)/2)*BR98+(1-EXP(-LN(2)/2))/(LN(2)/2)*BL99*BO99*VLOOKUP('Données projet'!$B$11,Paramètres!$A$1:$I$89,3,0)*0.475*44/12</f>
        <v>9.9358528262676037E-10</v>
      </c>
      <c r="BS99" s="22">
        <f t="shared" si="63"/>
        <v>3.4801092595954271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3.2</v>
      </c>
      <c r="BY99" s="12">
        <f>IF('Données projet'!$A$114&gt;35,BY98+BX99-CG98,IF(A99&lt;'Données projet'!$A$114,$BV$205^A99,IF(A99='Données projet'!$A$114,'Données projet'!$B$114,BY98+BX99-CG98)))</f>
        <v>260.19999999999987</v>
      </c>
      <c r="BZ99" s="13">
        <f>BY99*VLOOKUP('Données projet'!$B$12,Paramètres!$A$1:$I$89,3,0)*VLOOKUP('Données projet'!$B$12,Paramètres!$A$1:$I$89,5,0)</f>
        <v>227.31071999999989</v>
      </c>
      <c r="CA99" s="13">
        <f t="shared" si="93"/>
        <v>55.700798883800765</v>
      </c>
      <c r="CB99" s="20">
        <f t="shared" si="64"/>
        <v>492.91172872261944</v>
      </c>
      <c r="CC99" s="59">
        <f t="shared" si="65"/>
        <v>786.24506205595276</v>
      </c>
      <c r="CD99" s="59">
        <f ca="1">AVERAGE(OFFSET($CC$3,0,0,'Données projet'!$E$12+1,1))-AVERAGE(OFFSET($H$3,0,0,'Données projet'!$E$12+1,1))</f>
        <v>381.72225529388083</v>
      </c>
      <c r="CE99" s="59">
        <f t="shared" si="94"/>
        <v>360.05900046417361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1.3020629646883142</v>
      </c>
      <c r="CL99" s="21">
        <f>EXP(-LN(2)/25)*CL98+(1-EXP(-LN(2)/25))/(LN(2)/25)*Calculateur!CG99*Calculateur!CI99*VLOOKUP('Données projet'!$B$12,Paramètres!$A$1:$I$89,3,0)*0.475*44/12</f>
        <v>1.8096561928175037</v>
      </c>
      <c r="CM99" s="21">
        <f>EXP(-LN(2)/2)*CM98+(1-EXP(-LN(2)/2))/(LN(2)/2)*CG99*CJ99*VLOOKUP('Données projet'!$B$12,Paramètres!$A$1:$I$89,3,0)*0.475*44/12</f>
        <v>8.1461689126444909E-10</v>
      </c>
      <c r="CN99" s="22">
        <f t="shared" si="66"/>
        <v>3.1117191583204349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-1.7053025658242404E-13</v>
      </c>
      <c r="CU99" s="17">
        <f>CT99*VLOOKUP('Données projet'!$B$13,Paramètres!$A$1:$I$89,3,0)*VLOOKUP('Données projet'!$B$13,Paramètres!$A$1:$I$89,5,0)</f>
        <v>-1.3567387213697657E-13</v>
      </c>
      <c r="CV99" s="13" t="e">
        <f t="shared" si="95"/>
        <v>#NUM!</v>
      </c>
      <c r="CW99" s="20" t="e">
        <f t="shared" si="67"/>
        <v>#NUM!</v>
      </c>
      <c r="CX99" s="59" t="e">
        <f t="shared" si="68"/>
        <v>#NUM!</v>
      </c>
      <c r="CY99" s="59">
        <f ca="1">AVERAGE(OFFSET($CX$3,0,0,'Données projet'!$E$13+1,1))-AVERAGE(OFFSET($H$3,0,0,'Données projet'!$E$13+1,1))</f>
        <v>299.10536994156814</v>
      </c>
      <c r="CZ99" s="59">
        <f t="shared" si="96"/>
        <v>292.57799203101769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2.2788803659062644</v>
      </c>
      <c r="DG99" s="21">
        <f>EXP(-LN(2)/25)*DG98+(1-EXP(-LN(2)/25))/(LN(2)/25)*Calculateur!DB99*Calculateur!DD99*VLOOKUP('Données projet'!$B$13,Paramètres!$A$1:$I$89,3,0)*0.475*44/12</f>
        <v>1.7346708113394356</v>
      </c>
      <c r="DH99" s="21">
        <f>EXP(-LN(2)/2)*DH98+(1-EXP(-LN(2)/2))/(LN(2)/2)*DB99*DE99*VLOOKUP('Données projet'!$B$13,Paramètres!$A$1:$I$89,3,0)*0.475*44/12</f>
        <v>1.0445537710125844E-9</v>
      </c>
      <c r="DI99" s="22">
        <f t="shared" si="69"/>
        <v>4.0135511782902542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2.2737367544323206E-13</v>
      </c>
      <c r="DP99" s="17">
        <f>DO99*VLOOKUP('Données projet'!$B$14,Paramètres!$A$1:$I$89,3,0)*VLOOKUP('Données projet'!$B$14,Paramètres!$A$1:$I$89,5,0)</f>
        <v>1.4897523215040565E-13</v>
      </c>
      <c r="DQ99" s="13">
        <f t="shared" si="97"/>
        <v>2.136562777003313E-12</v>
      </c>
      <c r="DR99" s="20">
        <f t="shared" si="70"/>
        <v>3.9806453659427267E-12</v>
      </c>
      <c r="DS99" s="59">
        <f t="shared" si="71"/>
        <v>293.33333333333729</v>
      </c>
      <c r="DT99" s="59">
        <f ca="1">AVERAGE(OFFSET($DS$3,0,0,'Données projet'!$E$14+1,1))-AVERAGE(OFFSET($H$3,0,0,'Données projet'!$E$14+1,1))</f>
        <v>295.92103934364718</v>
      </c>
      <c r="DU99" s="59">
        <f t="shared" si="98"/>
        <v>304.84379909635476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1.2070148579985476</v>
      </c>
      <c r="EB99" s="21">
        <f>EXP(-LN(2)/25)*EB98+(1-EXP(-LN(2)/25))/(LN(2)/25)*Calculateur!DW99*Calculateur!DY99*VLOOKUP('Données projet'!$B$14,Paramètres!$A$1:$I$89,3,0)*0.475*44/12</f>
        <v>1.1474070053164895</v>
      </c>
      <c r="EC99" s="21">
        <f>EXP(-LN(2)/2)*EC98+(1-EXP(-LN(2)/2))/(LN(2)/2)*DW99*DZ99*VLOOKUP('Données projet'!$B$14,Paramètres!$A$1:$I$89,3,0)*0.475*44/12</f>
        <v>6.6993694071113305E-10</v>
      </c>
      <c r="ED99" s="22">
        <f t="shared" si="72"/>
        <v>2.3544218639849741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18.5</v>
      </c>
      <c r="N100" s="13">
        <f>IF('Données projet'!$A$36&gt;35,N99+M100-V99,IF(A100&lt;'Données projet'!$A$36,$K$205^A100,IF(A100='Données projet'!$A$36,'Données projet'!$B$36,N99+M100-V99)))</f>
        <v>619.99999999999989</v>
      </c>
      <c r="O100" s="13">
        <f>N100*VLOOKUP('Données projet'!$B$9,Paramètres!$A$1:$I$89,3,0)*VLOOKUP('Données projet'!$B$9,Paramètres!$A$1:$I$89,5,0)</f>
        <v>290.15999999999997</v>
      </c>
      <c r="P100" s="13">
        <f t="shared" si="87"/>
        <v>69.109634717039938</v>
      </c>
      <c r="Q100" s="20">
        <f t="shared" si="107"/>
        <v>625.72794713217797</v>
      </c>
      <c r="R100" s="59">
        <f t="shared" si="55"/>
        <v>919.06128046551135</v>
      </c>
      <c r="S100" s="59">
        <f ca="1">AVERAGE(OFFSET($R$3,0,0,'Données projet'!$E$9+1,1))-AVERAGE(OFFSET($H$3,0,0,'Données projet'!$E$9+1,1))</f>
        <v>319.22903094674564</v>
      </c>
      <c r="T100" s="59">
        <f t="shared" si="88"/>
        <v>254.58690973142848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2.4079366914026545</v>
      </c>
      <c r="AA100" s="21">
        <f>EXP(-LN(2)/25)*AA99+(1-EXP(-LN(2)/25))/(LN(2)/25)*Calculateur!V100*Calculateur!X100*VLOOKUP('Données projet'!$B$9,Paramètres!$A$1:$I$89,3,0)*0.475*44/12</f>
        <v>1.7400667108847738</v>
      </c>
      <c r="AB100" s="21">
        <f>EXP(-LN(2)/2)*AB99+(1-EXP(-LN(2)/2))/(LN(2)/2)*V100*Y100*VLOOKUP('Données projet'!$B$9,Paramètres!$A$1:$I$89,3,0)*0.475*44/12</f>
        <v>9.0904896489854849E-10</v>
      </c>
      <c r="AC100" s="22">
        <f t="shared" si="57"/>
        <v>4.1480034031964772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-3.4106051316484809E-13</v>
      </c>
      <c r="AJ100" s="13">
        <f>AI100*VLOOKUP('Données projet'!$B$10,Paramètres!$A$1:$I$89,3,0)*VLOOKUP('Données projet'!$B$10,Paramètres!$A$1:$I$89,5,0)</f>
        <v>-1.9065282685915009E-13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544.48194192356823</v>
      </c>
      <c r="AO100" s="59">
        <f t="shared" si="90"/>
        <v>668.20427590250733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1.9476814977912618</v>
      </c>
      <c r="AV100" s="21">
        <f>EXP(-LN(2)/25)*AV99+(1-EXP(-LN(2)/25))/(LN(2)/25)*Calculateur!AQ100*Calculateur!AS100*VLOOKUP('Données projet'!$B$10,Paramètres!$A$1:$I$89,3,0)*0.475*44/12</f>
        <v>6.6492675571531841</v>
      </c>
      <c r="AW100" s="21">
        <f>EXP(-LN(2)/2)*AW99+(1-EXP(-LN(2)/2))/(LN(2)/2)*AQ100*AT100*VLOOKUP('Données projet'!$B$10,Paramètres!$A$1:$I$89,3,0)*0.475*44/12</f>
        <v>1.1868583627868471E-9</v>
      </c>
      <c r="AX100" s="21">
        <f t="shared" si="60"/>
        <v>8.5969490561313044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5.6</v>
      </c>
      <c r="BD100" s="12">
        <f>IF('Données projet'!$A$88&gt;35,BD99+BC100-BL99,IF(A100&lt;'Données projet'!$A$88,$BA$205^A100,IF(A100='Données projet'!$A$88,'Données projet'!$B$88,BD99+BC100-BL99)))</f>
        <v>316.19999999999993</v>
      </c>
      <c r="BE100" s="13">
        <f>BD100*VLOOKUP('Données projet'!$B$11,Paramètres!$A$1:$I$89,3,0)*VLOOKUP('Données projet'!$B$11,Paramètres!$A$1:$I$89,5,0)</f>
        <v>286.09775999999994</v>
      </c>
      <c r="BF100" s="13">
        <f t="shared" si="91"/>
        <v>68.254020651723678</v>
      </c>
      <c r="BG100" s="20">
        <f t="shared" si="61"/>
        <v>617.16268463508527</v>
      </c>
      <c r="BH100" s="59">
        <f t="shared" si="62"/>
        <v>910.49601796841853</v>
      </c>
      <c r="BI100" s="59">
        <f ca="1">AVERAGE(OFFSET($BH$3,0,0,'Données projet'!$E$11+1,1))-AVERAGE(OFFSET($H$3,0,0,'Données projet'!$E$11+1,1))</f>
        <v>405.7176439604217</v>
      </c>
      <c r="BJ100" s="59">
        <f t="shared" si="92"/>
        <v>278.21741231699929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1.9389541337499339</v>
      </c>
      <c r="BQ100" s="21">
        <f>EXP(-LN(2)/25)*BQ99+(1-EXP(-LN(2)/25))/(LN(2)/25)*Calculateur!BL100*Calculateur!BN100*VLOOKUP('Données projet'!$B$11,Paramètres!$A$1:$I$89,3,0)*0.475*44/12</f>
        <v>1.461290455035976</v>
      </c>
      <c r="BR100" s="21">
        <f>EXP(-LN(2)/2)*BR99+(1-EXP(-LN(2)/2))/(LN(2)/2)*BL100*BO100*VLOOKUP('Données projet'!$B$11,Paramètres!$A$1:$I$89,3,0)*0.475*44/12</f>
        <v>7.0257089103253463E-10</v>
      </c>
      <c r="BS100" s="22">
        <f t="shared" si="63"/>
        <v>3.4002445894884805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3.2</v>
      </c>
      <c r="BY100" s="12">
        <f>IF('Données projet'!$A$114&gt;35,BY99+BX100-CG99,IF(A100&lt;'Données projet'!$A$114,$BV$205^A100,IF(A100='Données projet'!$A$114,'Données projet'!$B$114,BY99+BX100-CG99)))</f>
        <v>263.39999999999986</v>
      </c>
      <c r="BZ100" s="13">
        <f>BY100*VLOOKUP('Données projet'!$B$12,Paramètres!$A$1:$I$89,3,0)*VLOOKUP('Données projet'!$B$12,Paramètres!$A$1:$I$89,5,0)</f>
        <v>230.1062399999999</v>
      </c>
      <c r="CA100" s="13">
        <f t="shared" si="93"/>
        <v>56.30565248558618</v>
      </c>
      <c r="CB100" s="20">
        <f t="shared" si="64"/>
        <v>498.83404607906238</v>
      </c>
      <c r="CC100" s="59">
        <f t="shared" si="65"/>
        <v>792.16737941239569</v>
      </c>
      <c r="CD100" s="59">
        <f ca="1">AVERAGE(OFFSET($CC$3,0,0,'Données projet'!$E$12+1,1))-AVERAGE(OFFSET($H$3,0,0,'Données projet'!$E$12+1,1))</f>
        <v>381.72225529388083</v>
      </c>
      <c r="CE100" s="59">
        <f t="shared" si="94"/>
        <v>360.05900046417361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1.2765303041307661</v>
      </c>
      <c r="CL100" s="21">
        <f>EXP(-LN(2)/25)*CL99+(1-EXP(-LN(2)/25))/(LN(2)/25)*Calculateur!CG100*Calculateur!CI100*VLOOKUP('Données projet'!$B$12,Paramètres!$A$1:$I$89,3,0)*0.475*44/12</f>
        <v>1.7601710490592259</v>
      </c>
      <c r="CM100" s="21">
        <f>EXP(-LN(2)/2)*CM99+(1-EXP(-LN(2)/2))/(LN(2)/2)*CG100*CJ100*VLOOKUP('Données projet'!$B$12,Paramètres!$A$1:$I$89,3,0)*0.475*44/12</f>
        <v>5.7602112788219637E-10</v>
      </c>
      <c r="CN100" s="22">
        <f t="shared" si="66"/>
        <v>3.0367013537660128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-1.7053025658242404E-13</v>
      </c>
      <c r="CU100" s="17">
        <f>CT100*VLOOKUP('Données projet'!$B$13,Paramètres!$A$1:$I$89,3,0)*VLOOKUP('Données projet'!$B$13,Paramètres!$A$1:$I$89,5,0)</f>
        <v>-1.3567387213697657E-13</v>
      </c>
      <c r="CV100" s="13" t="e">
        <f t="shared" si="95"/>
        <v>#NUM!</v>
      </c>
      <c r="CW100" s="20" t="e">
        <f t="shared" si="67"/>
        <v>#NUM!</v>
      </c>
      <c r="CX100" s="59" t="e">
        <f t="shared" si="68"/>
        <v>#NUM!</v>
      </c>
      <c r="CY100" s="59">
        <f ca="1">AVERAGE(OFFSET($CX$3,0,0,'Données projet'!$E$13+1,1))-AVERAGE(OFFSET($H$3,0,0,'Données projet'!$E$13+1,1))</f>
        <v>299.10536994156814</v>
      </c>
      <c r="CZ100" s="59">
        <f t="shared" si="96"/>
        <v>292.57799203101769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2.2341929119106165</v>
      </c>
      <c r="DG100" s="21">
        <f>EXP(-LN(2)/25)*DG99+(1-EXP(-LN(2)/25))/(LN(2)/25)*Calculateur!DB100*Calculateur!DD100*VLOOKUP('Données projet'!$B$13,Paramètres!$A$1:$I$89,3,0)*0.475*44/12</f>
        <v>1.6872361467809853</v>
      </c>
      <c r="DH100" s="21">
        <f>EXP(-LN(2)/2)*DH99+(1-EXP(-LN(2)/2))/(LN(2)/2)*DB100*DE100*VLOOKUP('Données projet'!$B$13,Paramètres!$A$1:$I$89,3,0)*0.475*44/12</f>
        <v>7.3861105479697859E-10</v>
      </c>
      <c r="DI100" s="22">
        <f t="shared" si="69"/>
        <v>3.9214290594302126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2.2737367544323206E-13</v>
      </c>
      <c r="DP100" s="17">
        <f>DO100*VLOOKUP('Données projet'!$B$14,Paramètres!$A$1:$I$89,3,0)*VLOOKUP('Données projet'!$B$14,Paramètres!$A$1:$I$89,5,0)</f>
        <v>1.4897523215040565E-13</v>
      </c>
      <c r="DQ100" s="13">
        <f t="shared" si="97"/>
        <v>2.136562777003313E-12</v>
      </c>
      <c r="DR100" s="20">
        <f t="shared" si="70"/>
        <v>3.9806453659427267E-12</v>
      </c>
      <c r="DS100" s="59">
        <f t="shared" si="71"/>
        <v>293.33333333333729</v>
      </c>
      <c r="DT100" s="59">
        <f ca="1">AVERAGE(OFFSET($DS$3,0,0,'Données projet'!$E$14+1,1))-AVERAGE(OFFSET($H$3,0,0,'Données projet'!$E$14+1,1))</f>
        <v>295.92103934364718</v>
      </c>
      <c r="DU100" s="59">
        <f t="shared" si="98"/>
        <v>304.84379909635476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1.1833460328395651</v>
      </c>
      <c r="EB100" s="21">
        <f>EXP(-LN(2)/25)*EB99+(1-EXP(-LN(2)/25))/(LN(2)/25)*Calculateur!DW100*Calculateur!DY100*VLOOKUP('Données projet'!$B$14,Paramètres!$A$1:$I$89,3,0)*0.475*44/12</f>
        <v>1.1160311004165981</v>
      </c>
      <c r="EC100" s="21">
        <f>EXP(-LN(2)/2)*EC99+(1-EXP(-LN(2)/2))/(LN(2)/2)*DW100*DZ100*VLOOKUP('Données projet'!$B$14,Paramètres!$A$1:$I$89,3,0)*0.475*44/12</f>
        <v>4.7371695374421221E-10</v>
      </c>
      <c r="ED100" s="22">
        <f t="shared" si="72"/>
        <v>2.2993771337298803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18.5</v>
      </c>
      <c r="N101" s="13">
        <f>IF('Données projet'!$A$36&gt;35,N100+M101-V100,IF(A101&lt;'Données projet'!$A$36,$K$205^A101,IF(A101='Données projet'!$A$36,'Données projet'!$B$36,N100+M101-V100)))</f>
        <v>638.49999999999989</v>
      </c>
      <c r="O101" s="13">
        <f>N101*VLOOKUP('Données projet'!$B$9,Paramètres!$A$1:$I$89,3,0)*VLOOKUP('Données projet'!$B$9,Paramètres!$A$1:$I$89,5,0)</f>
        <v>298.81799999999993</v>
      </c>
      <c r="P101" s="13">
        <f t="shared" si="87"/>
        <v>70.928613970256563</v>
      </c>
      <c r="Q101" s="20">
        <f t="shared" si="107"/>
        <v>643.97535266486341</v>
      </c>
      <c r="R101" s="59">
        <f t="shared" si="55"/>
        <v>937.30868599819678</v>
      </c>
      <c r="S101" s="59">
        <f ca="1">AVERAGE(OFFSET($R$3,0,0,'Données projet'!$E$9+1,1))-AVERAGE(OFFSET($H$3,0,0,'Données projet'!$E$9+1,1))</f>
        <v>319.22903094674564</v>
      </c>
      <c r="T101" s="59">
        <f t="shared" si="88"/>
        <v>254.58690973142848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2.3607185215806084</v>
      </c>
      <c r="AA101" s="21">
        <f>EXP(-LN(2)/25)*AA100+(1-EXP(-LN(2)/25))/(LN(2)/25)*Calculateur!V101*Calculateur!X101*VLOOKUP('Données projet'!$B$9,Paramètres!$A$1:$I$89,3,0)*0.475*44/12</f>
        <v>1.6924844951694984</v>
      </c>
      <c r="AB101" s="21">
        <f>EXP(-LN(2)/2)*AB100+(1-EXP(-LN(2)/2))/(LN(2)/2)*V101*Y101*VLOOKUP('Données projet'!$B$9,Paramètres!$A$1:$I$89,3,0)*0.475*44/12</f>
        <v>6.4279468751037549E-10</v>
      </c>
      <c r="AC101" s="22">
        <f t="shared" si="57"/>
        <v>4.0532030173929012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-3.4106051316484809E-13</v>
      </c>
      <c r="AJ101" s="13">
        <f>AI101*VLOOKUP('Données projet'!$B$10,Paramètres!$A$1:$I$89,3,0)*VLOOKUP('Données projet'!$B$10,Paramètres!$A$1:$I$89,5,0)</f>
        <v>-1.9065282685915009E-13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544.48194192356823</v>
      </c>
      <c r="AO101" s="59">
        <f t="shared" si="90"/>
        <v>668.20427590250733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1.9094886515879865</v>
      </c>
      <c r="AV101" s="21">
        <f>EXP(-LN(2)/25)*AV100+(1-EXP(-LN(2)/25))/(LN(2)/25)*Calculateur!AQ101*Calculateur!AS101*VLOOKUP('Données projet'!$B$10,Paramètres!$A$1:$I$89,3,0)*0.475*44/12</f>
        <v>6.4674429861330465</v>
      </c>
      <c r="AW101" s="21">
        <f>EXP(-LN(2)/2)*AW100+(1-EXP(-LN(2)/2))/(LN(2)/2)*AQ101*AT101*VLOOKUP('Données projet'!$B$10,Paramètres!$A$1:$I$89,3,0)*0.475*44/12</f>
        <v>8.3923559663454313E-10</v>
      </c>
      <c r="AX101" s="21">
        <f t="shared" si="60"/>
        <v>8.3769316385602686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5.6</v>
      </c>
      <c r="BD101" s="12">
        <f>IF('Données projet'!$A$88&gt;35,BD100+BC101-BL100,IF(A101&lt;'Données projet'!$A$88,$BA$205^A101,IF(A101='Données projet'!$A$88,'Données projet'!$B$88,BD100+BC101-BL100)))</f>
        <v>321.79999999999995</v>
      </c>
      <c r="BE101" s="13">
        <f>BD101*VLOOKUP('Données projet'!$B$11,Paramètres!$A$1:$I$89,3,0)*VLOOKUP('Données projet'!$B$11,Paramètres!$A$1:$I$89,5,0)</f>
        <v>291.16463999999991</v>
      </c>
      <c r="BF101" s="13">
        <f t="shared" si="91"/>
        <v>69.321022467464644</v>
      </c>
      <c r="BG101" s="20">
        <f t="shared" si="61"/>
        <v>627.84586213083401</v>
      </c>
      <c r="BH101" s="59">
        <f t="shared" si="62"/>
        <v>921.17919546416738</v>
      </c>
      <c r="BI101" s="59">
        <f ca="1">AVERAGE(OFFSET($BH$3,0,0,'Données projet'!$E$11+1,1))-AVERAGE(OFFSET($H$3,0,0,'Données projet'!$E$11+1,1))</f>
        <v>405.7176439604217</v>
      </c>
      <c r="BJ101" s="59">
        <f t="shared" si="92"/>
        <v>278.21741231699929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1.9009324258323428</v>
      </c>
      <c r="BQ101" s="21">
        <f>EXP(-LN(2)/25)*BQ100+(1-EXP(-LN(2)/25))/(LN(2)/25)*Calculateur!BL101*Calculateur!BN101*VLOOKUP('Données projet'!$B$11,Paramètres!$A$1:$I$89,3,0)*0.475*44/12</f>
        <v>1.4213313906970919</v>
      </c>
      <c r="BR101" s="21">
        <f>EXP(-LN(2)/2)*BR100+(1-EXP(-LN(2)/2))/(LN(2)/2)*BL101*BO101*VLOOKUP('Données projet'!$B$11,Paramètres!$A$1:$I$89,3,0)*0.475*44/12</f>
        <v>4.9679264131338018E-10</v>
      </c>
      <c r="BS101" s="22">
        <f t="shared" si="63"/>
        <v>3.3222638170262275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3.2</v>
      </c>
      <c r="BY101" s="12">
        <f>IF('Données projet'!$A$114&gt;35,BY100+BX101-CG100,IF(A101&lt;'Données projet'!$A$114,$BV$205^A101,IF(A101='Données projet'!$A$114,'Données projet'!$B$114,BY100+BX101-CG100)))</f>
        <v>266.59999999999985</v>
      </c>
      <c r="BZ101" s="13">
        <f>BY101*VLOOKUP('Données projet'!$B$12,Paramètres!$A$1:$I$89,3,0)*VLOOKUP('Données projet'!$B$12,Paramètres!$A$1:$I$89,5,0)</f>
        <v>232.90175999999991</v>
      </c>
      <c r="CA101" s="13">
        <f t="shared" si="93"/>
        <v>56.909651332233828</v>
      </c>
      <c r="CB101" s="20">
        <f t="shared" si="64"/>
        <v>504.7548747369737</v>
      </c>
      <c r="CC101" s="59">
        <f t="shared" si="65"/>
        <v>798.08820807030702</v>
      </c>
      <c r="CD101" s="59">
        <f ca="1">AVERAGE(OFFSET($CC$3,0,0,'Données projet'!$E$12+1,1))-AVERAGE(OFFSET($H$3,0,0,'Données projet'!$E$12+1,1))</f>
        <v>381.72225529388083</v>
      </c>
      <c r="CE101" s="59">
        <f t="shared" si="94"/>
        <v>360.05900046417361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1.2514983234733663</v>
      </c>
      <c r="CL101" s="21">
        <f>EXP(-LN(2)/25)*CL100+(1-EXP(-LN(2)/25))/(LN(2)/25)*Calculateur!CG101*Calculateur!CI101*VLOOKUP('Données projet'!$B$12,Paramètres!$A$1:$I$89,3,0)*0.475*44/12</f>
        <v>1.712039079159329</v>
      </c>
      <c r="CM101" s="21">
        <f>EXP(-LN(2)/2)*CM100+(1-EXP(-LN(2)/2))/(LN(2)/2)*CG101*CJ101*VLOOKUP('Données projet'!$B$12,Paramètres!$A$1:$I$89,3,0)*0.475*44/12</f>
        <v>4.0730844563222455E-10</v>
      </c>
      <c r="CN101" s="22">
        <f t="shared" si="66"/>
        <v>2.9635374030400037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-1.7053025658242404E-13</v>
      </c>
      <c r="CU101" s="17">
        <f>CT101*VLOOKUP('Données projet'!$B$13,Paramètres!$A$1:$I$89,3,0)*VLOOKUP('Données projet'!$B$13,Paramètres!$A$1:$I$89,5,0)</f>
        <v>-1.3567387213697657E-13</v>
      </c>
      <c r="CV101" s="13" t="e">
        <f t="shared" si="95"/>
        <v>#NUM!</v>
      </c>
      <c r="CW101" s="20" t="e">
        <f t="shared" si="67"/>
        <v>#NUM!</v>
      </c>
      <c r="CX101" s="59" t="e">
        <f t="shared" si="68"/>
        <v>#NUM!</v>
      </c>
      <c r="CY101" s="59">
        <f ca="1">AVERAGE(OFFSET($CX$3,0,0,'Données projet'!$E$13+1,1))-AVERAGE(OFFSET($H$3,0,0,'Données projet'!$E$13+1,1))</f>
        <v>299.10536994156814</v>
      </c>
      <c r="CZ101" s="59">
        <f t="shared" si="96"/>
        <v>292.57799203101769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2.1903817516311679</v>
      </c>
      <c r="DG101" s="21">
        <f>EXP(-LN(2)/25)*DG100+(1-EXP(-LN(2)/25))/(LN(2)/25)*Calculateur!DB101*Calculateur!DD101*VLOOKUP('Données projet'!$B$13,Paramètres!$A$1:$I$89,3,0)*0.475*44/12</f>
        <v>1.6410985856193665</v>
      </c>
      <c r="DH101" s="21">
        <f>EXP(-LN(2)/2)*DH100+(1-EXP(-LN(2)/2))/(LN(2)/2)*DB101*DE101*VLOOKUP('Données projet'!$B$13,Paramètres!$A$1:$I$89,3,0)*0.475*44/12</f>
        <v>5.2227688550629219E-10</v>
      </c>
      <c r="DI101" s="22">
        <f t="shared" si="69"/>
        <v>3.8314803377728111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2.2737367544323206E-13</v>
      </c>
      <c r="DP101" s="17">
        <f>DO101*VLOOKUP('Données projet'!$B$14,Paramètres!$A$1:$I$89,3,0)*VLOOKUP('Données projet'!$B$14,Paramètres!$A$1:$I$89,5,0)</f>
        <v>1.4897523215040565E-13</v>
      </c>
      <c r="DQ101" s="13">
        <f t="shared" si="97"/>
        <v>2.136562777003313E-12</v>
      </c>
      <c r="DR101" s="20">
        <f t="shared" si="70"/>
        <v>3.9806453659427267E-12</v>
      </c>
      <c r="DS101" s="59">
        <f t="shared" si="71"/>
        <v>293.33333333333729</v>
      </c>
      <c r="DT101" s="59">
        <f ca="1">AVERAGE(OFFSET($DS$3,0,0,'Données projet'!$E$14+1,1))-AVERAGE(OFFSET($H$3,0,0,'Données projet'!$E$14+1,1))</f>
        <v>295.92103934364718</v>
      </c>
      <c r="DU101" s="59">
        <f t="shared" si="98"/>
        <v>304.84379909635476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1.1601413389053923</v>
      </c>
      <c r="EB101" s="21">
        <f>EXP(-LN(2)/25)*EB100+(1-EXP(-LN(2)/25))/(LN(2)/25)*Calculateur!DW101*Calculateur!DY101*VLOOKUP('Données projet'!$B$14,Paramètres!$A$1:$I$89,3,0)*0.475*44/12</f>
        <v>1.0855131712861814</v>
      </c>
      <c r="EC101" s="21">
        <f>EXP(-LN(2)/2)*EC100+(1-EXP(-LN(2)/2))/(LN(2)/2)*DW101*DZ101*VLOOKUP('Données projet'!$B$14,Paramètres!$A$1:$I$89,3,0)*0.475*44/12</f>
        <v>3.3496847035556652E-10</v>
      </c>
      <c r="ED101" s="22">
        <f t="shared" si="72"/>
        <v>2.245654510526542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18.5</v>
      </c>
      <c r="N102" s="13">
        <f>IF('Données projet'!$A$36&gt;35,N101+M102-V101,IF(A102&lt;'Données projet'!$A$36,$K$205^A102,IF(A102='Données projet'!$A$36,'Données projet'!$B$36,N101+M102-V101)))</f>
        <v>656.99999999999989</v>
      </c>
      <c r="O102" s="13">
        <f>N102*VLOOKUP('Données projet'!$B$9,Paramètres!$A$1:$I$89,3,0)*VLOOKUP('Données projet'!$B$9,Paramètres!$A$1:$I$89,5,0)</f>
        <v>307.47599999999994</v>
      </c>
      <c r="P102" s="13">
        <f t="shared" si="87"/>
        <v>72.741467976269988</v>
      </c>
      <c r="Q102" s="20">
        <f t="shared" si="107"/>
        <v>662.21209005867013</v>
      </c>
      <c r="R102" s="59">
        <f t="shared" si="55"/>
        <v>955.54542339200339</v>
      </c>
      <c r="S102" s="59">
        <f ca="1">AVERAGE(OFFSET($R$3,0,0,'Données projet'!$E$9+1,1))-AVERAGE(OFFSET($H$3,0,0,'Données projet'!$E$9+1,1))</f>
        <v>319.22903094674564</v>
      </c>
      <c r="T102" s="59">
        <f t="shared" si="88"/>
        <v>254.58690973142848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2.3144262712685331</v>
      </c>
      <c r="AA102" s="21">
        <f>EXP(-LN(2)/25)*AA101+(1-EXP(-LN(2)/25))/(LN(2)/25)*Calculateur!V102*Calculateur!X102*VLOOKUP('Données projet'!$B$9,Paramètres!$A$1:$I$89,3,0)*0.475*44/12</f>
        <v>1.6462034176451972</v>
      </c>
      <c r="AB102" s="21">
        <f>EXP(-LN(2)/2)*AB101+(1-EXP(-LN(2)/2))/(LN(2)/2)*V102*Y102*VLOOKUP('Données projet'!$B$9,Paramètres!$A$1:$I$89,3,0)*0.475*44/12</f>
        <v>4.545244824492743E-10</v>
      </c>
      <c r="AC102" s="22">
        <f t="shared" si="57"/>
        <v>3.9606296893682549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-3.4106051316484809E-13</v>
      </c>
      <c r="AJ102" s="13">
        <f>AI102*VLOOKUP('Données projet'!$B$10,Paramètres!$A$1:$I$89,3,0)*VLOOKUP('Données projet'!$B$10,Paramètres!$A$1:$I$89,5,0)</f>
        <v>-1.9065282685915009E-13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544.48194192356823</v>
      </c>
      <c r="AO102" s="59">
        <f t="shared" si="90"/>
        <v>668.20427590250733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1.8720447438034216</v>
      </c>
      <c r="AV102" s="21">
        <f>EXP(-LN(2)/25)*AV101+(1-EXP(-LN(2)/25))/(LN(2)/25)*Calculateur!AQ102*Calculateur!AS102*VLOOKUP('Données projet'!$B$10,Paramètres!$A$1:$I$89,3,0)*0.475*44/12</f>
        <v>6.2905904175691933</v>
      </c>
      <c r="AW102" s="21">
        <f>EXP(-LN(2)/2)*AW101+(1-EXP(-LN(2)/2))/(LN(2)/2)*AQ102*AT102*VLOOKUP('Données projet'!$B$10,Paramètres!$A$1:$I$89,3,0)*0.475*44/12</f>
        <v>5.9342918139342354E-10</v>
      </c>
      <c r="AX102" s="21">
        <f t="shared" si="60"/>
        <v>8.162635161966044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5.6</v>
      </c>
      <c r="BD102" s="12">
        <f>IF('Données projet'!$A$88&gt;35,BD101+BC102-BL101,IF(A102&lt;'Données projet'!$A$88,$BA$205^A102,IF(A102='Données projet'!$A$88,'Données projet'!$B$88,BD101+BC102-BL101)))</f>
        <v>327.39999999999998</v>
      </c>
      <c r="BE102" s="13">
        <f>BD102*VLOOKUP('Données projet'!$B$11,Paramètres!$A$1:$I$89,3,0)*VLOOKUP('Données projet'!$B$11,Paramètres!$A$1:$I$89,5,0)</f>
        <v>296.23151999999993</v>
      </c>
      <c r="BF102" s="13">
        <f t="shared" si="91"/>
        <v>70.385865030263986</v>
      </c>
      <c r="BG102" s="20">
        <f t="shared" si="61"/>
        <v>638.52527892770956</v>
      </c>
      <c r="BH102" s="59">
        <f t="shared" si="62"/>
        <v>931.85861226104294</v>
      </c>
      <c r="BI102" s="59">
        <f ca="1">AVERAGE(OFFSET($BH$3,0,0,'Données projet'!$E$11+1,1))-AVERAGE(OFFSET($H$3,0,0,'Données projet'!$E$11+1,1))</f>
        <v>405.7176439604217</v>
      </c>
      <c r="BJ102" s="59">
        <f t="shared" si="92"/>
        <v>278.21741231699929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1.8636563004160638</v>
      </c>
      <c r="BQ102" s="21">
        <f>EXP(-LN(2)/25)*BQ101+(1-EXP(-LN(2)/25))/(LN(2)/25)*Calculateur!BL102*Calculateur!BN102*VLOOKUP('Données projet'!$B$11,Paramètres!$A$1:$I$89,3,0)*0.475*44/12</f>
        <v>1.3824650090739106</v>
      </c>
      <c r="BR102" s="21">
        <f>EXP(-LN(2)/2)*BR101+(1-EXP(-LN(2)/2))/(LN(2)/2)*BL102*BO102*VLOOKUP('Données projet'!$B$11,Paramètres!$A$1:$I$89,3,0)*0.475*44/12</f>
        <v>3.5128544551626731E-10</v>
      </c>
      <c r="BS102" s="22">
        <f t="shared" si="63"/>
        <v>3.2461213098412602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3.2</v>
      </c>
      <c r="BY102" s="12">
        <f>IF('Données projet'!$A$114&gt;35,BY101+BX102-CG101,IF(A102&lt;'Données projet'!$A$114,$BV$205^A102,IF(A102='Données projet'!$A$114,'Données projet'!$B$114,BY101+BX102-CG101)))</f>
        <v>269.79999999999984</v>
      </c>
      <c r="BZ102" s="13">
        <f>BY102*VLOOKUP('Données projet'!$B$12,Paramètres!$A$1:$I$89,3,0)*VLOOKUP('Données projet'!$B$12,Paramètres!$A$1:$I$89,5,0)</f>
        <v>235.69727999999992</v>
      </c>
      <c r="CA102" s="13">
        <f t="shared" si="93"/>
        <v>57.512806870145788</v>
      </c>
      <c r="CB102" s="20">
        <f t="shared" si="64"/>
        <v>510.67423463217045</v>
      </c>
      <c r="CC102" s="59">
        <f t="shared" si="65"/>
        <v>804.00756796550377</v>
      </c>
      <c r="CD102" s="59">
        <f ca="1">AVERAGE(OFFSET($CC$3,0,0,'Données projet'!$E$12+1,1))-AVERAGE(OFFSET($H$3,0,0,'Données projet'!$E$12+1,1))</f>
        <v>381.72225529388083</v>
      </c>
      <c r="CE102" s="59">
        <f t="shared" si="94"/>
        <v>360.05900046417361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1.2269572046886574</v>
      </c>
      <c r="CL102" s="21">
        <f>EXP(-LN(2)/25)*CL101+(1-EXP(-LN(2)/25))/(LN(2)/25)*Calculateur!CG102*Calculateur!CI102*VLOOKUP('Données projet'!$B$12,Paramètres!$A$1:$I$89,3,0)*0.475*44/12</f>
        <v>1.6652232805074949</v>
      </c>
      <c r="CM102" s="21">
        <f>EXP(-LN(2)/2)*CM101+(1-EXP(-LN(2)/2))/(LN(2)/2)*CG102*CJ102*VLOOKUP('Données projet'!$B$12,Paramètres!$A$1:$I$89,3,0)*0.475*44/12</f>
        <v>2.8801056394109819E-10</v>
      </c>
      <c r="CN102" s="22">
        <f t="shared" si="66"/>
        <v>2.8921804854841628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-1.7053025658242404E-13</v>
      </c>
      <c r="CU102" s="17">
        <f>CT102*VLOOKUP('Données projet'!$B$13,Paramètres!$A$1:$I$89,3,0)*VLOOKUP('Données projet'!$B$13,Paramètres!$A$1:$I$89,5,0)</f>
        <v>-1.3567387213697657E-13</v>
      </c>
      <c r="CV102" s="13" t="e">
        <f t="shared" si="95"/>
        <v>#NUM!</v>
      </c>
      <c r="CW102" s="20" t="e">
        <f t="shared" si="67"/>
        <v>#NUM!</v>
      </c>
      <c r="CX102" s="59" t="e">
        <f t="shared" si="68"/>
        <v>#NUM!</v>
      </c>
      <c r="CY102" s="59">
        <f ca="1">AVERAGE(OFFSET($CX$3,0,0,'Données projet'!$E$13+1,1))-AVERAGE(OFFSET($H$3,0,0,'Données projet'!$E$13+1,1))</f>
        <v>299.10536994156814</v>
      </c>
      <c r="CZ102" s="59">
        <f t="shared" si="96"/>
        <v>292.57799203101769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2.14742970148263</v>
      </c>
      <c r="DG102" s="21">
        <f>EXP(-LN(2)/25)*DG101+(1-EXP(-LN(2)/25))/(LN(2)/25)*Calculateur!DB102*Calculateur!DD102*VLOOKUP('Données projet'!$B$13,Paramètres!$A$1:$I$89,3,0)*0.475*44/12</f>
        <v>1.5962226584939812</v>
      </c>
      <c r="DH102" s="21">
        <f>EXP(-LN(2)/2)*DH101+(1-EXP(-LN(2)/2))/(LN(2)/2)*DB102*DE102*VLOOKUP('Données projet'!$B$13,Paramètres!$A$1:$I$89,3,0)*0.475*44/12</f>
        <v>3.693055273984893E-10</v>
      </c>
      <c r="DI102" s="22">
        <f t="shared" si="69"/>
        <v>3.7436523603459166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2.2737367544323206E-13</v>
      </c>
      <c r="DP102" s="17">
        <f>DO102*VLOOKUP('Données projet'!$B$14,Paramètres!$A$1:$I$89,3,0)*VLOOKUP('Données projet'!$B$14,Paramètres!$A$1:$I$89,5,0)</f>
        <v>1.4897523215040565E-13</v>
      </c>
      <c r="DQ102" s="13">
        <f t="shared" si="97"/>
        <v>2.136562777003313E-12</v>
      </c>
      <c r="DR102" s="20">
        <f t="shared" si="70"/>
        <v>3.9806453659427267E-12</v>
      </c>
      <c r="DS102" s="59">
        <f t="shared" si="71"/>
        <v>293.33333333333729</v>
      </c>
      <c r="DT102" s="59">
        <f ca="1">AVERAGE(OFFSET($DS$3,0,0,'Données projet'!$E$14+1,1))-AVERAGE(OFFSET($H$3,0,0,'Données projet'!$E$14+1,1))</f>
        <v>295.92103934364718</v>
      </c>
      <c r="DU102" s="59">
        <f t="shared" si="98"/>
        <v>304.84379909635476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1.1373916748658031</v>
      </c>
      <c r="EB102" s="21">
        <f>EXP(-LN(2)/25)*EB101+(1-EXP(-LN(2)/25))/(LN(2)/25)*Calculateur!DW102*Calculateur!DY102*VLOOKUP('Données projet'!$B$14,Paramètres!$A$1:$I$89,3,0)*0.475*44/12</f>
        <v>1.0558297565327042</v>
      </c>
      <c r="EC102" s="21">
        <f>EXP(-LN(2)/2)*EC101+(1-EXP(-LN(2)/2))/(LN(2)/2)*DW102*DZ102*VLOOKUP('Données projet'!$B$14,Paramètres!$A$1:$I$89,3,0)*0.475*44/12</f>
        <v>2.3685847687210611E-10</v>
      </c>
      <c r="ED102" s="22">
        <f t="shared" si="72"/>
        <v>2.193221431635366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675.5</v>
      </c>
      <c r="L103" s="12">
        <f>VLOOKUP(A103,'Données projet'!$A$35:$I$55,9,0)</f>
        <v>18.5</v>
      </c>
      <c r="M103" s="12">
        <f t="array" ref="M103">INDEX(L:L,MIN(IF(ISNUMBER(L103:L299),ROW(L103:L299),"")))</f>
        <v>18.5</v>
      </c>
      <c r="N103" s="13">
        <f>IF('Données projet'!$A$36&gt;35,N102+M103-V102,IF(A103&lt;'Données projet'!$A$36,$K$205^A103,IF(A103='Données projet'!$A$36,'Données projet'!$B$36,N102+M103-V102)))</f>
        <v>675.49999999999989</v>
      </c>
      <c r="O103" s="13">
        <f>N103*VLOOKUP('Données projet'!$B$9,Paramètres!$A$1:$I$89,3,0)*VLOOKUP('Données projet'!$B$9,Paramètres!$A$1:$I$89,5,0)</f>
        <v>316.13399999999996</v>
      </c>
      <c r="P103" s="13">
        <f t="shared" si="87"/>
        <v>74.548389024136753</v>
      </c>
      <c r="Q103" s="20">
        <f t="shared" si="107"/>
        <v>680.43849421703806</v>
      </c>
      <c r="R103" s="59">
        <f t="shared" si="55"/>
        <v>973.77182755037143</v>
      </c>
      <c r="S103" s="59">
        <f ca="1">AVERAGE(OFFSET($R$3,0,0,'Données projet'!$E$9+1,1))-AVERAGE(OFFSET($H$3,0,0,'Données projet'!$E$9+1,1))</f>
        <v>319.22903094674564</v>
      </c>
      <c r="T103" s="59">
        <f t="shared" si="88"/>
        <v>254.58690973142848</v>
      </c>
      <c r="U103" s="15">
        <f>IF(ISNA(VLOOKUP(A103,'Données projet'!$A$35:$I$55,3,0)),0,VLOOKUP(A103,'Données projet'!$A$35:$I$55,3,0))</f>
        <v>9</v>
      </c>
      <c r="V103" s="15">
        <f>IF(ISNA(VLOOKUP(A103,'Données projet'!$A$35:$I$55,4,0)),0,VLOOKUP(A103,'Données projet'!$A$35:$I$55,4,0))</f>
        <v>675.5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2.2690417837495929</v>
      </c>
      <c r="AA103" s="21">
        <f>EXP(-LN(2)/25)*AA102+(1-EXP(-LN(2)/25))/(LN(2)/25)*Calculateur!V103*Calculateur!X103*VLOOKUP('Données projet'!$B$9,Paramètres!$A$1:$I$89,3,0)*0.475*44/12</f>
        <v>1.601187898619614</v>
      </c>
      <c r="AB103" s="21">
        <f>EXP(-LN(2)/2)*AB102+(1-EXP(-LN(2)/2))/(LN(2)/2)*V103*Y103*VLOOKUP('Données projet'!$B$9,Paramètres!$A$1:$I$89,3,0)*0.475*44/12</f>
        <v>3.213973437551878E-10</v>
      </c>
      <c r="AC103" s="22">
        <f t="shared" si="57"/>
        <v>3.8702296826906037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-3.4106051316484809E-13</v>
      </c>
      <c r="AJ103" s="13">
        <f>AI103*VLOOKUP('Données projet'!$B$10,Paramètres!$A$1:$I$89,3,0)*VLOOKUP('Données projet'!$B$10,Paramètres!$A$1:$I$89,5,0)</f>
        <v>-1.9065282685915009E-13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544.48194192356823</v>
      </c>
      <c r="AO103" s="59">
        <f t="shared" si="90"/>
        <v>668.20427590250733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1.8353350882119834</v>
      </c>
      <c r="AV103" s="21">
        <f>EXP(-LN(2)/25)*AV102+(1-EXP(-LN(2)/25))/(LN(2)/25)*Calculateur!AQ103*Calculateur!AS103*VLOOKUP('Données projet'!$B$10,Paramètres!$A$1:$I$89,3,0)*0.475*44/12</f>
        <v>6.118573891792991</v>
      </c>
      <c r="AW103" s="21">
        <f>EXP(-LN(2)/2)*AW102+(1-EXP(-LN(2)/2))/(LN(2)/2)*AQ103*AT103*VLOOKUP('Données projet'!$B$10,Paramètres!$A$1:$I$89,3,0)*0.475*44/12</f>
        <v>4.1961779831727156E-10</v>
      </c>
      <c r="AX103" s="21">
        <f t="shared" si="60"/>
        <v>7.9539089804245924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333</v>
      </c>
      <c r="BB103" s="12">
        <f>VLOOKUP(A103,'Données projet'!$A$87:$I$107,9,0)</f>
        <v>5.6</v>
      </c>
      <c r="BC103" s="12">
        <f t="array" ref="BC103">INDEX(BB:BB,MIN(IF(ISNUMBER(BB103:BB299),ROW(BB103:BB299),"")))</f>
        <v>5.6</v>
      </c>
      <c r="BD103" s="12">
        <f>IF('Données projet'!$A$88&gt;35,BD102+BC103-BL102,IF(A103&lt;'Données projet'!$A$88,$BA$205^A103,IF(A103='Données projet'!$A$88,'Données projet'!$B$88,BD102+BC103-BL102)))</f>
        <v>333</v>
      </c>
      <c r="BE103" s="13">
        <f>BD103*VLOOKUP('Données projet'!$B$11,Paramètres!$A$1:$I$89,3,0)*VLOOKUP('Données projet'!$B$11,Paramètres!$A$1:$I$89,5,0)</f>
        <v>301.29840000000002</v>
      </c>
      <c r="BF103" s="13">
        <f t="shared" si="91"/>
        <v>71.448589534990518</v>
      </c>
      <c r="BG103" s="20">
        <f t="shared" si="61"/>
        <v>649.2010067734418</v>
      </c>
      <c r="BH103" s="59">
        <f t="shared" si="62"/>
        <v>942.53434010677506</v>
      </c>
      <c r="BI103" s="59">
        <f ca="1">AVERAGE(OFFSET($BH$3,0,0,'Données projet'!$E$11+1,1))-AVERAGE(OFFSET($H$3,0,0,'Données projet'!$E$11+1,1))</f>
        <v>405.7176439604217</v>
      </c>
      <c r="BJ103" s="59">
        <f t="shared" si="92"/>
        <v>278.21741231699929</v>
      </c>
      <c r="BK103" s="15">
        <f>IF(ISNA(VLOOKUP(A103,'Données projet'!$A$87:$I$107,3,0)),0,VLOOKUP(A103,'Données projet'!$A$87:$I$107,3,0))</f>
        <v>17</v>
      </c>
      <c r="BL103" s="15">
        <f>IF(ISNA(VLOOKUP(A103,'Données projet'!$A$87:$I$107,4,0)),0,VLOOKUP(A103,'Données projet'!$A$87:$I$107,4,0))</f>
        <v>333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1.8271111370830064</v>
      </c>
      <c r="BQ103" s="21">
        <f>EXP(-LN(2)/25)*BQ102+(1-EXP(-LN(2)/25))/(LN(2)/25)*Calculateur!BL103*Calculateur!BN103*VLOOKUP('Données projet'!$B$11,Paramètres!$A$1:$I$89,3,0)*0.475*44/12</f>
        <v>1.3446614307001092</v>
      </c>
      <c r="BR103" s="21">
        <f>EXP(-LN(2)/2)*BR102+(1-EXP(-LN(2)/2))/(LN(2)/2)*BL103*BO103*VLOOKUP('Données projet'!$B$11,Paramètres!$A$1:$I$89,3,0)*0.475*44/12</f>
        <v>2.4839632065669009E-10</v>
      </c>
      <c r="BS103" s="22">
        <f t="shared" si="63"/>
        <v>3.1717725680315119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>
        <f>VLOOKUP(A103,'Données projet'!$A$113:$I$133,2,0)</f>
        <v>273</v>
      </c>
      <c r="BW103" s="12">
        <f>VLOOKUP(A103,'Données projet'!$A$113:$I$133,9,0)</f>
        <v>3.2</v>
      </c>
      <c r="BX103" s="12">
        <f t="array" ref="BX103">INDEX(BW:BW,MIN(IF(ISNUMBER(BW103:BW299),ROW(BW103:BW299),"")))</f>
        <v>3.2</v>
      </c>
      <c r="BY103" s="12">
        <f>IF('Données projet'!$A$114&gt;35,BY102+BX103-CG102,IF(A103&lt;'Données projet'!$A$114,$BV$205^A103,IF(A103='Données projet'!$A$114,'Données projet'!$B$114,BY102+BX103-CG102)))</f>
        <v>272.99999999999983</v>
      </c>
      <c r="BZ103" s="13">
        <f>BY103*VLOOKUP('Données projet'!$B$12,Paramètres!$A$1:$I$89,3,0)*VLOOKUP('Données projet'!$B$12,Paramètres!$A$1:$I$89,5,0)</f>
        <v>238.49279999999987</v>
      </c>
      <c r="CA103" s="13">
        <f t="shared" si="93"/>
        <v>58.115130258576542</v>
      </c>
      <c r="CB103" s="20">
        <f t="shared" si="64"/>
        <v>516.59214520035391</v>
      </c>
      <c r="CC103" s="59">
        <f t="shared" si="65"/>
        <v>809.92547853368728</v>
      </c>
      <c r="CD103" s="59">
        <f ca="1">AVERAGE(OFFSET($CC$3,0,0,'Données projet'!$E$12+1,1))-AVERAGE(OFFSET($H$3,0,0,'Données projet'!$E$12+1,1))</f>
        <v>381.72225529388083</v>
      </c>
      <c r="CE103" s="59">
        <f t="shared" si="94"/>
        <v>360.05900046417361</v>
      </c>
      <c r="CF103" s="15">
        <f>IF(ISNA(VLOOKUP(A103,'Données projet'!$A$113:$I$133,3,0)),0,VLOOKUP(A103,'Données projet'!$A$113:$I$133,3,0))</f>
        <v>18</v>
      </c>
      <c r="CG103" s="15">
        <f>IF(ISNA(VLOOKUP(A103,'Données projet'!$A$113:$I$133,4,0)),0,VLOOKUP(A103,'Données projet'!$A$113:$I$133,4,0))</f>
        <v>13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1.2028973222747124</v>
      </c>
      <c r="CL103" s="21">
        <f>EXP(-LN(2)/25)*CL102+(1-EXP(-LN(2)/25))/(LN(2)/25)*Calculateur!CG103*Calculateur!CI103*VLOOKUP('Données projet'!$B$12,Paramètres!$A$1:$I$89,3,0)*0.475*44/12</f>
        <v>1.6196876623317311</v>
      </c>
      <c r="CM103" s="21">
        <f>EXP(-LN(2)/2)*CM102+(1-EXP(-LN(2)/2))/(LN(2)/2)*CG103*CJ103*VLOOKUP('Données projet'!$B$12,Paramètres!$A$1:$I$89,3,0)*0.475*44/12</f>
        <v>2.0365422281611227E-10</v>
      </c>
      <c r="CN103" s="22">
        <f t="shared" si="66"/>
        <v>2.8225849848100979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-1.7053025658242404E-13</v>
      </c>
      <c r="CU103" s="17">
        <f>CT103*VLOOKUP('Données projet'!$B$13,Paramètres!$A$1:$I$89,3,0)*VLOOKUP('Données projet'!$B$13,Paramètres!$A$1:$I$89,5,0)</f>
        <v>-1.3567387213697657E-13</v>
      </c>
      <c r="CV103" s="13" t="e">
        <f t="shared" si="95"/>
        <v>#NUM!</v>
      </c>
      <c r="CW103" s="20" t="e">
        <f t="shared" si="67"/>
        <v>#NUM!</v>
      </c>
      <c r="CX103" s="59" t="e">
        <f t="shared" si="68"/>
        <v>#NUM!</v>
      </c>
      <c r="CY103" s="59">
        <f ca="1">AVERAGE(OFFSET($CX$3,0,0,'Données projet'!$E$13+1,1))-AVERAGE(OFFSET($H$3,0,0,'Données projet'!$E$13+1,1))</f>
        <v>299.10536994156814</v>
      </c>
      <c r="CZ103" s="59">
        <f t="shared" si="96"/>
        <v>292.57799203101769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2.1053199148393413</v>
      </c>
      <c r="DG103" s="21">
        <f>EXP(-LN(2)/25)*DG102+(1-EXP(-LN(2)/25))/(LN(2)/25)*Calculateur!DB103*Calculateur!DD103*VLOOKUP('Données projet'!$B$13,Paramètres!$A$1:$I$89,3,0)*0.475*44/12</f>
        <v>1.5525738659557617</v>
      </c>
      <c r="DH103" s="21">
        <f>EXP(-LN(2)/2)*DH102+(1-EXP(-LN(2)/2))/(LN(2)/2)*DB103*DE103*VLOOKUP('Données projet'!$B$13,Paramètres!$A$1:$I$89,3,0)*0.475*44/12</f>
        <v>2.6113844275314609E-10</v>
      </c>
      <c r="DI103" s="22">
        <f t="shared" si="69"/>
        <v>3.6578937810562411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2.2737367544323206E-13</v>
      </c>
      <c r="DP103" s="17">
        <f>DO103*VLOOKUP('Données projet'!$B$14,Paramètres!$A$1:$I$89,3,0)*VLOOKUP('Données projet'!$B$14,Paramètres!$A$1:$I$89,5,0)</f>
        <v>1.4897523215040565E-13</v>
      </c>
      <c r="DQ103" s="13">
        <f t="shared" si="97"/>
        <v>2.136562777003313E-12</v>
      </c>
      <c r="DR103" s="20">
        <f t="shared" si="70"/>
        <v>3.9806453659427267E-12</v>
      </c>
      <c r="DS103" s="59">
        <f t="shared" si="71"/>
        <v>293.33333333333729</v>
      </c>
      <c r="DT103" s="59">
        <f ca="1">AVERAGE(OFFSET($DS$3,0,0,'Données projet'!$E$14+1,1))-AVERAGE(OFFSET($H$3,0,0,'Données projet'!$E$14+1,1))</f>
        <v>295.92103934364718</v>
      </c>
      <c r="DU103" s="59">
        <f t="shared" si="98"/>
        <v>304.84379909635476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1.115088117862105</v>
      </c>
      <c r="EB103" s="21">
        <f>EXP(-LN(2)/25)*EB102+(1-EXP(-LN(2)/25))/(LN(2)/25)*Calculateur!DW103*Calculateur!DY103*VLOOKUP('Données projet'!$B$14,Paramètres!$A$1:$I$89,3,0)*0.475*44/12</f>
        <v>1.0269580363166435</v>
      </c>
      <c r="EC103" s="21">
        <f>EXP(-LN(2)/2)*EC102+(1-EXP(-LN(2)/2))/(LN(2)/2)*DW103*DZ103*VLOOKUP('Données projet'!$B$14,Paramètres!$A$1:$I$89,3,0)*0.475*44/12</f>
        <v>1.6748423517778326E-10</v>
      </c>
      <c r="ED103" s="22">
        <f t="shared" si="72"/>
        <v>2.1420461543462328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-1.1368683772161603E-13</v>
      </c>
      <c r="O104" s="13">
        <f>N104*VLOOKUP('Données projet'!$B$9,Paramètres!$A$1:$I$89,3,0)*VLOOKUP('Données projet'!$B$9,Paramètres!$A$1:$I$89,5,0)</f>
        <v>-5.3205440053716299E-14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319.22903094674564</v>
      </c>
      <c r="T104" s="59">
        <f t="shared" si="88"/>
        <v>254.58690973142848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2.2245472583490948</v>
      </c>
      <c r="AA104" s="21">
        <f>EXP(-LN(2)/25)*AA103+(1-EXP(-LN(2)/25))/(LN(2)/25)*Calculateur!V104*Calculateur!X104*VLOOKUP('Données projet'!$B$9,Paramètres!$A$1:$I$89,3,0)*0.475*44/12</f>
        <v>1.5574033313290485</v>
      </c>
      <c r="AB104" s="21">
        <f>EXP(-LN(2)/2)*AB103+(1-EXP(-LN(2)/2))/(LN(2)/2)*V104*Y104*VLOOKUP('Données projet'!$B$9,Paramètres!$A$1:$I$89,3,0)*0.475*44/12</f>
        <v>2.272622412246372E-10</v>
      </c>
      <c r="AC104" s="22">
        <f t="shared" si="57"/>
        <v>3.7819505899054056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-3.4106051316484809E-13</v>
      </c>
      <c r="AJ104" s="13">
        <f>AI104*VLOOKUP('Données projet'!$B$10,Paramètres!$A$1:$I$89,3,0)*VLOOKUP('Données projet'!$B$10,Paramètres!$A$1:$I$89,5,0)</f>
        <v>-1.9065282685915009E-13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544.48194192356823</v>
      </c>
      <c r="AO104" s="59">
        <f t="shared" si="90"/>
        <v>668.20427590250733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1.7993452865760144</v>
      </c>
      <c r="AV104" s="21">
        <f>EXP(-LN(2)/25)*AV103+(1-EXP(-LN(2)/25))/(LN(2)/25)*Calculateur!AQ104*Calculateur!AS104*VLOOKUP('Données projet'!$B$10,Paramètres!$A$1:$I$89,3,0)*0.475*44/12</f>
        <v>5.9512611669600952</v>
      </c>
      <c r="AW104" s="21">
        <f>EXP(-LN(2)/2)*AW103+(1-EXP(-LN(2)/2))/(LN(2)/2)*AQ104*AT104*VLOOKUP('Données projet'!$B$10,Paramètres!$A$1:$I$89,3,0)*0.475*44/12</f>
        <v>2.9671459069671177E-10</v>
      </c>
      <c r="AX104" s="21">
        <f t="shared" si="60"/>
        <v>7.7506064538328241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>
        <f>BD104*VLOOKUP('Données projet'!$B$11,Paramètres!$A$1:$I$89,3,0)*VLOOKUP('Données projet'!$B$11,Paramètres!$A$1:$I$89,5,0)</f>
        <v>0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405.7176439604217</v>
      </c>
      <c r="BJ104" s="59">
        <f t="shared" si="92"/>
        <v>278.21741231699929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1.7912826021125616</v>
      </c>
      <c r="BQ104" s="21">
        <f>EXP(-LN(2)/25)*BQ103+(1-EXP(-LN(2)/25))/(LN(2)/25)*Calculateur!BL104*Calculateur!BN104*VLOOKUP('Données projet'!$B$11,Paramètres!$A$1:$I$89,3,0)*0.475*44/12</f>
        <v>1.3078915931649433</v>
      </c>
      <c r="BR104" s="21">
        <f>EXP(-LN(2)/2)*BR103+(1-EXP(-LN(2)/2))/(LN(2)/2)*BL104*BO104*VLOOKUP('Données projet'!$B$11,Paramètres!$A$1:$I$89,3,0)*0.475*44/12</f>
        <v>1.7564272275813366E-10</v>
      </c>
      <c r="BS104" s="22">
        <f t="shared" si="63"/>
        <v>3.0991741954531475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259.99999999999983</v>
      </c>
      <c r="BZ104" s="13">
        <f>BY104*VLOOKUP('Données projet'!$B$12,Paramètres!$A$1:$I$89,3,0)*VLOOKUP('Données projet'!$B$12,Paramètres!$A$1:$I$89,5,0)</f>
        <v>227.13599999999985</v>
      </c>
      <c r="CA104" s="13">
        <f t="shared" si="93"/>
        <v>55.662966886685133</v>
      </c>
      <c r="CB104" s="20">
        <f t="shared" si="64"/>
        <v>492.5415339943097</v>
      </c>
      <c r="CC104" s="59">
        <f t="shared" si="65"/>
        <v>785.87486732764296</v>
      </c>
      <c r="CD104" s="59">
        <f ca="1">AVERAGE(OFFSET($CC$3,0,0,'Données projet'!$E$12+1,1))-AVERAGE(OFFSET($H$3,0,0,'Données projet'!$E$12+1,1))</f>
        <v>381.72225529388083</v>
      </c>
      <c r="CE104" s="59">
        <f t="shared" si="94"/>
        <v>360.05900046417361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1.1793092394798255</v>
      </c>
      <c r="CL104" s="21">
        <f>EXP(-LN(2)/25)*CL103+(1-EXP(-LN(2)/25))/(LN(2)/25)*Calculateur!CG104*Calculateur!CI104*VLOOKUP('Données projet'!$B$12,Paramètres!$A$1:$I$89,3,0)*0.475*44/12</f>
        <v>1.5753972180295976</v>
      </c>
      <c r="CM104" s="21">
        <f>EXP(-LN(2)/2)*CM103+(1-EXP(-LN(2)/2))/(LN(2)/2)*CG104*CJ104*VLOOKUP('Données projet'!$B$12,Paramètres!$A$1:$I$89,3,0)*0.475*44/12</f>
        <v>1.4400528197054909E-10</v>
      </c>
      <c r="CN104" s="22">
        <f t="shared" si="66"/>
        <v>2.7547064576534281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-1.7053025658242404E-13</v>
      </c>
      <c r="CU104" s="17">
        <f>CT104*VLOOKUP('Données projet'!$B$13,Paramètres!$A$1:$I$89,3,0)*VLOOKUP('Données projet'!$B$13,Paramètres!$A$1:$I$89,5,0)</f>
        <v>-1.3567387213697657E-13</v>
      </c>
      <c r="CV104" s="13" t="e">
        <f t="shared" si="95"/>
        <v>#NUM!</v>
      </c>
      <c r="CW104" s="20" t="e">
        <f t="shared" si="67"/>
        <v>#NUM!</v>
      </c>
      <c r="CX104" s="59" t="e">
        <f t="shared" si="68"/>
        <v>#NUM!</v>
      </c>
      <c r="CY104" s="59">
        <f ca="1">AVERAGE(OFFSET($CX$3,0,0,'Données projet'!$E$13+1,1))-AVERAGE(OFFSET($H$3,0,0,'Données projet'!$E$13+1,1))</f>
        <v>299.10536994156814</v>
      </c>
      <c r="CZ104" s="59">
        <f t="shared" si="96"/>
        <v>292.57799203101769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2.064035875427694</v>
      </c>
      <c r="DG104" s="21">
        <f>EXP(-LN(2)/25)*DG103+(1-EXP(-LN(2)/25))/(LN(2)/25)*Calculateur!DB104*Calculateur!DD104*VLOOKUP('Données projet'!$B$13,Paramètres!$A$1:$I$89,3,0)*0.475*44/12</f>
        <v>1.5101186519448904</v>
      </c>
      <c r="DH104" s="21">
        <f>EXP(-LN(2)/2)*DH103+(1-EXP(-LN(2)/2))/(LN(2)/2)*DB104*DE104*VLOOKUP('Données projet'!$B$13,Paramètres!$A$1:$I$89,3,0)*0.475*44/12</f>
        <v>1.8465276369924465E-10</v>
      </c>
      <c r="DI104" s="22">
        <f t="shared" si="69"/>
        <v>3.5741545275572371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2.2737367544323206E-13</v>
      </c>
      <c r="DP104" s="17">
        <f>DO104*VLOOKUP('Données projet'!$B$14,Paramètres!$A$1:$I$89,3,0)*VLOOKUP('Données projet'!$B$14,Paramètres!$A$1:$I$89,5,0)</f>
        <v>1.4897523215040565E-13</v>
      </c>
      <c r="DQ104" s="13">
        <f t="shared" si="97"/>
        <v>2.136562777003313E-12</v>
      </c>
      <c r="DR104" s="20">
        <f t="shared" si="70"/>
        <v>3.9806453659427267E-12</v>
      </c>
      <c r="DS104" s="59">
        <f t="shared" si="71"/>
        <v>293.33333333333729</v>
      </c>
      <c r="DT104" s="59">
        <f ca="1">AVERAGE(OFFSET($DS$3,0,0,'Données projet'!$E$14+1,1))-AVERAGE(OFFSET($H$3,0,0,'Données projet'!$E$14+1,1))</f>
        <v>295.92103934364718</v>
      </c>
      <c r="DU104" s="59">
        <f t="shared" si="98"/>
        <v>304.84379909635476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1.0932219200074231</v>
      </c>
      <c r="EB104" s="21">
        <f>EXP(-LN(2)/25)*EB103+(1-EXP(-LN(2)/25))/(LN(2)/25)*Calculateur!DW104*Calculateur!DY104*VLOOKUP('Données projet'!$B$14,Paramètres!$A$1:$I$89,3,0)*0.475*44/12</f>
        <v>0.99887581480818888</v>
      </c>
      <c r="EC104" s="21">
        <f>EXP(-LN(2)/2)*EC103+(1-EXP(-LN(2)/2))/(LN(2)/2)*DW104*DZ104*VLOOKUP('Données projet'!$B$14,Paramètres!$A$1:$I$89,3,0)*0.475*44/12</f>
        <v>1.1842923843605305E-10</v>
      </c>
      <c r="ED104" s="22">
        <f t="shared" si="72"/>
        <v>2.0920977349340411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-1.1368683772161603E-13</v>
      </c>
      <c r="O105" s="13">
        <f>N105*VLOOKUP('Données projet'!$B$9,Paramètres!$A$1:$I$89,3,0)*VLOOKUP('Données projet'!$B$9,Paramètres!$A$1:$I$89,5,0)</f>
        <v>-5.3205440053716299E-14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319.22903094674564</v>
      </c>
      <c r="T105" s="59">
        <f t="shared" si="88"/>
        <v>254.58690973142848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2.18092524345272</v>
      </c>
      <c r="AA105" s="21">
        <f>EXP(-LN(2)/25)*AA104+(1-EXP(-LN(2)/25))/(LN(2)/25)*Calculateur!V105*Calculateur!X105*VLOOKUP('Données projet'!$B$9,Paramètres!$A$1:$I$89,3,0)*0.475*44/12</f>
        <v>1.5148160553335739</v>
      </c>
      <c r="AB105" s="21">
        <f>EXP(-LN(2)/2)*AB104+(1-EXP(-LN(2)/2))/(LN(2)/2)*V105*Y105*VLOOKUP('Données projet'!$B$9,Paramètres!$A$1:$I$89,3,0)*0.475*44/12</f>
        <v>1.6069867187759392E-10</v>
      </c>
      <c r="AC105" s="22">
        <f t="shared" si="57"/>
        <v>3.6957412989469924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-3.4106051316484809E-13</v>
      </c>
      <c r="AJ105" s="13">
        <f>AI105*VLOOKUP('Données projet'!$B$10,Paramètres!$A$1:$I$89,3,0)*VLOOKUP('Données projet'!$B$10,Paramètres!$A$1:$I$89,5,0)</f>
        <v>-1.9065282685915009E-13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544.48194192356823</v>
      </c>
      <c r="AO105" s="59">
        <f t="shared" si="90"/>
        <v>668.20427590250733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1.7640612229985153</v>
      </c>
      <c r="AV105" s="21">
        <f>EXP(-LN(2)/25)*AV104+(1-EXP(-LN(2)/25))/(LN(2)/25)*Calculateur!AQ105*Calculateur!AS105*VLOOKUP('Données projet'!$B$10,Paramètres!$A$1:$I$89,3,0)*0.475*44/12</f>
        <v>5.7885236173863488</v>
      </c>
      <c r="AW105" s="21">
        <f>EXP(-LN(2)/2)*AW104+(1-EXP(-LN(2)/2))/(LN(2)/2)*AQ105*AT105*VLOOKUP('Données projet'!$B$10,Paramètres!$A$1:$I$89,3,0)*0.475*44/12</f>
        <v>2.0980889915863578E-10</v>
      </c>
      <c r="AX105" s="21">
        <f t="shared" si="60"/>
        <v>7.5525848405946734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>
        <f>BD105*VLOOKUP('Données projet'!$B$11,Paramètres!$A$1:$I$89,3,0)*VLOOKUP('Données projet'!$B$11,Paramètres!$A$1:$I$89,5,0)</f>
        <v>0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405.7176439604217</v>
      </c>
      <c r="BJ105" s="59">
        <f t="shared" si="92"/>
        <v>278.21741231699929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1.7561566428596389</v>
      </c>
      <c r="BQ105" s="21">
        <f>EXP(-LN(2)/25)*BQ104+(1-EXP(-LN(2)/25))/(LN(2)/25)*Calculateur!BL105*Calculateur!BN105*VLOOKUP('Données projet'!$B$11,Paramètres!$A$1:$I$89,3,0)*0.475*44/12</f>
        <v>1.2721272287708183</v>
      </c>
      <c r="BR105" s="21">
        <f>EXP(-LN(2)/2)*BR104+(1-EXP(-LN(2)/2))/(LN(2)/2)*BL105*BO105*VLOOKUP('Données projet'!$B$11,Paramètres!$A$1:$I$89,3,0)*0.475*44/12</f>
        <v>1.2419816032834505E-10</v>
      </c>
      <c r="BS105" s="22">
        <f t="shared" si="63"/>
        <v>3.0282838717546552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259.99999999999983</v>
      </c>
      <c r="BZ105" s="13">
        <f>BY105*VLOOKUP('Données projet'!$B$12,Paramètres!$A$1:$I$89,3,0)*VLOOKUP('Données projet'!$B$12,Paramètres!$A$1:$I$89,5,0)</f>
        <v>227.13599999999985</v>
      </c>
      <c r="CA105" s="13">
        <f t="shared" si="93"/>
        <v>55.662966886685133</v>
      </c>
      <c r="CB105" s="20">
        <f t="shared" si="64"/>
        <v>492.5415339943097</v>
      </c>
      <c r="CC105" s="59">
        <f t="shared" si="65"/>
        <v>785.87486732764296</v>
      </c>
      <c r="CD105" s="59">
        <f ca="1">AVERAGE(OFFSET($CC$3,0,0,'Données projet'!$E$12+1,1))-AVERAGE(OFFSET($H$3,0,0,'Données projet'!$E$12+1,1))</f>
        <v>381.72225529388083</v>
      </c>
      <c r="CE105" s="59">
        <f t="shared" si="94"/>
        <v>360.05900046417361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1.1561837046012364</v>
      </c>
      <c r="CL105" s="21">
        <f>EXP(-LN(2)/25)*CL104+(1-EXP(-LN(2)/25))/(LN(2)/25)*Calculateur!CG105*Calculateur!CI105*VLOOKUP('Données projet'!$B$12,Paramètres!$A$1:$I$89,3,0)*0.475*44/12</f>
        <v>1.5323178982560393</v>
      </c>
      <c r="CM105" s="21">
        <f>EXP(-LN(2)/2)*CM104+(1-EXP(-LN(2)/2))/(LN(2)/2)*CG105*CJ105*VLOOKUP('Données projet'!$B$12,Paramètres!$A$1:$I$89,3,0)*0.475*44/12</f>
        <v>1.0182711140805614E-10</v>
      </c>
      <c r="CN105" s="22">
        <f t="shared" si="66"/>
        <v>2.6885016029591027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-1.7053025658242404E-13</v>
      </c>
      <c r="CU105" s="17">
        <f>CT105*VLOOKUP('Données projet'!$B$13,Paramètres!$A$1:$I$89,3,0)*VLOOKUP('Données projet'!$B$13,Paramètres!$A$1:$I$89,5,0)</f>
        <v>-1.3567387213697657E-13</v>
      </c>
      <c r="CV105" s="13" t="e">
        <f t="shared" si="95"/>
        <v>#NUM!</v>
      </c>
      <c r="CW105" s="20" t="e">
        <f t="shared" si="67"/>
        <v>#NUM!</v>
      </c>
      <c r="CX105" s="59" t="e">
        <f t="shared" si="68"/>
        <v>#NUM!</v>
      </c>
      <c r="CY105" s="59">
        <f ca="1">AVERAGE(OFFSET($CX$3,0,0,'Données projet'!$E$13+1,1))-AVERAGE(OFFSET($H$3,0,0,'Données projet'!$E$13+1,1))</f>
        <v>299.10536994156814</v>
      </c>
      <c r="CZ105" s="59">
        <f t="shared" si="96"/>
        <v>292.57799203101769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2.0235613908481311</v>
      </c>
      <c r="DG105" s="21">
        <f>EXP(-LN(2)/25)*DG104+(1-EXP(-LN(2)/25))/(LN(2)/25)*Calculateur!DB105*Calculateur!DD105*VLOOKUP('Données projet'!$B$13,Paramètres!$A$1:$I$89,3,0)*0.475*44/12</f>
        <v>1.4688243779937689</v>
      </c>
      <c r="DH105" s="21">
        <f>EXP(-LN(2)/2)*DH104+(1-EXP(-LN(2)/2))/(LN(2)/2)*DB105*DE105*VLOOKUP('Données projet'!$B$13,Paramètres!$A$1:$I$89,3,0)*0.475*44/12</f>
        <v>1.3056922137657305E-10</v>
      </c>
      <c r="DI105" s="22">
        <f t="shared" si="69"/>
        <v>3.4923857689724693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2.2737367544323206E-13</v>
      </c>
      <c r="DP105" s="17">
        <f>DO105*VLOOKUP('Données projet'!$B$14,Paramètres!$A$1:$I$89,3,0)*VLOOKUP('Données projet'!$B$14,Paramètres!$A$1:$I$89,5,0)</f>
        <v>1.4897523215040565E-13</v>
      </c>
      <c r="DQ105" s="13">
        <f t="shared" si="97"/>
        <v>2.136562777003313E-12</v>
      </c>
      <c r="DR105" s="20">
        <f t="shared" si="70"/>
        <v>3.9806453659427267E-12</v>
      </c>
      <c r="DS105" s="59">
        <f t="shared" si="71"/>
        <v>293.33333333333729</v>
      </c>
      <c r="DT105" s="59">
        <f ca="1">AVERAGE(OFFSET($DS$3,0,0,'Données projet'!$E$14+1,1))-AVERAGE(OFFSET($H$3,0,0,'Données projet'!$E$14+1,1))</f>
        <v>295.92103934364718</v>
      </c>
      <c r="DU105" s="59">
        <f t="shared" si="98"/>
        <v>304.84379909635476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1.0717845049556078</v>
      </c>
      <c r="EB105" s="21">
        <f>EXP(-LN(2)/25)*EB104+(1-EXP(-LN(2)/25))/(LN(2)/25)*Calculateur!DW105*Calculateur!DY105*VLOOKUP('Données projet'!$B$14,Paramètres!$A$1:$I$89,3,0)*0.475*44/12</f>
        <v>0.97156150312366285</v>
      </c>
      <c r="EC105" s="21">
        <f>EXP(-LN(2)/2)*EC104+(1-EXP(-LN(2)/2))/(LN(2)/2)*DW105*DZ105*VLOOKUP('Données projet'!$B$14,Paramètres!$A$1:$I$89,3,0)*0.475*44/12</f>
        <v>8.3742117588891631E-11</v>
      </c>
      <c r="ED105" s="22">
        <f t="shared" si="72"/>
        <v>2.0433460081630126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-1.1368683772161603E-13</v>
      </c>
      <c r="O106" s="13">
        <f>N106*VLOOKUP('Données projet'!$B$9,Paramètres!$A$1:$I$89,3,0)*VLOOKUP('Données projet'!$B$9,Paramètres!$A$1:$I$89,5,0)</f>
        <v>-5.3205440053716299E-14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319.22903094674564</v>
      </c>
      <c r="T106" s="59">
        <f t="shared" si="88"/>
        <v>254.58690973142848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2.1381586296616613</v>
      </c>
      <c r="AA106" s="21">
        <f>EXP(-LN(2)/25)*AA105+(1-EXP(-LN(2)/25))/(LN(2)/25)*Calculateur!V106*Calculateur!X106*VLOOKUP('Données projet'!$B$9,Paramètres!$A$1:$I$89,3,0)*0.475*44/12</f>
        <v>1.4733933306397631</v>
      </c>
      <c r="AB106" s="21">
        <f>EXP(-LN(2)/2)*AB105+(1-EXP(-LN(2)/2))/(LN(2)/2)*V106*Y106*VLOOKUP('Données projet'!$B$9,Paramètres!$A$1:$I$89,3,0)*0.475*44/12</f>
        <v>1.1363112061231861E-10</v>
      </c>
      <c r="AC106" s="22">
        <f t="shared" si="57"/>
        <v>3.6115519604150559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-3.4106051316484809E-13</v>
      </c>
      <c r="AJ106" s="13">
        <f>AI106*VLOOKUP('Données projet'!$B$10,Paramètres!$A$1:$I$89,3,0)*VLOOKUP('Données projet'!$B$10,Paramètres!$A$1:$I$89,5,0)</f>
        <v>-1.9065282685915009E-13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544.48194192356823</v>
      </c>
      <c r="AO106" s="59">
        <f t="shared" si="90"/>
        <v>668.20427590250733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1.7294690583866172</v>
      </c>
      <c r="AV106" s="21">
        <f>EXP(-LN(2)/25)*AV105+(1-EXP(-LN(2)/25))/(LN(2)/25)*Calculateur!AQ106*Calculateur!AS106*VLOOKUP('Données projet'!$B$10,Paramètres!$A$1:$I$89,3,0)*0.475*44/12</f>
        <v>5.6302361346636918</v>
      </c>
      <c r="AW106" s="21">
        <f>EXP(-LN(2)/2)*AW105+(1-EXP(-LN(2)/2))/(LN(2)/2)*AQ106*AT106*VLOOKUP('Données projet'!$B$10,Paramètres!$A$1:$I$89,3,0)*0.475*44/12</f>
        <v>1.4835729534835588E-10</v>
      </c>
      <c r="AX106" s="21">
        <f t="shared" si="60"/>
        <v>7.3597051931986659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>
        <f>BD106*VLOOKUP('Données projet'!$B$11,Paramètres!$A$1:$I$89,3,0)*VLOOKUP('Données projet'!$B$11,Paramètres!$A$1:$I$89,5,0)</f>
        <v>0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405.7176439604217</v>
      </c>
      <c r="BJ106" s="59">
        <f t="shared" si="92"/>
        <v>278.21741231699929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1.7217194822429462</v>
      </c>
      <c r="BQ106" s="21">
        <f>EXP(-LN(2)/25)*BQ105+(1-EXP(-LN(2)/25))/(LN(2)/25)*Calculateur!BL106*Calculateur!BN106*VLOOKUP('Données projet'!$B$11,Paramètres!$A$1:$I$89,3,0)*0.475*44/12</f>
        <v>1.2373408428018169</v>
      </c>
      <c r="BR106" s="21">
        <f>EXP(-LN(2)/2)*BR105+(1-EXP(-LN(2)/2))/(LN(2)/2)*BL106*BO106*VLOOKUP('Données projet'!$B$11,Paramètres!$A$1:$I$89,3,0)*0.475*44/12</f>
        <v>8.7821361379066829E-11</v>
      </c>
      <c r="BS106" s="22">
        <f t="shared" si="63"/>
        <v>2.9590603251325844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259.99999999999983</v>
      </c>
      <c r="BZ106" s="13">
        <f>BY106*VLOOKUP('Données projet'!$B$12,Paramètres!$A$1:$I$89,3,0)*VLOOKUP('Données projet'!$B$12,Paramètres!$A$1:$I$89,5,0)</f>
        <v>227.13599999999985</v>
      </c>
      <c r="CA106" s="13">
        <f t="shared" si="93"/>
        <v>55.662966886685133</v>
      </c>
      <c r="CB106" s="20">
        <f t="shared" si="64"/>
        <v>492.5415339943097</v>
      </c>
      <c r="CC106" s="59">
        <f t="shared" si="65"/>
        <v>785.87486732764296</v>
      </c>
      <c r="CD106" s="59">
        <f ca="1">AVERAGE(OFFSET($CC$3,0,0,'Données projet'!$E$12+1,1))-AVERAGE(OFFSET($H$3,0,0,'Données projet'!$E$12+1,1))</f>
        <v>381.72225529388083</v>
      </c>
      <c r="CE106" s="59">
        <f t="shared" si="94"/>
        <v>360.05900046417361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1.1335116473564331</v>
      </c>
      <c r="CL106" s="21">
        <f>EXP(-LN(2)/25)*CL105+(1-EXP(-LN(2)/25))/(LN(2)/25)*Calculateur!CG106*Calculateur!CI106*VLOOKUP('Données projet'!$B$12,Paramètres!$A$1:$I$89,3,0)*0.475*44/12</f>
        <v>1.4904165847471318</v>
      </c>
      <c r="CM106" s="21">
        <f>EXP(-LN(2)/2)*CM105+(1-EXP(-LN(2)/2))/(LN(2)/2)*CG106*CJ106*VLOOKUP('Données projet'!$B$12,Paramètres!$A$1:$I$89,3,0)*0.475*44/12</f>
        <v>7.2002640985274547E-11</v>
      </c>
      <c r="CN106" s="22">
        <f t="shared" si="66"/>
        <v>2.6239282321755679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-1.7053025658242404E-13</v>
      </c>
      <c r="CU106" s="17">
        <f>CT106*VLOOKUP('Données projet'!$B$13,Paramètres!$A$1:$I$89,3,0)*VLOOKUP('Données projet'!$B$13,Paramètres!$A$1:$I$89,5,0)</f>
        <v>-1.3567387213697657E-13</v>
      </c>
      <c r="CV106" s="13" t="e">
        <f t="shared" si="95"/>
        <v>#NUM!</v>
      </c>
      <c r="CW106" s="20" t="e">
        <f t="shared" si="67"/>
        <v>#NUM!</v>
      </c>
      <c r="CX106" s="59" t="e">
        <f t="shared" si="68"/>
        <v>#NUM!</v>
      </c>
      <c r="CY106" s="59">
        <f ca="1">AVERAGE(OFFSET($CX$3,0,0,'Données projet'!$E$13+1,1))-AVERAGE(OFFSET($H$3,0,0,'Données projet'!$E$13+1,1))</f>
        <v>299.10536994156814</v>
      </c>
      <c r="CZ106" s="59">
        <f t="shared" si="96"/>
        <v>292.57799203101769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1.9838805862241755</v>
      </c>
      <c r="DG106" s="21">
        <f>EXP(-LN(2)/25)*DG105+(1-EXP(-LN(2)/25))/(LN(2)/25)*Calculateur!DB106*Calculateur!DD106*VLOOKUP('Données projet'!$B$13,Paramètres!$A$1:$I$89,3,0)*0.475*44/12</f>
        <v>1.4286592981354123</v>
      </c>
      <c r="DH106" s="21">
        <f>EXP(-LN(2)/2)*DH105+(1-EXP(-LN(2)/2))/(LN(2)/2)*DB106*DE106*VLOOKUP('Données projet'!$B$13,Paramètres!$A$1:$I$89,3,0)*0.475*44/12</f>
        <v>9.2326381849622324E-11</v>
      </c>
      <c r="DI106" s="22">
        <f t="shared" si="69"/>
        <v>3.4125398844519146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2.2737367544323206E-13</v>
      </c>
      <c r="DP106" s="17">
        <f>DO106*VLOOKUP('Données projet'!$B$14,Paramètres!$A$1:$I$89,3,0)*VLOOKUP('Données projet'!$B$14,Paramètres!$A$1:$I$89,5,0)</f>
        <v>1.4897523215040565E-13</v>
      </c>
      <c r="DQ106" s="13">
        <f t="shared" si="97"/>
        <v>2.136562777003313E-12</v>
      </c>
      <c r="DR106" s="20">
        <f t="shared" si="70"/>
        <v>3.9806453659427267E-12</v>
      </c>
      <c r="DS106" s="59">
        <f t="shared" si="71"/>
        <v>293.33333333333729</v>
      </c>
      <c r="DT106" s="59">
        <f ca="1">AVERAGE(OFFSET($DS$3,0,0,'Données projet'!$E$14+1,1))-AVERAGE(OFFSET($H$3,0,0,'Données projet'!$E$14+1,1))</f>
        <v>295.92103934364718</v>
      </c>
      <c r="DU106" s="59">
        <f t="shared" si="98"/>
        <v>304.84379909635476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1.0507674645374265</v>
      </c>
      <c r="EB106" s="21">
        <f>EXP(-LN(2)/25)*EB105+(1-EXP(-LN(2)/25))/(LN(2)/25)*Calculateur!DW106*Calculateur!DY106*VLOOKUP('Données projet'!$B$14,Paramètres!$A$1:$I$89,3,0)*0.475*44/12</f>
        <v>0.94499410272854734</v>
      </c>
      <c r="EC106" s="21">
        <f>EXP(-LN(2)/2)*EC105+(1-EXP(-LN(2)/2))/(LN(2)/2)*DW106*DZ106*VLOOKUP('Données projet'!$B$14,Paramètres!$A$1:$I$89,3,0)*0.475*44/12</f>
        <v>5.9214619218026526E-11</v>
      </c>
      <c r="ED106" s="22">
        <f t="shared" si="72"/>
        <v>1.9957615673251885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-1.1368683772161603E-13</v>
      </c>
      <c r="O107" s="13">
        <f>N107*VLOOKUP('Données projet'!$B$9,Paramètres!$A$1:$I$89,3,0)*VLOOKUP('Données projet'!$B$9,Paramètres!$A$1:$I$89,5,0)</f>
        <v>-5.3205440053716299E-14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319.22903094674564</v>
      </c>
      <c r="T107" s="59">
        <f t="shared" si="88"/>
        <v>254.58690973142848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2.0962306430819861</v>
      </c>
      <c r="AA107" s="21">
        <f>EXP(-LN(2)/25)*AA106+(1-EXP(-LN(2)/25))/(LN(2)/25)*Calculateur!V107*Calculateur!X107*VLOOKUP('Données projet'!$B$9,Paramètres!$A$1:$I$89,3,0)*0.475*44/12</f>
        <v>1.4331033125310311</v>
      </c>
      <c r="AB107" s="21">
        <f>EXP(-LN(2)/2)*AB106+(1-EXP(-LN(2)/2))/(LN(2)/2)*V107*Y107*VLOOKUP('Données projet'!$B$9,Paramètres!$A$1:$I$89,3,0)*0.475*44/12</f>
        <v>8.0349335938796975E-11</v>
      </c>
      <c r="AC107" s="22">
        <f t="shared" si="57"/>
        <v>3.5293339556933669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-3.4106051316484809E-13</v>
      </c>
      <c r="AJ107" s="13">
        <f>AI107*VLOOKUP('Données projet'!$B$10,Paramètres!$A$1:$I$89,3,0)*VLOOKUP('Données projet'!$B$10,Paramètres!$A$1:$I$89,5,0)</f>
        <v>-1.9065282685915009E-13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544.48194192356823</v>
      </c>
      <c r="AO107" s="59">
        <f t="shared" si="90"/>
        <v>668.20427590250733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1.6955552250236214</v>
      </c>
      <c r="AV107" s="21">
        <f>EXP(-LN(2)/25)*AV106+(1-EXP(-LN(2)/25))/(LN(2)/25)*Calculateur!AQ107*Calculateur!AS107*VLOOKUP('Données projet'!$B$10,Paramètres!$A$1:$I$89,3,0)*0.475*44/12</f>
        <v>5.4762770314800626</v>
      </c>
      <c r="AW107" s="21">
        <f>EXP(-LN(2)/2)*AW106+(1-EXP(-LN(2)/2))/(LN(2)/2)*AQ107*AT107*VLOOKUP('Données projet'!$B$10,Paramètres!$A$1:$I$89,3,0)*0.475*44/12</f>
        <v>1.0490444957931789E-10</v>
      </c>
      <c r="AX107" s="21">
        <f t="shared" si="60"/>
        <v>7.1718322566085888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>
        <f>BD107*VLOOKUP('Données projet'!$B$11,Paramètres!$A$1:$I$89,3,0)*VLOOKUP('Données projet'!$B$11,Paramètres!$A$1:$I$89,5,0)</f>
        <v>0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405.7176439604217</v>
      </c>
      <c r="BJ107" s="59">
        <f t="shared" si="92"/>
        <v>278.21741231699929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1.687957613341353</v>
      </c>
      <c r="BQ107" s="21">
        <f>EXP(-LN(2)/25)*BQ106+(1-EXP(-LN(2)/25))/(LN(2)/25)*Calculateur!BL107*Calculateur!BN107*VLOOKUP('Données projet'!$B$11,Paramètres!$A$1:$I$89,3,0)*0.475*44/12</f>
        <v>1.2035056923864742</v>
      </c>
      <c r="BR107" s="21">
        <f>EXP(-LN(2)/2)*BR106+(1-EXP(-LN(2)/2))/(LN(2)/2)*BL107*BO107*VLOOKUP('Données projet'!$B$11,Paramètres!$A$1:$I$89,3,0)*0.475*44/12</f>
        <v>6.2099080164172523E-11</v>
      </c>
      <c r="BS107" s="22">
        <f t="shared" si="63"/>
        <v>2.8914633057899262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259.99999999999983</v>
      </c>
      <c r="BZ107" s="13">
        <f>BY107*VLOOKUP('Données projet'!$B$12,Paramètres!$A$1:$I$89,3,0)*VLOOKUP('Données projet'!$B$12,Paramètres!$A$1:$I$89,5,0)</f>
        <v>227.13599999999985</v>
      </c>
      <c r="CA107" s="13">
        <f t="shared" si="93"/>
        <v>55.662966886685133</v>
      </c>
      <c r="CB107" s="20">
        <f t="shared" si="64"/>
        <v>492.5415339943097</v>
      </c>
      <c r="CC107" s="59">
        <f t="shared" si="65"/>
        <v>785.87486732764296</v>
      </c>
      <c r="CD107" s="59">
        <f ca="1">AVERAGE(OFFSET($CC$3,0,0,'Données projet'!$E$12+1,1))-AVERAGE(OFFSET($H$3,0,0,'Données projet'!$E$12+1,1))</f>
        <v>381.72225529388083</v>
      </c>
      <c r="CE107" s="59">
        <f t="shared" si="94"/>
        <v>360.05900046417361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1.1112841753256109</v>
      </c>
      <c r="CL107" s="21">
        <f>EXP(-LN(2)/25)*CL106+(1-EXP(-LN(2)/25))/(LN(2)/25)*Calculateur!CG107*Calculateur!CI107*VLOOKUP('Données projet'!$B$12,Paramètres!$A$1:$I$89,3,0)*0.475*44/12</f>
        <v>1.4496610648596198</v>
      </c>
      <c r="CM107" s="21">
        <f>EXP(-LN(2)/2)*CM106+(1-EXP(-LN(2)/2))/(LN(2)/2)*CG107*CJ107*VLOOKUP('Données projet'!$B$12,Paramètres!$A$1:$I$89,3,0)*0.475*44/12</f>
        <v>5.0913555704028068E-11</v>
      </c>
      <c r="CN107" s="22">
        <f t="shared" si="66"/>
        <v>2.5609452402361441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-1.7053025658242404E-13</v>
      </c>
      <c r="CU107" s="17">
        <f>CT107*VLOOKUP('Données projet'!$B$13,Paramètres!$A$1:$I$89,3,0)*VLOOKUP('Données projet'!$B$13,Paramètres!$A$1:$I$89,5,0)</f>
        <v>-1.3567387213697657E-13</v>
      </c>
      <c r="CV107" s="13" t="e">
        <f t="shared" si="95"/>
        <v>#NUM!</v>
      </c>
      <c r="CW107" s="20" t="e">
        <f t="shared" si="67"/>
        <v>#NUM!</v>
      </c>
      <c r="CX107" s="59" t="e">
        <f t="shared" si="68"/>
        <v>#NUM!</v>
      </c>
      <c r="CY107" s="59">
        <f ca="1">AVERAGE(OFFSET($CX$3,0,0,'Données projet'!$E$13+1,1))-AVERAGE(OFFSET($H$3,0,0,'Données projet'!$E$13+1,1))</f>
        <v>299.10536994156814</v>
      </c>
      <c r="CZ107" s="59">
        <f t="shared" si="96"/>
        <v>292.57799203101769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1.9449778979759949</v>
      </c>
      <c r="DG107" s="21">
        <f>EXP(-LN(2)/25)*DG106+(1-EXP(-LN(2)/25))/(LN(2)/25)*Calculateur!DB107*Calculateur!DD107*VLOOKUP('Données projet'!$B$13,Paramètres!$A$1:$I$89,3,0)*0.475*44/12</f>
        <v>1.3895925344979723</v>
      </c>
      <c r="DH107" s="21">
        <f>EXP(-LN(2)/2)*DH106+(1-EXP(-LN(2)/2))/(LN(2)/2)*DB107*DE107*VLOOKUP('Données projet'!$B$13,Paramètres!$A$1:$I$89,3,0)*0.475*44/12</f>
        <v>6.5284610688286524E-11</v>
      </c>
      <c r="DI107" s="22">
        <f t="shared" si="69"/>
        <v>3.3345704325392518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2.2737367544323206E-13</v>
      </c>
      <c r="DP107" s="17">
        <f>DO107*VLOOKUP('Données projet'!$B$14,Paramètres!$A$1:$I$89,3,0)*VLOOKUP('Données projet'!$B$14,Paramètres!$A$1:$I$89,5,0)</f>
        <v>1.4897523215040565E-13</v>
      </c>
      <c r="DQ107" s="13">
        <f t="shared" si="97"/>
        <v>2.136562777003313E-12</v>
      </c>
      <c r="DR107" s="20">
        <f t="shared" si="70"/>
        <v>3.9806453659427267E-12</v>
      </c>
      <c r="DS107" s="59">
        <f t="shared" si="71"/>
        <v>293.33333333333729</v>
      </c>
      <c r="DT107" s="59">
        <f ca="1">AVERAGE(OFFSET($DS$3,0,0,'Données projet'!$E$14+1,1))-AVERAGE(OFFSET($H$3,0,0,'Données projet'!$E$14+1,1))</f>
        <v>295.92103934364718</v>
      </c>
      <c r="DU107" s="59">
        <f t="shared" si="98"/>
        <v>304.84379909635476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1.030162555462717</v>
      </c>
      <c r="EB107" s="21">
        <f>EXP(-LN(2)/25)*EB106+(1-EXP(-LN(2)/25))/(LN(2)/25)*Calculateur!DW107*Calculateur!DY107*VLOOKUP('Données projet'!$B$14,Paramètres!$A$1:$I$89,3,0)*0.475*44/12</f>
        <v>0.91915318929435519</v>
      </c>
      <c r="EC107" s="21">
        <f>EXP(-LN(2)/2)*EC106+(1-EXP(-LN(2)/2))/(LN(2)/2)*DW107*DZ107*VLOOKUP('Données projet'!$B$14,Paramètres!$A$1:$I$89,3,0)*0.475*44/12</f>
        <v>4.1871058794445815E-11</v>
      </c>
      <c r="ED107" s="22">
        <f t="shared" si="72"/>
        <v>1.9493157447989431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-1.1368683772161603E-13</v>
      </c>
      <c r="O108" s="13">
        <f>N108*VLOOKUP('Données projet'!$B$9,Paramètres!$A$1:$I$89,3,0)*VLOOKUP('Données projet'!$B$9,Paramètres!$A$1:$I$89,5,0)</f>
        <v>-5.3205440053716299E-14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319.22903094674564</v>
      </c>
      <c r="T108" s="59">
        <f t="shared" si="88"/>
        <v>254.58690973142848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2.0551248387455918</v>
      </c>
      <c r="AA108" s="21">
        <f>EXP(-LN(2)/25)*AA107+(1-EXP(-LN(2)/25))/(LN(2)/25)*Calculateur!V108*Calculateur!X108*VLOOKUP('Données projet'!$B$9,Paramètres!$A$1:$I$89,3,0)*0.475*44/12</f>
        <v>1.3939150270862422</v>
      </c>
      <c r="AB108" s="21">
        <f>EXP(-LN(2)/2)*AB107+(1-EXP(-LN(2)/2))/(LN(2)/2)*V108*Y108*VLOOKUP('Données projet'!$B$9,Paramètres!$A$1:$I$89,3,0)*0.475*44/12</f>
        <v>5.6815560306159313E-11</v>
      </c>
      <c r="AC108" s="22">
        <f t="shared" si="57"/>
        <v>3.4490398658886492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-3.4106051316484809E-13</v>
      </c>
      <c r="AJ108" s="13">
        <f>AI108*VLOOKUP('Données projet'!$B$10,Paramètres!$A$1:$I$89,3,0)*VLOOKUP('Données projet'!$B$10,Paramètres!$A$1:$I$89,5,0)</f>
        <v>-1.9065282685915009E-13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544.48194192356823</v>
      </c>
      <c r="AO108" s="59">
        <f t="shared" si="90"/>
        <v>668.20427590250733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1.6623064212474781</v>
      </c>
      <c r="AV108" s="21">
        <f>EXP(-LN(2)/25)*AV107+(1-EXP(-LN(2)/25))/(LN(2)/25)*Calculateur!AQ108*Calculateur!AS108*VLOOKUP('Données projet'!$B$10,Paramètres!$A$1:$I$89,3,0)*0.475*44/12</f>
        <v>5.326527948069347</v>
      </c>
      <c r="AW108" s="21">
        <f>EXP(-LN(2)/2)*AW107+(1-EXP(-LN(2)/2))/(LN(2)/2)*AQ108*AT108*VLOOKUP('Données projet'!$B$10,Paramètres!$A$1:$I$89,3,0)*0.475*44/12</f>
        <v>7.4178647674177942E-11</v>
      </c>
      <c r="AX108" s="21">
        <f t="shared" si="60"/>
        <v>6.9888343693910038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>
        <f>BD108*VLOOKUP('Données projet'!$B$11,Paramètres!$A$1:$I$89,3,0)*VLOOKUP('Données projet'!$B$11,Paramètres!$A$1:$I$89,5,0)</f>
        <v>0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405.7176439604217</v>
      </c>
      <c r="BJ108" s="59">
        <f t="shared" si="92"/>
        <v>278.21741231699929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1.6548577940962133</v>
      </c>
      <c r="BQ108" s="21">
        <f>EXP(-LN(2)/25)*BQ107+(1-EXP(-LN(2)/25))/(LN(2)/25)*Calculateur!BL108*Calculateur!BN108*VLOOKUP('Données projet'!$B$11,Paramètres!$A$1:$I$89,3,0)*0.475*44/12</f>
        <v>1.1705957659385524</v>
      </c>
      <c r="BR108" s="21">
        <f>EXP(-LN(2)/2)*BR107+(1-EXP(-LN(2)/2))/(LN(2)/2)*BL108*BO108*VLOOKUP('Données projet'!$B$11,Paramètres!$A$1:$I$89,3,0)*0.475*44/12</f>
        <v>4.3910680689533414E-11</v>
      </c>
      <c r="BS108" s="22">
        <f t="shared" si="63"/>
        <v>2.8254535600786763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259.99999999999983</v>
      </c>
      <c r="BZ108" s="13">
        <f>BY108*VLOOKUP('Données projet'!$B$12,Paramètres!$A$1:$I$89,3,0)*VLOOKUP('Données projet'!$B$12,Paramètres!$A$1:$I$89,5,0)</f>
        <v>227.13599999999985</v>
      </c>
      <c r="CA108" s="13">
        <f t="shared" si="93"/>
        <v>55.662966886685133</v>
      </c>
      <c r="CB108" s="20">
        <f t="shared" si="64"/>
        <v>492.5415339943097</v>
      </c>
      <c r="CC108" s="59">
        <f t="shared" si="65"/>
        <v>785.87486732764296</v>
      </c>
      <c r="CD108" s="59">
        <f ca="1">AVERAGE(OFFSET($CC$3,0,0,'Données projet'!$E$12+1,1))-AVERAGE(OFFSET($H$3,0,0,'Données projet'!$E$12+1,1))</f>
        <v>381.72225529388083</v>
      </c>
      <c r="CE108" s="59">
        <f t="shared" si="94"/>
        <v>360.05900046417361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1.0894925704638938</v>
      </c>
      <c r="CL108" s="21">
        <f>EXP(-LN(2)/25)*CL107+(1-EXP(-LN(2)/25))/(LN(2)/25)*Calculateur!CG108*Calculateur!CI108*VLOOKUP('Données projet'!$B$12,Paramètres!$A$1:$I$89,3,0)*0.475*44/12</f>
        <v>1.4100200068066713</v>
      </c>
      <c r="CM108" s="21">
        <f>EXP(-LN(2)/2)*CM107+(1-EXP(-LN(2)/2))/(LN(2)/2)*CG108*CJ108*VLOOKUP('Données projet'!$B$12,Paramètres!$A$1:$I$89,3,0)*0.475*44/12</f>
        <v>3.6001320492637273E-11</v>
      </c>
      <c r="CN108" s="22">
        <f t="shared" si="66"/>
        <v>2.4995125773065663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-1.7053025658242404E-13</v>
      </c>
      <c r="CU108" s="17">
        <f>CT108*VLOOKUP('Données projet'!$B$13,Paramètres!$A$1:$I$89,3,0)*VLOOKUP('Données projet'!$B$13,Paramètres!$A$1:$I$89,5,0)</f>
        <v>-1.3567387213697657E-13</v>
      </c>
      <c r="CV108" s="13" t="e">
        <f t="shared" si="95"/>
        <v>#NUM!</v>
      </c>
      <c r="CW108" s="20" t="e">
        <f t="shared" si="67"/>
        <v>#NUM!</v>
      </c>
      <c r="CX108" s="59" t="e">
        <f t="shared" si="68"/>
        <v>#NUM!</v>
      </c>
      <c r="CY108" s="59">
        <f ca="1">AVERAGE(OFFSET($CX$3,0,0,'Données projet'!$E$13+1,1))-AVERAGE(OFFSET($H$3,0,0,'Données projet'!$E$13+1,1))</f>
        <v>299.10536994156814</v>
      </c>
      <c r="CZ108" s="59">
        <f t="shared" si="96"/>
        <v>292.57799203101769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1.9068380677160641</v>
      </c>
      <c r="DG108" s="21">
        <f>EXP(-LN(2)/25)*DG107+(1-EXP(-LN(2)/25))/(LN(2)/25)*Calculateur!DB108*Calculateur!DD108*VLOOKUP('Données projet'!$B$13,Paramètres!$A$1:$I$89,3,0)*0.475*44/12</f>
        <v>1.3515940535666298</v>
      </c>
      <c r="DH108" s="21">
        <f>EXP(-LN(2)/2)*DH107+(1-EXP(-LN(2)/2))/(LN(2)/2)*DB108*DE108*VLOOKUP('Données projet'!$B$13,Paramètres!$A$1:$I$89,3,0)*0.475*44/12</f>
        <v>4.6163190924811162E-11</v>
      </c>
      <c r="DI108" s="22">
        <f t="shared" si="69"/>
        <v>3.2584321213288572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2.2737367544323206E-13</v>
      </c>
      <c r="DP108" s="17">
        <f>DO108*VLOOKUP('Données projet'!$B$14,Paramètres!$A$1:$I$89,3,0)*VLOOKUP('Données projet'!$B$14,Paramètres!$A$1:$I$89,5,0)</f>
        <v>1.4897523215040565E-13</v>
      </c>
      <c r="DQ108" s="13">
        <f t="shared" si="97"/>
        <v>2.136562777003313E-12</v>
      </c>
      <c r="DR108" s="20">
        <f t="shared" si="70"/>
        <v>3.9806453659427267E-12</v>
      </c>
      <c r="DS108" s="59">
        <f t="shared" si="71"/>
        <v>293.33333333333729</v>
      </c>
      <c r="DT108" s="59">
        <f ca="1">AVERAGE(OFFSET($DS$3,0,0,'Données projet'!$E$14+1,1))-AVERAGE(OFFSET($H$3,0,0,'Données projet'!$E$14+1,1))</f>
        <v>295.92103934364718</v>
      </c>
      <c r="DU108" s="59">
        <f t="shared" si="98"/>
        <v>304.84379909635476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1.0099616960872089</v>
      </c>
      <c r="EB108" s="21">
        <f>EXP(-LN(2)/25)*EB107+(1-EXP(-LN(2)/25))/(LN(2)/25)*Calculateur!DW108*Calculateur!DY108*VLOOKUP('Données projet'!$B$14,Paramètres!$A$1:$I$89,3,0)*0.475*44/12</f>
        <v>0.8940188969969356</v>
      </c>
      <c r="EC108" s="21">
        <f>EXP(-LN(2)/2)*EC107+(1-EXP(-LN(2)/2))/(LN(2)/2)*DW108*DZ108*VLOOKUP('Données projet'!$B$14,Paramètres!$A$1:$I$89,3,0)*0.475*44/12</f>
        <v>2.9607309609013263E-11</v>
      </c>
      <c r="ED108" s="22">
        <f t="shared" si="72"/>
        <v>1.9039805931137517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-1.1368683772161603E-13</v>
      </c>
      <c r="O109" s="13">
        <f>N109*VLOOKUP('Données projet'!$B$9,Paramètres!$A$1:$I$89,3,0)*VLOOKUP('Données projet'!$B$9,Paramètres!$A$1:$I$89,5,0)</f>
        <v>-5.3205440053716299E-14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319.22903094674564</v>
      </c>
      <c r="T109" s="59">
        <f t="shared" si="88"/>
        <v>254.58690973142848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2.0148250941601695</v>
      </c>
      <c r="AA109" s="21">
        <f>EXP(-LN(2)/25)*AA108+(1-EXP(-LN(2)/25))/(LN(2)/25)*Calculateur!V109*Calculateur!X109*VLOOKUP('Données projet'!$B$9,Paramètres!$A$1:$I$89,3,0)*0.475*44/12</f>
        <v>1.3557983473677635</v>
      </c>
      <c r="AB109" s="21">
        <f>EXP(-LN(2)/2)*AB108+(1-EXP(-LN(2)/2))/(LN(2)/2)*V109*Y109*VLOOKUP('Données projet'!$B$9,Paramètres!$A$1:$I$89,3,0)*0.475*44/12</f>
        <v>4.0174667969398494E-11</v>
      </c>
      <c r="AC109" s="22">
        <f t="shared" si="57"/>
        <v>3.3706234415681076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-3.4106051316484809E-13</v>
      </c>
      <c r="AJ109" s="13">
        <f>AI109*VLOOKUP('Données projet'!$B$10,Paramètres!$A$1:$I$89,3,0)*VLOOKUP('Données projet'!$B$10,Paramètres!$A$1:$I$89,5,0)</f>
        <v>-1.9065282685915009E-13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544.48194192356823</v>
      </c>
      <c r="AO109" s="59">
        <f t="shared" si="90"/>
        <v>668.20427590250733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1.6297096062336169</v>
      </c>
      <c r="AV109" s="21">
        <f>EXP(-LN(2)/25)*AV108+(1-EXP(-LN(2)/25))/(LN(2)/25)*Calculateur!AQ109*Calculateur!AS109*VLOOKUP('Données projet'!$B$10,Paramètres!$A$1:$I$89,3,0)*0.475*44/12</f>
        <v>5.18087376121946</v>
      </c>
      <c r="AW109" s="21">
        <f>EXP(-LN(2)/2)*AW108+(1-EXP(-LN(2)/2))/(LN(2)/2)*AQ109*AT109*VLOOKUP('Données projet'!$B$10,Paramètres!$A$1:$I$89,3,0)*0.475*44/12</f>
        <v>5.2452224789658945E-11</v>
      </c>
      <c r="AX109" s="21">
        <f t="shared" si="60"/>
        <v>6.8105833675055294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>
        <f>BD109*VLOOKUP('Données projet'!$B$11,Paramètres!$A$1:$I$89,3,0)*VLOOKUP('Données projet'!$B$11,Paramètres!$A$1:$I$89,5,0)</f>
        <v>0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405.7176439604217</v>
      </c>
      <c r="BJ109" s="59">
        <f t="shared" si="92"/>
        <v>278.21741231699929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1.6224070421175745</v>
      </c>
      <c r="BQ109" s="21">
        <f>EXP(-LN(2)/25)*BQ108+(1-EXP(-LN(2)/25))/(LN(2)/25)*Calculateur!BL109*Calculateur!BN109*VLOOKUP('Données projet'!$B$11,Paramètres!$A$1:$I$89,3,0)*0.475*44/12</f>
        <v>1.1385857631600067</v>
      </c>
      <c r="BR109" s="21">
        <f>EXP(-LN(2)/2)*BR108+(1-EXP(-LN(2)/2))/(LN(2)/2)*BL109*BO109*VLOOKUP('Données projet'!$B$11,Paramètres!$A$1:$I$89,3,0)*0.475*44/12</f>
        <v>3.1049540082086261E-11</v>
      </c>
      <c r="BS109" s="22">
        <f t="shared" si="63"/>
        <v>2.7609928053086308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259.99999999999983</v>
      </c>
      <c r="BZ109" s="13">
        <f>BY109*VLOOKUP('Données projet'!$B$12,Paramètres!$A$1:$I$89,3,0)*VLOOKUP('Données projet'!$B$12,Paramètres!$A$1:$I$89,5,0)</f>
        <v>227.13599999999985</v>
      </c>
      <c r="CA109" s="13">
        <f t="shared" si="93"/>
        <v>55.662966886685133</v>
      </c>
      <c r="CB109" s="20">
        <f t="shared" si="64"/>
        <v>492.5415339943097</v>
      </c>
      <c r="CC109" s="59">
        <f t="shared" si="65"/>
        <v>785.87486732764296</v>
      </c>
      <c r="CD109" s="59">
        <f ca="1">AVERAGE(OFFSET($CC$3,0,0,'Données projet'!$E$12+1,1))-AVERAGE(OFFSET($H$3,0,0,'Données projet'!$E$12+1,1))</f>
        <v>381.72225529388083</v>
      </c>
      <c r="CE109" s="59">
        <f t="shared" si="94"/>
        <v>360.05900046417361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1.0681282856819485</v>
      </c>
      <c r="CL109" s="21">
        <f>EXP(-LN(2)/25)*CL108+(1-EXP(-LN(2)/25))/(LN(2)/25)*Calculateur!CG109*Calculateur!CI109*VLOOKUP('Données projet'!$B$12,Paramètres!$A$1:$I$89,3,0)*0.475*44/12</f>
        <v>1.3714629355708134</v>
      </c>
      <c r="CM109" s="21">
        <f>EXP(-LN(2)/2)*CM108+(1-EXP(-LN(2)/2))/(LN(2)/2)*CG109*CJ109*VLOOKUP('Données projet'!$B$12,Paramètres!$A$1:$I$89,3,0)*0.475*44/12</f>
        <v>2.5456777852014034E-11</v>
      </c>
      <c r="CN109" s="22">
        <f t="shared" si="66"/>
        <v>2.4395912212782189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-1.7053025658242404E-13</v>
      </c>
      <c r="CU109" s="17">
        <f>CT109*VLOOKUP('Données projet'!$B$13,Paramètres!$A$1:$I$89,3,0)*VLOOKUP('Données projet'!$B$13,Paramètres!$A$1:$I$89,5,0)</f>
        <v>-1.3567387213697657E-13</v>
      </c>
      <c r="CV109" s="13" t="e">
        <f t="shared" si="95"/>
        <v>#NUM!</v>
      </c>
      <c r="CW109" s="20" t="e">
        <f t="shared" si="67"/>
        <v>#NUM!</v>
      </c>
      <c r="CX109" s="59" t="e">
        <f t="shared" si="68"/>
        <v>#NUM!</v>
      </c>
      <c r="CY109" s="59">
        <f ca="1">AVERAGE(OFFSET($CX$3,0,0,'Données projet'!$E$13+1,1))-AVERAGE(OFFSET($H$3,0,0,'Données projet'!$E$13+1,1))</f>
        <v>299.10536994156814</v>
      </c>
      <c r="CZ109" s="59">
        <f t="shared" si="96"/>
        <v>292.57799203101769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1.8694461362645312</v>
      </c>
      <c r="DG109" s="21">
        <f>EXP(-LN(2)/25)*DG108+(1-EXP(-LN(2)/25))/(LN(2)/25)*Calculateur!DB109*Calculateur!DD109*VLOOKUP('Données projet'!$B$13,Paramètres!$A$1:$I$89,3,0)*0.475*44/12</f>
        <v>1.3146346430946081</v>
      </c>
      <c r="DH109" s="21">
        <f>EXP(-LN(2)/2)*DH108+(1-EXP(-LN(2)/2))/(LN(2)/2)*DB109*DE109*VLOOKUP('Données projet'!$B$13,Paramètres!$A$1:$I$89,3,0)*0.475*44/12</f>
        <v>3.2642305344143262E-11</v>
      </c>
      <c r="DI109" s="22">
        <f t="shared" si="69"/>
        <v>3.1840807793917816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2.2737367544323206E-13</v>
      </c>
      <c r="DP109" s="17">
        <f>DO109*VLOOKUP('Données projet'!$B$14,Paramètres!$A$1:$I$89,3,0)*VLOOKUP('Données projet'!$B$14,Paramètres!$A$1:$I$89,5,0)</f>
        <v>1.4897523215040565E-13</v>
      </c>
      <c r="DQ109" s="13">
        <f t="shared" si="97"/>
        <v>2.136562777003313E-12</v>
      </c>
      <c r="DR109" s="20">
        <f t="shared" si="70"/>
        <v>3.9806453659427267E-12</v>
      </c>
      <c r="DS109" s="59">
        <f t="shared" si="71"/>
        <v>293.33333333333729</v>
      </c>
      <c r="DT109" s="59">
        <f ca="1">AVERAGE(OFFSET($DS$3,0,0,'Données projet'!$E$14+1,1))-AVERAGE(OFFSET($H$3,0,0,'Données projet'!$E$14+1,1))</f>
        <v>295.92103934364718</v>
      </c>
      <c r="DU109" s="59">
        <f t="shared" si="98"/>
        <v>304.84379909635476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0.99015696324274682</v>
      </c>
      <c r="EB109" s="21">
        <f>EXP(-LN(2)/25)*EB108+(1-EXP(-LN(2)/25))/(LN(2)/25)*Calculateur!DW109*Calculateur!DY109*VLOOKUP('Données projet'!$B$14,Paramètres!$A$1:$I$89,3,0)*0.475*44/12</f>
        <v>0.86957190324414391</v>
      </c>
      <c r="EC109" s="21">
        <f>EXP(-LN(2)/2)*EC108+(1-EXP(-LN(2)/2))/(LN(2)/2)*DW109*DZ109*VLOOKUP('Données projet'!$B$14,Paramètres!$A$1:$I$89,3,0)*0.475*44/12</f>
        <v>2.0935529397222908E-11</v>
      </c>
      <c r="ED109" s="22">
        <f t="shared" si="72"/>
        <v>1.8597288665078262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-1.1368683772161603E-13</v>
      </c>
      <c r="O110" s="13">
        <f>N110*VLOOKUP('Données projet'!$B$9,Paramètres!$A$1:$I$89,3,0)*VLOOKUP('Données projet'!$B$9,Paramètres!$A$1:$I$89,5,0)</f>
        <v>-5.3205440053716299E-14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319.22903094674564</v>
      </c>
      <c r="T110" s="59">
        <f t="shared" si="88"/>
        <v>254.58690973142848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1.97531560298565</v>
      </c>
      <c r="AA110" s="21">
        <f>EXP(-LN(2)/25)*AA109+(1-EXP(-LN(2)/25))/(LN(2)/25)*Calculateur!V110*Calculateur!X110*VLOOKUP('Données projet'!$B$9,Paramètres!$A$1:$I$89,3,0)*0.475*44/12</f>
        <v>1.3187239702606557</v>
      </c>
      <c r="AB110" s="21">
        <f>EXP(-LN(2)/2)*AB109+(1-EXP(-LN(2)/2))/(LN(2)/2)*V110*Y110*VLOOKUP('Données projet'!$B$9,Paramètres!$A$1:$I$89,3,0)*0.475*44/12</f>
        <v>2.8407780153079663E-11</v>
      </c>
      <c r="AC110" s="22">
        <f t="shared" si="57"/>
        <v>3.2940395732747136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-3.4106051316484809E-13</v>
      </c>
      <c r="AJ110" s="13">
        <f>AI110*VLOOKUP('Données projet'!$B$10,Paramètres!$A$1:$I$89,3,0)*VLOOKUP('Données projet'!$B$10,Paramètres!$A$1:$I$89,5,0)</f>
        <v>-1.9065282685915009E-13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544.48194192356823</v>
      </c>
      <c r="AO110" s="59">
        <f t="shared" si="90"/>
        <v>668.20427590250733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1.5977519948800838</v>
      </c>
      <c r="AV110" s="21">
        <f>EXP(-LN(2)/25)*AV109+(1-EXP(-LN(2)/25))/(LN(2)/25)*Calculateur!AQ110*Calculateur!AS110*VLOOKUP('Données projet'!$B$10,Paramètres!$A$1:$I$89,3,0)*0.475*44/12</f>
        <v>5.0392024957686035</v>
      </c>
      <c r="AW110" s="21">
        <f>EXP(-LN(2)/2)*AW109+(1-EXP(-LN(2)/2))/(LN(2)/2)*AQ110*AT110*VLOOKUP('Données projet'!$B$10,Paramètres!$A$1:$I$89,3,0)*0.475*44/12</f>
        <v>3.7089323837088971E-11</v>
      </c>
      <c r="AX110" s="21">
        <f t="shared" si="60"/>
        <v>6.6369544906857767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>
        <f>BD110*VLOOKUP('Données projet'!$B$11,Paramètres!$A$1:$I$89,3,0)*VLOOKUP('Données projet'!$B$11,Paramètres!$A$1:$I$89,5,0)</f>
        <v>0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405.7176439604217</v>
      </c>
      <c r="BJ110" s="59">
        <f t="shared" si="92"/>
        <v>278.21741231699929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1.5905926295922326</v>
      </c>
      <c r="BQ110" s="21">
        <f>EXP(-LN(2)/25)*BQ109+(1-EXP(-LN(2)/25))/(LN(2)/25)*Calculateur!BL110*Calculateur!BN110*VLOOKUP('Données projet'!$B$11,Paramètres!$A$1:$I$89,3,0)*0.475*44/12</f>
        <v>1.1074510755907734</v>
      </c>
      <c r="BR110" s="21">
        <f>EXP(-LN(2)/2)*BR109+(1-EXP(-LN(2)/2))/(LN(2)/2)*BL110*BO110*VLOOKUP('Données projet'!$B$11,Paramètres!$A$1:$I$89,3,0)*0.475*44/12</f>
        <v>2.1955340344766707E-11</v>
      </c>
      <c r="BS110" s="22">
        <f t="shared" si="63"/>
        <v>2.6980437052049613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259.99999999999983</v>
      </c>
      <c r="BZ110" s="13">
        <f>BY110*VLOOKUP('Données projet'!$B$12,Paramètres!$A$1:$I$89,3,0)*VLOOKUP('Données projet'!$B$12,Paramètres!$A$1:$I$89,5,0)</f>
        <v>227.13599999999985</v>
      </c>
      <c r="CA110" s="13">
        <f t="shared" si="93"/>
        <v>55.662966886685133</v>
      </c>
      <c r="CB110" s="20">
        <f t="shared" si="64"/>
        <v>492.5415339943097</v>
      </c>
      <c r="CC110" s="59">
        <f t="shared" si="65"/>
        <v>785.87486732764296</v>
      </c>
      <c r="CD110" s="59">
        <f ca="1">AVERAGE(OFFSET($CC$3,0,0,'Données projet'!$E$12+1,1))-AVERAGE(OFFSET($H$3,0,0,'Données projet'!$E$12+1,1))</f>
        <v>381.72225529388083</v>
      </c>
      <c r="CE110" s="59">
        <f t="shared" si="94"/>
        <v>360.05900046417361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1.04718294149365</v>
      </c>
      <c r="CL110" s="21">
        <f>EXP(-LN(2)/25)*CL109+(1-EXP(-LN(2)/25))/(LN(2)/25)*Calculateur!CG110*Calculateur!CI110*VLOOKUP('Données projet'!$B$12,Paramètres!$A$1:$I$89,3,0)*0.475*44/12</f>
        <v>1.3339602094755283</v>
      </c>
      <c r="CM110" s="21">
        <f>EXP(-LN(2)/2)*CM109+(1-EXP(-LN(2)/2))/(LN(2)/2)*CG110*CJ110*VLOOKUP('Données projet'!$B$12,Paramètres!$A$1:$I$89,3,0)*0.475*44/12</f>
        <v>1.8000660246318637E-11</v>
      </c>
      <c r="CN110" s="22">
        <f t="shared" si="66"/>
        <v>2.381143150987179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-1.7053025658242404E-13</v>
      </c>
      <c r="CU110" s="17">
        <f>CT110*VLOOKUP('Données projet'!$B$13,Paramètres!$A$1:$I$89,3,0)*VLOOKUP('Données projet'!$B$13,Paramètres!$A$1:$I$89,5,0)</f>
        <v>-1.3567387213697657E-13</v>
      </c>
      <c r="CV110" s="13" t="e">
        <f t="shared" si="95"/>
        <v>#NUM!</v>
      </c>
      <c r="CW110" s="20" t="e">
        <f t="shared" si="67"/>
        <v>#NUM!</v>
      </c>
      <c r="CX110" s="59" t="e">
        <f t="shared" si="68"/>
        <v>#NUM!</v>
      </c>
      <c r="CY110" s="59">
        <f ca="1">AVERAGE(OFFSET($CX$3,0,0,'Données projet'!$E$13+1,1))-AVERAGE(OFFSET($H$3,0,0,'Données projet'!$E$13+1,1))</f>
        <v>299.10536994156814</v>
      </c>
      <c r="CZ110" s="59">
        <f t="shared" si="96"/>
        <v>292.57799203101769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1.8327874377819364</v>
      </c>
      <c r="DG110" s="21">
        <f>EXP(-LN(2)/25)*DG109+(1-EXP(-LN(2)/25))/(LN(2)/25)*Calculateur!DB110*Calculateur!DD110*VLOOKUP('Données projet'!$B$13,Paramètres!$A$1:$I$89,3,0)*0.475*44/12</f>
        <v>1.2786858896455549</v>
      </c>
      <c r="DH110" s="21">
        <f>EXP(-LN(2)/2)*DH109+(1-EXP(-LN(2)/2))/(LN(2)/2)*DB110*DE110*VLOOKUP('Données projet'!$B$13,Paramètres!$A$1:$I$89,3,0)*0.475*44/12</f>
        <v>2.3081595462405581E-11</v>
      </c>
      <c r="DI110" s="22">
        <f t="shared" si="69"/>
        <v>3.111473327450573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2.2737367544323206E-13</v>
      </c>
      <c r="DP110" s="17">
        <f>DO110*VLOOKUP('Données projet'!$B$14,Paramètres!$A$1:$I$89,3,0)*VLOOKUP('Données projet'!$B$14,Paramètres!$A$1:$I$89,5,0)</f>
        <v>1.4897523215040565E-13</v>
      </c>
      <c r="DQ110" s="13">
        <f t="shared" si="97"/>
        <v>2.136562777003313E-12</v>
      </c>
      <c r="DR110" s="20">
        <f t="shared" si="70"/>
        <v>3.9806453659427267E-12</v>
      </c>
      <c r="DS110" s="59">
        <f t="shared" si="71"/>
        <v>293.33333333333729</v>
      </c>
      <c r="DT110" s="59">
        <f ca="1">AVERAGE(OFFSET($DS$3,0,0,'Données projet'!$E$14+1,1))-AVERAGE(OFFSET($H$3,0,0,'Données projet'!$E$14+1,1))</f>
        <v>295.92103934364718</v>
      </c>
      <c r="DU110" s="59">
        <f t="shared" si="98"/>
        <v>304.84379909635476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0.97074058912967043</v>
      </c>
      <c r="EB110" s="21">
        <f>EXP(-LN(2)/25)*EB109+(1-EXP(-LN(2)/25))/(LN(2)/25)*Calculateur!DW110*Calculateur!DY110*VLOOKUP('Données projet'!$B$14,Paramètres!$A$1:$I$89,3,0)*0.475*44/12</f>
        <v>0.84579341382113382</v>
      </c>
      <c r="EC110" s="21">
        <f>EXP(-LN(2)/2)*EC109+(1-EXP(-LN(2)/2))/(LN(2)/2)*DW110*DZ110*VLOOKUP('Données projet'!$B$14,Paramètres!$A$1:$I$89,3,0)*0.475*44/12</f>
        <v>1.4803654804506632E-11</v>
      </c>
      <c r="ED110" s="22">
        <f t="shared" si="72"/>
        <v>1.8165340029656081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-1.1368683772161603E-13</v>
      </c>
      <c r="O111" s="13">
        <f>N111*VLOOKUP('Données projet'!$B$9,Paramètres!$A$1:$I$89,3,0)*VLOOKUP('Données projet'!$B$9,Paramètres!$A$1:$I$89,5,0)</f>
        <v>-5.3205440053716299E-14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319.22903094674564</v>
      </c>
      <c r="T111" s="59">
        <f t="shared" si="88"/>
        <v>254.58690973142848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1.9365808688346529</v>
      </c>
      <c r="AA111" s="21">
        <f>EXP(-LN(2)/25)*AA110+(1-EXP(-LN(2)/25))/(LN(2)/25)*Calculateur!V111*Calculateur!X111*VLOOKUP('Données projet'!$B$9,Paramètres!$A$1:$I$89,3,0)*0.475*44/12</f>
        <v>1.2826633939451983</v>
      </c>
      <c r="AB111" s="21">
        <f>EXP(-LN(2)/2)*AB110+(1-EXP(-LN(2)/2))/(LN(2)/2)*V111*Y111*VLOOKUP('Données projet'!$B$9,Paramètres!$A$1:$I$89,3,0)*0.475*44/12</f>
        <v>2.008733398469925E-11</v>
      </c>
      <c r="AC111" s="22">
        <f t="shared" si="57"/>
        <v>3.2192442627999385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-3.4106051316484809E-13</v>
      </c>
      <c r="AJ111" s="13">
        <f>AI111*VLOOKUP('Données projet'!$B$10,Paramètres!$A$1:$I$89,3,0)*VLOOKUP('Données projet'!$B$10,Paramètres!$A$1:$I$89,5,0)</f>
        <v>-1.9065282685915009E-13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544.48194192356823</v>
      </c>
      <c r="AO111" s="59">
        <f t="shared" si="90"/>
        <v>668.20427590250733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1.5664210527929752</v>
      </c>
      <c r="AV111" s="21">
        <f>EXP(-LN(2)/25)*AV110+(1-EXP(-LN(2)/25))/(LN(2)/25)*Calculateur!AQ111*Calculateur!AS111*VLOOKUP('Données projet'!$B$10,Paramètres!$A$1:$I$89,3,0)*0.475*44/12</f>
        <v>4.9014052385216687</v>
      </c>
      <c r="AW111" s="21">
        <f>EXP(-LN(2)/2)*AW110+(1-EXP(-LN(2)/2))/(LN(2)/2)*AQ111*AT111*VLOOKUP('Données projet'!$B$10,Paramètres!$A$1:$I$89,3,0)*0.475*44/12</f>
        <v>2.6226112394829473E-11</v>
      </c>
      <c r="AX111" s="21">
        <f t="shared" si="60"/>
        <v>6.4678262913408702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>
        <f>BD111*VLOOKUP('Données projet'!$B$11,Paramètres!$A$1:$I$89,3,0)*VLOOKUP('Données projet'!$B$11,Paramètres!$A$1:$I$89,5,0)</f>
        <v>0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405.7176439604217</v>
      </c>
      <c r="BJ111" s="59">
        <f t="shared" si="92"/>
        <v>278.21741231699929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1.5594020782916371</v>
      </c>
      <c r="BQ111" s="21">
        <f>EXP(-LN(2)/25)*BQ110+(1-EXP(-LN(2)/25))/(LN(2)/25)*Calculateur!BL111*Calculateur!BN111*VLOOKUP('Données projet'!$B$11,Paramètres!$A$1:$I$89,3,0)*0.475*44/12</f>
        <v>1.0771677676904228</v>
      </c>
      <c r="BR111" s="21">
        <f>EXP(-LN(2)/2)*BR110+(1-EXP(-LN(2)/2))/(LN(2)/2)*BL111*BO111*VLOOKUP('Données projet'!$B$11,Paramètres!$A$1:$I$89,3,0)*0.475*44/12</f>
        <v>1.5524770041043131E-11</v>
      </c>
      <c r="BS111" s="22">
        <f t="shared" si="63"/>
        <v>2.636569845997585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259.99999999999983</v>
      </c>
      <c r="BZ111" s="13">
        <f>BY111*VLOOKUP('Données projet'!$B$12,Paramètres!$A$1:$I$89,3,0)*VLOOKUP('Données projet'!$B$12,Paramètres!$A$1:$I$89,5,0)</f>
        <v>227.13599999999985</v>
      </c>
      <c r="CA111" s="13">
        <f t="shared" si="93"/>
        <v>55.662966886685133</v>
      </c>
      <c r="CB111" s="20">
        <f t="shared" si="64"/>
        <v>492.5415339943097</v>
      </c>
      <c r="CC111" s="59">
        <f t="shared" si="65"/>
        <v>785.87486732764296</v>
      </c>
      <c r="CD111" s="59">
        <f ca="1">AVERAGE(OFFSET($CC$3,0,0,'Données projet'!$E$12+1,1))-AVERAGE(OFFSET($H$3,0,0,'Données projet'!$E$12+1,1))</f>
        <v>381.72225529388083</v>
      </c>
      <c r="CE111" s="59">
        <f t="shared" si="94"/>
        <v>360.05900046417361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1.0266483227294856</v>
      </c>
      <c r="CL111" s="21">
        <f>EXP(-LN(2)/25)*CL110+(1-EXP(-LN(2)/25))/(LN(2)/25)*Calculateur!CG111*Calculateur!CI111*VLOOKUP('Données projet'!$B$12,Paramètres!$A$1:$I$89,3,0)*0.475*44/12</f>
        <v>1.2974829973975013</v>
      </c>
      <c r="CM111" s="21">
        <f>EXP(-LN(2)/2)*CM110+(1-EXP(-LN(2)/2))/(LN(2)/2)*CG111*CJ111*VLOOKUP('Données projet'!$B$12,Paramètres!$A$1:$I$89,3,0)*0.475*44/12</f>
        <v>1.2728388926007017E-11</v>
      </c>
      <c r="CN111" s="22">
        <f t="shared" si="66"/>
        <v>2.3241313201397151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-1.7053025658242404E-13</v>
      </c>
      <c r="CU111" s="17">
        <f>CT111*VLOOKUP('Données projet'!$B$13,Paramètres!$A$1:$I$89,3,0)*VLOOKUP('Données projet'!$B$13,Paramètres!$A$1:$I$89,5,0)</f>
        <v>-1.3567387213697657E-13</v>
      </c>
      <c r="CV111" s="13" t="e">
        <f t="shared" si="95"/>
        <v>#NUM!</v>
      </c>
      <c r="CW111" s="20" t="e">
        <f t="shared" si="67"/>
        <v>#NUM!</v>
      </c>
      <c r="CX111" s="59" t="e">
        <f t="shared" si="68"/>
        <v>#NUM!</v>
      </c>
      <c r="CY111" s="59">
        <f ca="1">AVERAGE(OFFSET($CX$3,0,0,'Données projet'!$E$13+1,1))-AVERAGE(OFFSET($H$3,0,0,'Données projet'!$E$13+1,1))</f>
        <v>299.10536994156814</v>
      </c>
      <c r="CZ111" s="59">
        <f t="shared" si="96"/>
        <v>292.57799203101769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1.7968475940169872</v>
      </c>
      <c r="DG111" s="21">
        <f>EXP(-LN(2)/25)*DG110+(1-EXP(-LN(2)/25))/(LN(2)/25)*Calculateur!DB111*Calculateur!DD111*VLOOKUP('Données projet'!$B$13,Paramètres!$A$1:$I$89,3,0)*0.475*44/12</f>
        <v>1.2437201567500287</v>
      </c>
      <c r="DH111" s="21">
        <f>EXP(-LN(2)/2)*DH110+(1-EXP(-LN(2)/2))/(LN(2)/2)*DB111*DE111*VLOOKUP('Données projet'!$B$13,Paramètres!$A$1:$I$89,3,0)*0.475*44/12</f>
        <v>1.6321152672071631E-11</v>
      </c>
      <c r="DI111" s="22">
        <f t="shared" si="69"/>
        <v>3.0405677507833371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2.2737367544323206E-13</v>
      </c>
      <c r="DP111" s="17">
        <f>DO111*VLOOKUP('Données projet'!$B$14,Paramètres!$A$1:$I$89,3,0)*VLOOKUP('Données projet'!$B$14,Paramètres!$A$1:$I$89,5,0)</f>
        <v>1.4897523215040565E-13</v>
      </c>
      <c r="DQ111" s="13">
        <f t="shared" si="97"/>
        <v>2.136562777003313E-12</v>
      </c>
      <c r="DR111" s="20">
        <f t="shared" si="70"/>
        <v>3.9806453659427267E-12</v>
      </c>
      <c r="DS111" s="59">
        <f t="shared" si="71"/>
        <v>293.33333333333729</v>
      </c>
      <c r="DT111" s="59">
        <f ca="1">AVERAGE(OFFSET($DS$3,0,0,'Données projet'!$E$14+1,1))-AVERAGE(OFFSET($H$3,0,0,'Données projet'!$E$14+1,1))</f>
        <v>295.92103934364718</v>
      </c>
      <c r="DU111" s="59">
        <f t="shared" si="98"/>
        <v>304.84379909635476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0.95170495827013257</v>
      </c>
      <c r="EB111" s="21">
        <f>EXP(-LN(2)/25)*EB110+(1-EXP(-LN(2)/25))/(LN(2)/25)*Calculateur!DW111*Calculateur!DY111*VLOOKUP('Données projet'!$B$14,Paramètres!$A$1:$I$89,3,0)*0.475*44/12</f>
        <v>0.82266514844185235</v>
      </c>
      <c r="EC111" s="21">
        <f>EXP(-LN(2)/2)*EC110+(1-EXP(-LN(2)/2))/(LN(2)/2)*DW111*DZ111*VLOOKUP('Données projet'!$B$14,Paramètres!$A$1:$I$89,3,0)*0.475*44/12</f>
        <v>1.0467764698611454E-11</v>
      </c>
      <c r="ED111" s="22">
        <f t="shared" si="72"/>
        <v>1.7743701067224527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-1.1368683772161603E-13</v>
      </c>
      <c r="O112" s="13">
        <f>N112*VLOOKUP('Données projet'!$B$9,Paramètres!$A$1:$I$89,3,0)*VLOOKUP('Données projet'!$B$9,Paramètres!$A$1:$I$89,5,0)</f>
        <v>-5.3205440053716299E-14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319.22903094674564</v>
      </c>
      <c r="T112" s="59">
        <f t="shared" si="88"/>
        <v>254.58690973142848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1.8986056991945017</v>
      </c>
      <c r="AA112" s="21">
        <f>EXP(-LN(2)/25)*AA111+(1-EXP(-LN(2)/25))/(LN(2)/25)*Calculateur!V112*Calculateur!X112*VLOOKUP('Données projet'!$B$9,Paramètres!$A$1:$I$89,3,0)*0.475*44/12</f>
        <v>1.2475888959854307</v>
      </c>
      <c r="AB112" s="21">
        <f>EXP(-LN(2)/2)*AB111+(1-EXP(-LN(2)/2))/(LN(2)/2)*V112*Y112*VLOOKUP('Données projet'!$B$9,Paramètres!$A$1:$I$89,3,0)*0.475*44/12</f>
        <v>1.4203890076539833E-11</v>
      </c>
      <c r="AC112" s="22">
        <f t="shared" si="57"/>
        <v>3.1461945951941361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-3.4106051316484809E-13</v>
      </c>
      <c r="AJ112" s="13">
        <f>AI112*VLOOKUP('Données projet'!$B$10,Paramètres!$A$1:$I$89,3,0)*VLOOKUP('Données projet'!$B$10,Paramètres!$A$1:$I$89,5,0)</f>
        <v>-1.9065282685915009E-13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544.48194192356823</v>
      </c>
      <c r="AO112" s="59">
        <f t="shared" si="90"/>
        <v>668.20427590250733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1.5357044913702069</v>
      </c>
      <c r="AV112" s="21">
        <f>EXP(-LN(2)/25)*AV111+(1-EXP(-LN(2)/25))/(LN(2)/25)*Calculateur!AQ112*Calculateur!AS112*VLOOKUP('Données projet'!$B$10,Paramètres!$A$1:$I$89,3,0)*0.475*44/12</f>
        <v>4.7673760545205948</v>
      </c>
      <c r="AW112" s="21">
        <f>EXP(-LN(2)/2)*AW111+(1-EXP(-LN(2)/2))/(LN(2)/2)*AQ112*AT112*VLOOKUP('Données projet'!$B$10,Paramètres!$A$1:$I$89,3,0)*0.475*44/12</f>
        <v>1.8544661918544486E-11</v>
      </c>
      <c r="AX112" s="21">
        <f t="shared" si="60"/>
        <v>6.3030805459093457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>
        <f>BD112*VLOOKUP('Données projet'!$B$11,Paramètres!$A$1:$I$89,3,0)*VLOOKUP('Données projet'!$B$11,Paramètres!$A$1:$I$89,5,0)</f>
        <v>0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405.7176439604217</v>
      </c>
      <c r="BJ112" s="59">
        <f t="shared" si="92"/>
        <v>278.21741231699929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1.5288231546776885</v>
      </c>
      <c r="BQ112" s="21">
        <f>EXP(-LN(2)/25)*BQ111+(1-EXP(-LN(2)/25))/(LN(2)/25)*Calculateur!BL112*Calculateur!BN112*VLOOKUP('Données projet'!$B$11,Paramètres!$A$1:$I$89,3,0)*0.475*44/12</f>
        <v>1.0477125584371372</v>
      </c>
      <c r="BR112" s="21">
        <f>EXP(-LN(2)/2)*BR111+(1-EXP(-LN(2)/2))/(LN(2)/2)*BL112*BO112*VLOOKUP('Données projet'!$B$11,Paramètres!$A$1:$I$89,3,0)*0.475*44/12</f>
        <v>1.0977670172383354E-11</v>
      </c>
      <c r="BS112" s="22">
        <f t="shared" si="63"/>
        <v>2.5765357131258035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259.99999999999983</v>
      </c>
      <c r="BZ112" s="13">
        <f>BY112*VLOOKUP('Données projet'!$B$12,Paramètres!$A$1:$I$89,3,0)*VLOOKUP('Données projet'!$B$12,Paramètres!$A$1:$I$89,5,0)</f>
        <v>227.13599999999985</v>
      </c>
      <c r="CA112" s="13">
        <f t="shared" si="93"/>
        <v>55.662966886685133</v>
      </c>
      <c r="CB112" s="20">
        <f t="shared" si="64"/>
        <v>492.5415339943097</v>
      </c>
      <c r="CC112" s="59">
        <f t="shared" si="65"/>
        <v>785.87486732764296</v>
      </c>
      <c r="CD112" s="59">
        <f ca="1">AVERAGE(OFFSET($CC$3,0,0,'Données projet'!$E$12+1,1))-AVERAGE(OFFSET($H$3,0,0,'Données projet'!$E$12+1,1))</f>
        <v>381.72225529388083</v>
      </c>
      <c r="CE112" s="59">
        <f t="shared" si="94"/>
        <v>360.05900046417361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1.0065163753144057</v>
      </c>
      <c r="CL112" s="21">
        <f>EXP(-LN(2)/25)*CL111+(1-EXP(-LN(2)/25))/(LN(2)/25)*Calculateur!CG112*Calculateur!CI112*VLOOKUP('Données projet'!$B$12,Paramètres!$A$1:$I$89,3,0)*0.475*44/12</f>
        <v>1.2620032566020012</v>
      </c>
      <c r="CM112" s="21">
        <f>EXP(-LN(2)/2)*CM111+(1-EXP(-LN(2)/2))/(LN(2)/2)*CG112*CJ112*VLOOKUP('Données projet'!$B$12,Paramètres!$A$1:$I$89,3,0)*0.475*44/12</f>
        <v>9.0003301231593183E-12</v>
      </c>
      <c r="CN112" s="22">
        <f t="shared" si="66"/>
        <v>2.2685196319254071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-1.7053025658242404E-13</v>
      </c>
      <c r="CU112" s="17">
        <f>CT112*VLOOKUP('Données projet'!$B$13,Paramètres!$A$1:$I$89,3,0)*VLOOKUP('Données projet'!$B$13,Paramètres!$A$1:$I$89,5,0)</f>
        <v>-1.3567387213697657E-13</v>
      </c>
      <c r="CV112" s="13" t="e">
        <f t="shared" si="95"/>
        <v>#NUM!</v>
      </c>
      <c r="CW112" s="20" t="e">
        <f t="shared" si="67"/>
        <v>#NUM!</v>
      </c>
      <c r="CX112" s="59" t="e">
        <f t="shared" si="68"/>
        <v>#NUM!</v>
      </c>
      <c r="CY112" s="59">
        <f ca="1">AVERAGE(OFFSET($CX$3,0,0,'Données projet'!$E$13+1,1))-AVERAGE(OFFSET($H$3,0,0,'Données projet'!$E$13+1,1))</f>
        <v>299.10536994156814</v>
      </c>
      <c r="CZ112" s="59">
        <f t="shared" si="96"/>
        <v>292.57799203101769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1.7616125086671286</v>
      </c>
      <c r="DG112" s="21">
        <f>EXP(-LN(2)/25)*DG111+(1-EXP(-LN(2)/25))/(LN(2)/25)*Calculateur!DB112*Calculateur!DD112*VLOOKUP('Données projet'!$B$13,Paramètres!$A$1:$I$89,3,0)*0.475*44/12</f>
        <v>1.2097105636592986</v>
      </c>
      <c r="DH112" s="21">
        <f>EXP(-LN(2)/2)*DH111+(1-EXP(-LN(2)/2))/(LN(2)/2)*DB112*DE112*VLOOKUP('Données projet'!$B$13,Paramètres!$A$1:$I$89,3,0)*0.475*44/12</f>
        <v>1.154079773120279E-11</v>
      </c>
      <c r="DI112" s="22">
        <f t="shared" si="69"/>
        <v>2.9713230723379684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2.2737367544323206E-13</v>
      </c>
      <c r="DP112" s="17">
        <f>DO112*VLOOKUP('Données projet'!$B$14,Paramètres!$A$1:$I$89,3,0)*VLOOKUP('Données projet'!$B$14,Paramètres!$A$1:$I$89,5,0)</f>
        <v>1.4897523215040565E-13</v>
      </c>
      <c r="DQ112" s="13">
        <f t="shared" si="97"/>
        <v>2.136562777003313E-12</v>
      </c>
      <c r="DR112" s="20">
        <f t="shared" si="70"/>
        <v>3.9806453659427267E-12</v>
      </c>
      <c r="DS112" s="59">
        <f t="shared" si="71"/>
        <v>293.33333333333729</v>
      </c>
      <c r="DT112" s="59">
        <f ca="1">AVERAGE(OFFSET($DS$3,0,0,'Données projet'!$E$14+1,1))-AVERAGE(OFFSET($H$3,0,0,'Données projet'!$E$14+1,1))</f>
        <v>295.92103934364718</v>
      </c>
      <c r="DU112" s="59">
        <f t="shared" si="98"/>
        <v>304.84379909635476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0.93304260452116194</v>
      </c>
      <c r="EB112" s="21">
        <f>EXP(-LN(2)/25)*EB111+(1-EXP(-LN(2)/25))/(LN(2)/25)*Calculateur!DW112*Calculateur!DY112*VLOOKUP('Données projet'!$B$14,Paramètres!$A$1:$I$89,3,0)*0.475*44/12</f>
        <v>0.80016932669563001</v>
      </c>
      <c r="EC112" s="21">
        <f>EXP(-LN(2)/2)*EC111+(1-EXP(-LN(2)/2))/(LN(2)/2)*DW112*DZ112*VLOOKUP('Données projet'!$B$14,Paramètres!$A$1:$I$89,3,0)*0.475*44/12</f>
        <v>7.4018274022533158E-12</v>
      </c>
      <c r="ED112" s="22">
        <f t="shared" si="72"/>
        <v>1.7332119312241938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-1.1368683772161603E-13</v>
      </c>
      <c r="O113" s="13">
        <f>N113*VLOOKUP('Données projet'!$B$9,Paramètres!$A$1:$I$89,3,0)*VLOOKUP('Données projet'!$B$9,Paramètres!$A$1:$I$89,5,0)</f>
        <v>-5.3205440053716299E-14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319.22903094674564</v>
      </c>
      <c r="T113" s="59">
        <f t="shared" si="88"/>
        <v>254.58690973142848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1.8613751994684276</v>
      </c>
      <c r="AA113" s="21">
        <f>EXP(-LN(2)/25)*AA112+(1-EXP(-LN(2)/25))/(LN(2)/25)*Calculateur!V113*Calculateur!X113*VLOOKUP('Données projet'!$B$9,Paramètres!$A$1:$I$89,3,0)*0.475*44/12</f>
        <v>1.2134735120168605</v>
      </c>
      <c r="AB113" s="21">
        <f>EXP(-LN(2)/2)*AB112+(1-EXP(-LN(2)/2))/(LN(2)/2)*V113*Y113*VLOOKUP('Données projet'!$B$9,Paramètres!$A$1:$I$89,3,0)*0.475*44/12</f>
        <v>1.0043666992349627E-11</v>
      </c>
      <c r="AC113" s="22">
        <f t="shared" si="57"/>
        <v>3.0748487114953313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-3.4106051316484809E-13</v>
      </c>
      <c r="AJ113" s="13">
        <f>AI113*VLOOKUP('Données projet'!$B$10,Paramètres!$A$1:$I$89,3,0)*VLOOKUP('Données projet'!$B$10,Paramètres!$A$1:$I$89,5,0)</f>
        <v>-1.9065282685915009E-13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544.48194192356823</v>
      </c>
      <c r="AO113" s="59">
        <f t="shared" si="90"/>
        <v>668.20427590250733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1.5055902629816866</v>
      </c>
      <c r="AV113" s="21">
        <f>EXP(-LN(2)/25)*AV112+(1-EXP(-LN(2)/25))/(LN(2)/25)*Calculateur!AQ113*Calculateur!AS113*VLOOKUP('Données projet'!$B$10,Paramètres!$A$1:$I$89,3,0)*0.475*44/12</f>
        <v>4.637011905604318</v>
      </c>
      <c r="AW113" s="21">
        <f>EXP(-LN(2)/2)*AW112+(1-EXP(-LN(2)/2))/(LN(2)/2)*AQ113*AT113*VLOOKUP('Données projet'!$B$10,Paramètres!$A$1:$I$89,3,0)*0.475*44/12</f>
        <v>1.3113056197414736E-11</v>
      </c>
      <c r="AX113" s="21">
        <f t="shared" si="60"/>
        <v>6.1426021685991179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>
        <f>BD113*VLOOKUP('Données projet'!$B$11,Paramètres!$A$1:$I$89,3,0)*VLOOKUP('Données projet'!$B$11,Paramètres!$A$1:$I$89,5,0)</f>
        <v>0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405.7176439604217</v>
      </c>
      <c r="BJ113" s="59">
        <f t="shared" si="92"/>
        <v>278.21741231699929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1.4988438651045075</v>
      </c>
      <c r="BQ113" s="21">
        <f>EXP(-LN(2)/25)*BQ112+(1-EXP(-LN(2)/25))/(LN(2)/25)*Calculateur!BL113*Calculateur!BN113*VLOOKUP('Données projet'!$B$11,Paramètres!$A$1:$I$89,3,0)*0.475*44/12</f>
        <v>1.0190628034298648</v>
      </c>
      <c r="BR113" s="21">
        <f>EXP(-LN(2)/2)*BR112+(1-EXP(-LN(2)/2))/(LN(2)/2)*BL113*BO113*VLOOKUP('Données projet'!$B$11,Paramètres!$A$1:$I$89,3,0)*0.475*44/12</f>
        <v>7.7623850205215654E-12</v>
      </c>
      <c r="BS113" s="22">
        <f t="shared" si="63"/>
        <v>2.5179066685421345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259.99999999999983</v>
      </c>
      <c r="BZ113" s="13">
        <f>BY113*VLOOKUP('Données projet'!$B$12,Paramètres!$A$1:$I$89,3,0)*VLOOKUP('Données projet'!$B$12,Paramètres!$A$1:$I$89,5,0)</f>
        <v>227.13599999999985</v>
      </c>
      <c r="CA113" s="13">
        <f t="shared" si="93"/>
        <v>55.662966886685133</v>
      </c>
      <c r="CB113" s="20">
        <f t="shared" si="64"/>
        <v>492.5415339943097</v>
      </c>
      <c r="CC113" s="59">
        <f t="shared" si="65"/>
        <v>785.87486732764296</v>
      </c>
      <c r="CD113" s="59">
        <f ca="1">AVERAGE(OFFSET($CC$3,0,0,'Données projet'!$E$12+1,1))-AVERAGE(OFFSET($H$3,0,0,'Données projet'!$E$12+1,1))</f>
        <v>381.72225529388083</v>
      </c>
      <c r="CE113" s="59">
        <f t="shared" si="94"/>
        <v>360.05900046417361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0.98677920310886014</v>
      </c>
      <c r="CL113" s="21">
        <f>EXP(-LN(2)/25)*CL112+(1-EXP(-LN(2)/25))/(LN(2)/25)*Calculateur!CG113*Calculateur!CI113*VLOOKUP('Données projet'!$B$12,Paramètres!$A$1:$I$89,3,0)*0.475*44/12</f>
        <v>1.2274937111843525</v>
      </c>
      <c r="CM113" s="21">
        <f>EXP(-LN(2)/2)*CM112+(1-EXP(-LN(2)/2))/(LN(2)/2)*CG113*CJ113*VLOOKUP('Données projet'!$B$12,Paramètres!$A$1:$I$89,3,0)*0.475*44/12</f>
        <v>6.3641944630035086E-12</v>
      </c>
      <c r="CN113" s="22">
        <f t="shared" si="66"/>
        <v>2.2142729142995767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-1.7053025658242404E-13</v>
      </c>
      <c r="CU113" s="17">
        <f>CT113*VLOOKUP('Données projet'!$B$13,Paramètres!$A$1:$I$89,3,0)*VLOOKUP('Données projet'!$B$13,Paramètres!$A$1:$I$89,5,0)</f>
        <v>-1.3567387213697657E-13</v>
      </c>
      <c r="CV113" s="13" t="e">
        <f t="shared" si="95"/>
        <v>#NUM!</v>
      </c>
      <c r="CW113" s="20" t="e">
        <f t="shared" si="67"/>
        <v>#NUM!</v>
      </c>
      <c r="CX113" s="59" t="e">
        <f t="shared" si="68"/>
        <v>#NUM!</v>
      </c>
      <c r="CY113" s="59">
        <f ca="1">AVERAGE(OFFSET($CX$3,0,0,'Données projet'!$E$13+1,1))-AVERAGE(OFFSET($H$3,0,0,'Données projet'!$E$13+1,1))</f>
        <v>299.10536994156814</v>
      </c>
      <c r="CZ113" s="59">
        <f t="shared" si="96"/>
        <v>292.57799203101769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1.7270683618497007</v>
      </c>
      <c r="DG113" s="21">
        <f>EXP(-LN(2)/25)*DG112+(1-EXP(-LN(2)/25))/(LN(2)/25)*Calculateur!DB113*Calculateur!DD113*VLOOKUP('Données projet'!$B$13,Paramètres!$A$1:$I$89,3,0)*0.475*44/12</f>
        <v>1.1766309646801214</v>
      </c>
      <c r="DH113" s="21">
        <f>EXP(-LN(2)/2)*DH112+(1-EXP(-LN(2)/2))/(LN(2)/2)*DB113*DE113*VLOOKUP('Données projet'!$B$13,Paramètres!$A$1:$I$89,3,0)*0.475*44/12</f>
        <v>8.1605763360358154E-12</v>
      </c>
      <c r="DI113" s="22">
        <f t="shared" si="69"/>
        <v>2.9036993265379829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2.2737367544323206E-13</v>
      </c>
      <c r="DP113" s="17">
        <f>DO113*VLOOKUP('Données projet'!$B$14,Paramètres!$A$1:$I$89,3,0)*VLOOKUP('Données projet'!$B$14,Paramètres!$A$1:$I$89,5,0)</f>
        <v>1.4897523215040565E-13</v>
      </c>
      <c r="DQ113" s="13">
        <f t="shared" si="97"/>
        <v>2.136562777003313E-12</v>
      </c>
      <c r="DR113" s="20">
        <f t="shared" si="70"/>
        <v>3.9806453659427267E-12</v>
      </c>
      <c r="DS113" s="59">
        <f t="shared" si="71"/>
        <v>293.33333333333729</v>
      </c>
      <c r="DT113" s="59">
        <f ca="1">AVERAGE(OFFSET($DS$3,0,0,'Données projet'!$E$14+1,1))-AVERAGE(OFFSET($H$3,0,0,'Données projet'!$E$14+1,1))</f>
        <v>295.92103934364718</v>
      </c>
      <c r="DU113" s="59">
        <f t="shared" si="98"/>
        <v>304.84379909635476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0.91474620814629681</v>
      </c>
      <c r="EB113" s="21">
        <f>EXP(-LN(2)/25)*EB112+(1-EXP(-LN(2)/25))/(LN(2)/25)*Calculateur!DW113*Calculateur!DY113*VLOOKUP('Données projet'!$B$14,Paramètres!$A$1:$I$89,3,0)*0.475*44/12</f>
        <v>0.77828865437806194</v>
      </c>
      <c r="EC113" s="21">
        <f>EXP(-LN(2)/2)*EC112+(1-EXP(-LN(2)/2))/(LN(2)/2)*DW113*DZ113*VLOOKUP('Données projet'!$B$14,Paramètres!$A$1:$I$89,3,0)*0.475*44/12</f>
        <v>5.2338823493057269E-12</v>
      </c>
      <c r="ED113" s="22">
        <f t="shared" si="72"/>
        <v>1.6930348625295926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-1.1368683772161603E-13</v>
      </c>
      <c r="O114" s="13">
        <f>N114*VLOOKUP('Données projet'!$B$9,Paramètres!$A$1:$I$89,3,0)*VLOOKUP('Données projet'!$B$9,Paramètres!$A$1:$I$89,5,0)</f>
        <v>-5.3205440053716299E-14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319.22903094674564</v>
      </c>
      <c r="T114" s="59">
        <f t="shared" si="88"/>
        <v>254.58690973142848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1.8248747671336192</v>
      </c>
      <c r="AA114" s="21">
        <f>EXP(-LN(2)/25)*AA113+(1-EXP(-LN(2)/25))/(LN(2)/25)*Calculateur!V114*Calculateur!X114*VLOOKUP('Données projet'!$B$9,Paramètres!$A$1:$I$89,3,0)*0.475*44/12</f>
        <v>1.1802910150169608</v>
      </c>
      <c r="AB114" s="21">
        <f>EXP(-LN(2)/2)*AB113+(1-EXP(-LN(2)/2))/(LN(2)/2)*V114*Y114*VLOOKUP('Données projet'!$B$9,Paramètres!$A$1:$I$89,3,0)*0.475*44/12</f>
        <v>7.1019450382699182E-12</v>
      </c>
      <c r="AC114" s="22">
        <f t="shared" si="57"/>
        <v>3.0051657821576816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-3.4106051316484809E-13</v>
      </c>
      <c r="AJ114" s="13">
        <f>AI114*VLOOKUP('Données projet'!$B$10,Paramètres!$A$1:$I$89,3,0)*VLOOKUP('Données projet'!$B$10,Paramètres!$A$1:$I$89,5,0)</f>
        <v>-1.9065282685915009E-13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544.48194192356823</v>
      </c>
      <c r="AO114" s="59">
        <f t="shared" si="90"/>
        <v>668.20427590250733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1.4760665562439996</v>
      </c>
      <c r="AV114" s="21">
        <f>EXP(-LN(2)/25)*AV113+(1-EXP(-LN(2)/25))/(LN(2)/25)*Calculateur!AQ114*Calculateur!AS114*VLOOKUP('Données projet'!$B$10,Paramètres!$A$1:$I$89,3,0)*0.475*44/12</f>
        <v>4.5102125711957095</v>
      </c>
      <c r="AW114" s="21">
        <f>EXP(-LN(2)/2)*AW113+(1-EXP(-LN(2)/2))/(LN(2)/2)*AQ114*AT114*VLOOKUP('Données projet'!$B$10,Paramètres!$A$1:$I$89,3,0)*0.475*44/12</f>
        <v>9.2723309592722428E-12</v>
      </c>
      <c r="AX114" s="21">
        <f t="shared" si="60"/>
        <v>5.9862791274489817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>
        <f>BD114*VLOOKUP('Données projet'!$B$11,Paramètres!$A$1:$I$89,3,0)*VLOOKUP('Données projet'!$B$11,Paramètres!$A$1:$I$89,5,0)</f>
        <v>0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405.7176439604217</v>
      </c>
      <c r="BJ114" s="59">
        <f t="shared" si="92"/>
        <v>278.21741231699929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1.4694524511142957</v>
      </c>
      <c r="BQ114" s="21">
        <f>EXP(-LN(2)/25)*BQ113+(1-EXP(-LN(2)/25))/(LN(2)/25)*Calculateur!BL114*Calculateur!BN114*VLOOKUP('Données projet'!$B$11,Paramètres!$A$1:$I$89,3,0)*0.475*44/12</f>
        <v>0.99119647747989137</v>
      </c>
      <c r="BR114" s="21">
        <f>EXP(-LN(2)/2)*BR113+(1-EXP(-LN(2)/2))/(LN(2)/2)*BL114*BO114*VLOOKUP('Données projet'!$B$11,Paramètres!$A$1:$I$89,3,0)*0.475*44/12</f>
        <v>5.4888350861916768E-12</v>
      </c>
      <c r="BS114" s="22">
        <f t="shared" si="63"/>
        <v>2.4606489285996762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259.99999999999983</v>
      </c>
      <c r="BZ114" s="13">
        <f>BY114*VLOOKUP('Données projet'!$B$12,Paramètres!$A$1:$I$89,3,0)*VLOOKUP('Données projet'!$B$12,Paramètres!$A$1:$I$89,5,0)</f>
        <v>227.13599999999985</v>
      </c>
      <c r="CA114" s="13">
        <f t="shared" si="93"/>
        <v>55.662966886685133</v>
      </c>
      <c r="CB114" s="20">
        <f t="shared" si="64"/>
        <v>492.5415339943097</v>
      </c>
      <c r="CC114" s="59">
        <f t="shared" si="65"/>
        <v>785.87486732764296</v>
      </c>
      <c r="CD114" s="59">
        <f ca="1">AVERAGE(OFFSET($CC$3,0,0,'Données projet'!$E$12+1,1))-AVERAGE(OFFSET($H$3,0,0,'Données projet'!$E$12+1,1))</f>
        <v>381.72225529388083</v>
      </c>
      <c r="CE114" s="59">
        <f t="shared" si="94"/>
        <v>360.05900046417361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0.96742906481177893</v>
      </c>
      <c r="CL114" s="21">
        <f>EXP(-LN(2)/25)*CL113+(1-EXP(-LN(2)/25))/(LN(2)/25)*Calculateur!CG114*Calculateur!CI114*VLOOKUP('Données projet'!$B$12,Paramètres!$A$1:$I$89,3,0)*0.475*44/12</f>
        <v>1.1939278311009276</v>
      </c>
      <c r="CM114" s="21">
        <f>EXP(-LN(2)/2)*CM113+(1-EXP(-LN(2)/2))/(LN(2)/2)*CG114*CJ114*VLOOKUP('Données projet'!$B$12,Paramètres!$A$1:$I$89,3,0)*0.475*44/12</f>
        <v>4.5001650615796592E-12</v>
      </c>
      <c r="CN114" s="22">
        <f t="shared" si="66"/>
        <v>2.1613568959172063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-1.7053025658242404E-13</v>
      </c>
      <c r="CU114" s="17">
        <f>CT114*VLOOKUP('Données projet'!$B$13,Paramètres!$A$1:$I$89,3,0)*VLOOKUP('Données projet'!$B$13,Paramètres!$A$1:$I$89,5,0)</f>
        <v>-1.3567387213697657E-13</v>
      </c>
      <c r="CV114" s="13" t="e">
        <f t="shared" si="95"/>
        <v>#NUM!</v>
      </c>
      <c r="CW114" s="20" t="e">
        <f t="shared" si="67"/>
        <v>#NUM!</v>
      </c>
      <c r="CX114" s="59" t="e">
        <f t="shared" si="68"/>
        <v>#NUM!</v>
      </c>
      <c r="CY114" s="59">
        <f ca="1">AVERAGE(OFFSET($CX$3,0,0,'Données projet'!$E$13+1,1))-AVERAGE(OFFSET($H$3,0,0,'Données projet'!$E$13+1,1))</f>
        <v>299.10536994156814</v>
      </c>
      <c r="CZ114" s="59">
        <f t="shared" si="96"/>
        <v>292.57799203101769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1.6932016046815135</v>
      </c>
      <c r="DG114" s="21">
        <f>EXP(-LN(2)/25)*DG113+(1-EXP(-LN(2)/25))/(LN(2)/25)*Calculateur!DB114*Calculateur!DD114*VLOOKUP('Données projet'!$B$13,Paramètres!$A$1:$I$89,3,0)*0.475*44/12</f>
        <v>1.1444559290746104</v>
      </c>
      <c r="DH114" s="21">
        <f>EXP(-LN(2)/2)*DH113+(1-EXP(-LN(2)/2))/(LN(2)/2)*DB114*DE114*VLOOKUP('Données projet'!$B$13,Paramètres!$A$1:$I$89,3,0)*0.475*44/12</f>
        <v>5.7703988656013952E-12</v>
      </c>
      <c r="DI114" s="22">
        <f t="shared" si="69"/>
        <v>2.8376575337618943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2.2737367544323206E-13</v>
      </c>
      <c r="DP114" s="17">
        <f>DO114*VLOOKUP('Données projet'!$B$14,Paramètres!$A$1:$I$89,3,0)*VLOOKUP('Données projet'!$B$14,Paramètres!$A$1:$I$89,5,0)</f>
        <v>1.4897523215040565E-13</v>
      </c>
      <c r="DQ114" s="13">
        <f t="shared" si="97"/>
        <v>2.136562777003313E-12</v>
      </c>
      <c r="DR114" s="20">
        <f t="shared" si="70"/>
        <v>3.9806453659427267E-12</v>
      </c>
      <c r="DS114" s="59">
        <f t="shared" si="71"/>
        <v>293.33333333333729</v>
      </c>
      <c r="DT114" s="59">
        <f ca="1">AVERAGE(OFFSET($DS$3,0,0,'Données projet'!$E$14+1,1))-AVERAGE(OFFSET($H$3,0,0,'Données projet'!$E$14+1,1))</f>
        <v>295.92103934364718</v>
      </c>
      <c r="DU114" s="59">
        <f t="shared" si="98"/>
        <v>304.84379909635476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0.89680859294464288</v>
      </c>
      <c r="EB114" s="21">
        <f>EXP(-LN(2)/25)*EB113+(1-EXP(-LN(2)/25))/(LN(2)/25)*Calculateur!DW114*Calculateur!DY114*VLOOKUP('Données projet'!$B$14,Paramètres!$A$1:$I$89,3,0)*0.475*44/12</f>
        <v>0.75700631019567233</v>
      </c>
      <c r="EC114" s="21">
        <f>EXP(-LN(2)/2)*EC113+(1-EXP(-LN(2)/2))/(LN(2)/2)*DW114*DZ114*VLOOKUP('Données projet'!$B$14,Paramètres!$A$1:$I$89,3,0)*0.475*44/12</f>
        <v>3.7009137011266579E-12</v>
      </c>
      <c r="ED114" s="22">
        <f t="shared" si="72"/>
        <v>1.6538149031440159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-1.1368683772161603E-13</v>
      </c>
      <c r="O115" s="13">
        <f>N115*VLOOKUP('Données projet'!$B$9,Paramètres!$A$1:$I$89,3,0)*VLOOKUP('Données projet'!$B$9,Paramètres!$A$1:$I$89,5,0)</f>
        <v>-5.3205440053716299E-14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319.22903094674564</v>
      </c>
      <c r="T115" s="59">
        <f t="shared" si="88"/>
        <v>254.58690973142848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1.789090086013831</v>
      </c>
      <c r="AA115" s="21">
        <f>EXP(-LN(2)/25)*AA114+(1-EXP(-LN(2)/25))/(LN(2)/25)*Calculateur!V115*Calculateur!X115*VLOOKUP('Données projet'!$B$9,Paramètres!$A$1:$I$89,3,0)*0.475*44/12</f>
        <v>1.148015895142515</v>
      </c>
      <c r="AB115" s="21">
        <f>EXP(-LN(2)/2)*AB114+(1-EXP(-LN(2)/2))/(LN(2)/2)*V115*Y115*VLOOKUP('Données projet'!$B$9,Paramètres!$A$1:$I$89,3,0)*0.475*44/12</f>
        <v>5.0218334961748141E-12</v>
      </c>
      <c r="AC115" s="22">
        <f t="shared" si="57"/>
        <v>2.937105981161368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-3.4106051316484809E-13</v>
      </c>
      <c r="AJ115" s="13">
        <f>AI115*VLOOKUP('Données projet'!$B$10,Paramètres!$A$1:$I$89,3,0)*VLOOKUP('Données projet'!$B$10,Paramètres!$A$1:$I$89,5,0)</f>
        <v>-1.9065282685915009E-13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544.48194192356823</v>
      </c>
      <c r="AO115" s="59">
        <f t="shared" si="90"/>
        <v>668.20427590250733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1.4471217913877557</v>
      </c>
      <c r="AV115" s="21">
        <f>EXP(-LN(2)/25)*AV114+(1-EXP(-LN(2)/25))/(LN(2)/25)*Calculateur!AQ115*Calculateur!AS115*VLOOKUP('Données projet'!$B$10,Paramètres!$A$1:$I$89,3,0)*0.475*44/12</f>
        <v>4.3868805712545917</v>
      </c>
      <c r="AW115" s="21">
        <f>EXP(-LN(2)/2)*AW114+(1-EXP(-LN(2)/2))/(LN(2)/2)*AQ115*AT115*VLOOKUP('Données projet'!$B$10,Paramètres!$A$1:$I$89,3,0)*0.475*44/12</f>
        <v>6.5565280987073682E-12</v>
      </c>
      <c r="AX115" s="21">
        <f t="shared" si="60"/>
        <v>5.8340023626489037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>
        <f>BD115*VLOOKUP('Données projet'!$B$11,Paramètres!$A$1:$I$89,3,0)*VLOOKUP('Données projet'!$B$11,Paramètres!$A$1:$I$89,5,0)</f>
        <v>0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405.7176439604217</v>
      </c>
      <c r="BJ115" s="59">
        <f t="shared" si="92"/>
        <v>278.21741231699929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1.4406373848254395</v>
      </c>
      <c r="BQ115" s="21">
        <f>EXP(-LN(2)/25)*BQ114+(1-EXP(-LN(2)/25))/(LN(2)/25)*Calculateur!BL115*Calculateur!BN115*VLOOKUP('Données projet'!$B$11,Paramètres!$A$1:$I$89,3,0)*0.475*44/12</f>
        <v>0.96409215767844636</v>
      </c>
      <c r="BR115" s="21">
        <f>EXP(-LN(2)/2)*BR114+(1-EXP(-LN(2)/2))/(LN(2)/2)*BL115*BO115*VLOOKUP('Données projet'!$B$11,Paramètres!$A$1:$I$89,3,0)*0.475*44/12</f>
        <v>3.8811925102607827E-12</v>
      </c>
      <c r="BS115" s="22">
        <f t="shared" si="63"/>
        <v>2.4047295425077673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259.99999999999983</v>
      </c>
      <c r="BZ115" s="13">
        <f>BY115*VLOOKUP('Données projet'!$B$12,Paramètres!$A$1:$I$89,3,0)*VLOOKUP('Données projet'!$B$12,Paramètres!$A$1:$I$89,5,0)</f>
        <v>227.13599999999985</v>
      </c>
      <c r="CA115" s="13">
        <f t="shared" si="93"/>
        <v>55.662966886685133</v>
      </c>
      <c r="CB115" s="20">
        <f t="shared" si="64"/>
        <v>492.5415339943097</v>
      </c>
      <c r="CC115" s="59">
        <f t="shared" si="65"/>
        <v>785.87486732764296</v>
      </c>
      <c r="CD115" s="59">
        <f ca="1">AVERAGE(OFFSET($CC$3,0,0,'Données projet'!$E$12+1,1))-AVERAGE(OFFSET($H$3,0,0,'Données projet'!$E$12+1,1))</f>
        <v>381.72225529388083</v>
      </c>
      <c r="CE115" s="59">
        <f t="shared" si="94"/>
        <v>360.05900046417361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0.94845837092428453</v>
      </c>
      <c r="CL115" s="21">
        <f>EXP(-LN(2)/25)*CL114+(1-EXP(-LN(2)/25))/(LN(2)/25)*Calculateur!CG115*Calculateur!CI115*VLOOKUP('Données projet'!$B$12,Paramètres!$A$1:$I$89,3,0)*0.475*44/12</f>
        <v>1.1612798117735368</v>
      </c>
      <c r="CM115" s="21">
        <f>EXP(-LN(2)/2)*CM114+(1-EXP(-LN(2)/2))/(LN(2)/2)*CG115*CJ115*VLOOKUP('Données projet'!$B$12,Paramètres!$A$1:$I$89,3,0)*0.475*44/12</f>
        <v>3.1820972315017543E-12</v>
      </c>
      <c r="CN115" s="22">
        <f t="shared" si="66"/>
        <v>2.1097381827010033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-1.7053025658242404E-13</v>
      </c>
      <c r="CU115" s="17">
        <f>CT115*VLOOKUP('Données projet'!$B$13,Paramètres!$A$1:$I$89,3,0)*VLOOKUP('Données projet'!$B$13,Paramètres!$A$1:$I$89,5,0)</f>
        <v>-1.3567387213697657E-13</v>
      </c>
      <c r="CV115" s="13" t="e">
        <f t="shared" si="95"/>
        <v>#NUM!</v>
      </c>
      <c r="CW115" s="20" t="e">
        <f t="shared" si="67"/>
        <v>#NUM!</v>
      </c>
      <c r="CX115" s="59" t="e">
        <f t="shared" si="68"/>
        <v>#NUM!</v>
      </c>
      <c r="CY115" s="59">
        <f ca="1">AVERAGE(OFFSET($CX$3,0,0,'Données projet'!$E$13+1,1))-AVERAGE(OFFSET($H$3,0,0,'Données projet'!$E$13+1,1))</f>
        <v>299.10536994156814</v>
      </c>
      <c r="CZ115" s="59">
        <f t="shared" si="96"/>
        <v>292.57799203101769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1.6599989539647122</v>
      </c>
      <c r="DG115" s="21">
        <f>EXP(-LN(2)/25)*DG114+(1-EXP(-LN(2)/25))/(LN(2)/25)*Calculateur!DB115*Calculateur!DD115*VLOOKUP('Données projet'!$B$13,Paramètres!$A$1:$I$89,3,0)*0.475*44/12</f>
        <v>1.1131607215097434</v>
      </c>
      <c r="DH115" s="21">
        <f>EXP(-LN(2)/2)*DH114+(1-EXP(-LN(2)/2))/(LN(2)/2)*DB115*DE115*VLOOKUP('Données projet'!$B$13,Paramètres!$A$1:$I$89,3,0)*0.475*44/12</f>
        <v>4.0802881680179077E-12</v>
      </c>
      <c r="DI115" s="22">
        <f t="shared" si="69"/>
        <v>2.7731596754785359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2.2737367544323206E-13</v>
      </c>
      <c r="DP115" s="17">
        <f>DO115*VLOOKUP('Données projet'!$B$14,Paramètres!$A$1:$I$89,3,0)*VLOOKUP('Données projet'!$B$14,Paramètres!$A$1:$I$89,5,0)</f>
        <v>1.4897523215040565E-13</v>
      </c>
      <c r="DQ115" s="13">
        <f t="shared" si="97"/>
        <v>2.136562777003313E-12</v>
      </c>
      <c r="DR115" s="20">
        <f t="shared" si="70"/>
        <v>3.9806453659427267E-12</v>
      </c>
      <c r="DS115" s="59">
        <f t="shared" si="71"/>
        <v>293.33333333333729</v>
      </c>
      <c r="DT115" s="59">
        <f ca="1">AVERAGE(OFFSET($DS$3,0,0,'Données projet'!$E$14+1,1))-AVERAGE(OFFSET($H$3,0,0,'Données projet'!$E$14+1,1))</f>
        <v>295.92103934364718</v>
      </c>
      <c r="DU115" s="59">
        <f t="shared" si="98"/>
        <v>304.84379909635476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0.87922272343622843</v>
      </c>
      <c r="EB115" s="21">
        <f>EXP(-LN(2)/25)*EB114+(1-EXP(-LN(2)/25))/(LN(2)/25)*Calculateur!DW115*Calculateur!DY115*VLOOKUP('Données projet'!$B$14,Paramètres!$A$1:$I$89,3,0)*0.475*44/12</f>
        <v>0.73630593283414003</v>
      </c>
      <c r="EC115" s="21">
        <f>EXP(-LN(2)/2)*EC114+(1-EXP(-LN(2)/2))/(LN(2)/2)*DW115*DZ115*VLOOKUP('Données projet'!$B$14,Paramètres!$A$1:$I$89,3,0)*0.475*44/12</f>
        <v>2.6169411746528635E-12</v>
      </c>
      <c r="ED115" s="22">
        <f t="shared" si="72"/>
        <v>1.6155286562729856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-1.1368683772161603E-13</v>
      </c>
      <c r="O116" s="13">
        <f>N116*VLOOKUP('Données projet'!$B$9,Paramètres!$A$1:$I$89,3,0)*VLOOKUP('Données projet'!$B$9,Paramètres!$A$1:$I$89,5,0)</f>
        <v>-5.3205440053716299E-14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319.22903094674564</v>
      </c>
      <c r="T116" s="59">
        <f t="shared" si="88"/>
        <v>254.58690973142848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1.7540071206643015</v>
      </c>
      <c r="AA116" s="21">
        <f>EXP(-LN(2)/25)*AA115+(1-EXP(-LN(2)/25))/(LN(2)/25)*Calculateur!V116*Calculateur!X116*VLOOKUP('Données projet'!$B$9,Paramètres!$A$1:$I$89,3,0)*0.475*44/12</f>
        <v>1.1166233401183108</v>
      </c>
      <c r="AB116" s="21">
        <f>EXP(-LN(2)/2)*AB115+(1-EXP(-LN(2)/2))/(LN(2)/2)*V116*Y116*VLOOKUP('Données projet'!$B$9,Paramètres!$A$1:$I$89,3,0)*0.475*44/12</f>
        <v>3.5509725191349595E-12</v>
      </c>
      <c r="AC116" s="22">
        <f t="shared" si="57"/>
        <v>2.8706304607861632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-3.4106051316484809E-13</v>
      </c>
      <c r="AJ116" s="13">
        <f>AI116*VLOOKUP('Données projet'!$B$10,Paramètres!$A$1:$I$89,3,0)*VLOOKUP('Données projet'!$B$10,Paramètres!$A$1:$I$89,5,0)</f>
        <v>-1.9065282685915009E-13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544.48194192356823</v>
      </c>
      <c r="AO116" s="59">
        <f t="shared" si="90"/>
        <v>668.20427590250733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1.4187446157157793</v>
      </c>
      <c r="AV116" s="21">
        <f>EXP(-LN(2)/25)*AV115+(1-EXP(-LN(2)/25))/(LN(2)/25)*Calculateur!AQ116*Calculateur!AS116*VLOOKUP('Données projet'!$B$10,Paramètres!$A$1:$I$89,3,0)*0.475*44/12</f>
        <v>4.2669210913376121</v>
      </c>
      <c r="AW116" s="21">
        <f>EXP(-LN(2)/2)*AW115+(1-EXP(-LN(2)/2))/(LN(2)/2)*AQ116*AT116*VLOOKUP('Données projet'!$B$10,Paramètres!$A$1:$I$89,3,0)*0.475*44/12</f>
        <v>4.6361654796361214E-12</v>
      </c>
      <c r="AX116" s="21">
        <f t="shared" si="60"/>
        <v>5.6856657070580274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>
        <f>BD116*VLOOKUP('Données projet'!$B$11,Paramètres!$A$1:$I$89,3,0)*VLOOKUP('Données projet'!$B$11,Paramètres!$A$1:$I$89,5,0)</f>
        <v>0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405.7176439604217</v>
      </c>
      <c r="BJ116" s="59">
        <f t="shared" si="92"/>
        <v>278.21741231699929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1.4123873644110527</v>
      </c>
      <c r="BQ116" s="21">
        <f>EXP(-LN(2)/25)*BQ115+(1-EXP(-LN(2)/25))/(LN(2)/25)*Calculateur!BL116*Calculateur!BN116*VLOOKUP('Données projet'!$B$11,Paramètres!$A$1:$I$89,3,0)*0.475*44/12</f>
        <v>0.93772900692732608</v>
      </c>
      <c r="BR116" s="21">
        <f>EXP(-LN(2)/2)*BR115+(1-EXP(-LN(2)/2))/(LN(2)/2)*BL116*BO116*VLOOKUP('Données projet'!$B$11,Paramètres!$A$1:$I$89,3,0)*0.475*44/12</f>
        <v>2.7444175430958384E-12</v>
      </c>
      <c r="BS116" s="22">
        <f t="shared" si="63"/>
        <v>2.3501163713411231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259.99999999999983</v>
      </c>
      <c r="BZ116" s="13">
        <f>BY116*VLOOKUP('Données projet'!$B$12,Paramètres!$A$1:$I$89,3,0)*VLOOKUP('Données projet'!$B$12,Paramètres!$A$1:$I$89,5,0)</f>
        <v>227.13599999999985</v>
      </c>
      <c r="CA116" s="13">
        <f t="shared" si="93"/>
        <v>55.662966886685133</v>
      </c>
      <c r="CB116" s="20">
        <f t="shared" si="64"/>
        <v>492.5415339943097</v>
      </c>
      <c r="CC116" s="59">
        <f t="shared" si="65"/>
        <v>785.87486732764296</v>
      </c>
      <c r="CD116" s="59">
        <f ca="1">AVERAGE(OFFSET($CC$3,0,0,'Données projet'!$E$12+1,1))-AVERAGE(OFFSET($H$3,0,0,'Données projet'!$E$12+1,1))</f>
        <v>381.72225529388083</v>
      </c>
      <c r="CE116" s="59">
        <f t="shared" si="94"/>
        <v>360.05900046417361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0.92985968077294323</v>
      </c>
      <c r="CL116" s="21">
        <f>EXP(-LN(2)/25)*CL115+(1-EXP(-LN(2)/25))/(LN(2)/25)*Calculateur!CG116*Calculateur!CI116*VLOOKUP('Données projet'!$B$12,Paramètres!$A$1:$I$89,3,0)*0.475*44/12</f>
        <v>1.1295245542515382</v>
      </c>
      <c r="CM116" s="21">
        <f>EXP(-LN(2)/2)*CM115+(1-EXP(-LN(2)/2))/(LN(2)/2)*CG116*CJ116*VLOOKUP('Données projet'!$B$12,Paramètres!$A$1:$I$89,3,0)*0.475*44/12</f>
        <v>2.2500825307898296E-12</v>
      </c>
      <c r="CN116" s="22">
        <f t="shared" si="66"/>
        <v>2.0593842350267315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-1.7053025658242404E-13</v>
      </c>
      <c r="CU116" s="17">
        <f>CT116*VLOOKUP('Données projet'!$B$13,Paramètres!$A$1:$I$89,3,0)*VLOOKUP('Données projet'!$B$13,Paramètres!$A$1:$I$89,5,0)</f>
        <v>-1.3567387213697657E-13</v>
      </c>
      <c r="CV116" s="13" t="e">
        <f t="shared" si="95"/>
        <v>#NUM!</v>
      </c>
      <c r="CW116" s="20" t="e">
        <f t="shared" si="67"/>
        <v>#NUM!</v>
      </c>
      <c r="CX116" s="59" t="e">
        <f t="shared" si="68"/>
        <v>#NUM!</v>
      </c>
      <c r="CY116" s="59">
        <f ca="1">AVERAGE(OFFSET($CX$3,0,0,'Données projet'!$E$13+1,1))-AVERAGE(OFFSET($H$3,0,0,'Données projet'!$E$13+1,1))</f>
        <v>299.10536994156814</v>
      </c>
      <c r="CZ116" s="59">
        <f t="shared" si="96"/>
        <v>292.57799203101769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1.6274473869768502</v>
      </c>
      <c r="DG116" s="21">
        <f>EXP(-LN(2)/25)*DG115+(1-EXP(-LN(2)/25))/(LN(2)/25)*Calculateur!DB116*Calculateur!DD116*VLOOKUP('Données projet'!$B$13,Paramètres!$A$1:$I$89,3,0)*0.475*44/12</f>
        <v>1.0827212830414814</v>
      </c>
      <c r="DH116" s="21">
        <f>EXP(-LN(2)/2)*DH115+(1-EXP(-LN(2)/2))/(LN(2)/2)*DB116*DE116*VLOOKUP('Données projet'!$B$13,Paramètres!$A$1:$I$89,3,0)*0.475*44/12</f>
        <v>2.8851994328006976E-12</v>
      </c>
      <c r="DI116" s="22">
        <f t="shared" si="69"/>
        <v>2.7101686700212171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2.2737367544323206E-13</v>
      </c>
      <c r="DP116" s="17">
        <f>DO116*VLOOKUP('Données projet'!$B$14,Paramètres!$A$1:$I$89,3,0)*VLOOKUP('Données projet'!$B$14,Paramètres!$A$1:$I$89,5,0)</f>
        <v>1.4897523215040565E-13</v>
      </c>
      <c r="DQ116" s="13">
        <f t="shared" si="97"/>
        <v>2.136562777003313E-12</v>
      </c>
      <c r="DR116" s="20">
        <f t="shared" si="70"/>
        <v>3.9806453659427267E-12</v>
      </c>
      <c r="DS116" s="59">
        <f t="shared" si="71"/>
        <v>293.33333333333729</v>
      </c>
      <c r="DT116" s="59">
        <f ca="1">AVERAGE(OFFSET($DS$3,0,0,'Données projet'!$E$14+1,1))-AVERAGE(OFFSET($H$3,0,0,'Données projet'!$E$14+1,1))</f>
        <v>295.92103934364718</v>
      </c>
      <c r="DU116" s="59">
        <f t="shared" si="98"/>
        <v>304.84379909635476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0.86198170210255276</v>
      </c>
      <c r="EB116" s="21">
        <f>EXP(-LN(2)/25)*EB115+(1-EXP(-LN(2)/25))/(LN(2)/25)*Calculateur!DW116*Calculateur!DY116*VLOOKUP('Données projet'!$B$14,Paramètres!$A$1:$I$89,3,0)*0.475*44/12</f>
        <v>0.71617160838014426</v>
      </c>
      <c r="EC116" s="21">
        <f>EXP(-LN(2)/2)*EC115+(1-EXP(-LN(2)/2))/(LN(2)/2)*DW116*DZ116*VLOOKUP('Données projet'!$B$14,Paramètres!$A$1:$I$89,3,0)*0.475*44/12</f>
        <v>1.850456850563329E-12</v>
      </c>
      <c r="ED116" s="22">
        <f t="shared" si="72"/>
        <v>1.5781533104845475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-1.1368683772161603E-13</v>
      </c>
      <c r="O117" s="13">
        <f>N117*VLOOKUP('Données projet'!$B$9,Paramètres!$A$1:$I$89,3,0)*VLOOKUP('Données projet'!$B$9,Paramètres!$A$1:$I$89,5,0)</f>
        <v>-5.3205440053716299E-14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319.22903094674564</v>
      </c>
      <c r="T117" s="59">
        <f t="shared" si="88"/>
        <v>254.58690973142848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1.7196121108667803</v>
      </c>
      <c r="AA117" s="21">
        <f>EXP(-LN(2)/25)*AA116+(1-EXP(-LN(2)/25))/(LN(2)/25)*Calculateur!V117*Calculateur!X117*VLOOKUP('Données projet'!$B$9,Paramètres!$A$1:$I$89,3,0)*0.475*44/12</f>
        <v>1.0860892161621061</v>
      </c>
      <c r="AB117" s="21">
        <f>EXP(-LN(2)/2)*AB116+(1-EXP(-LN(2)/2))/(LN(2)/2)*V117*Y117*VLOOKUP('Données projet'!$B$9,Paramètres!$A$1:$I$89,3,0)*0.475*44/12</f>
        <v>2.5109167480874075E-12</v>
      </c>
      <c r="AC117" s="22">
        <f t="shared" si="57"/>
        <v>2.8057013270313975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-3.4106051316484809E-13</v>
      </c>
      <c r="AJ117" s="13">
        <f>AI117*VLOOKUP('Données projet'!$B$10,Paramètres!$A$1:$I$89,3,0)*VLOOKUP('Données projet'!$B$10,Paramètres!$A$1:$I$89,5,0)</f>
        <v>-1.9065282685915009E-13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544.48194192356823</v>
      </c>
      <c r="AO117" s="59">
        <f t="shared" si="90"/>
        <v>668.20427590250733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1.3909238991503623</v>
      </c>
      <c r="AV117" s="21">
        <f>EXP(-LN(2)/25)*AV116+(1-EXP(-LN(2)/25))/(LN(2)/25)*Calculateur!AQ117*Calculateur!AS117*VLOOKUP('Données projet'!$B$10,Paramètres!$A$1:$I$89,3,0)*0.475*44/12</f>
        <v>4.1502419097073568</v>
      </c>
      <c r="AW117" s="21">
        <f>EXP(-LN(2)/2)*AW116+(1-EXP(-LN(2)/2))/(LN(2)/2)*AQ117*AT117*VLOOKUP('Données projet'!$B$10,Paramètres!$A$1:$I$89,3,0)*0.475*44/12</f>
        <v>3.2782640493536841E-12</v>
      </c>
      <c r="AX117" s="21">
        <f t="shared" si="60"/>
        <v>5.5411658088609972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>
        <f>BD117*VLOOKUP('Données projet'!$B$11,Paramètres!$A$1:$I$89,3,0)*VLOOKUP('Données projet'!$B$11,Paramètres!$A$1:$I$89,5,0)</f>
        <v>0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405.7176439604217</v>
      </c>
      <c r="BJ117" s="59">
        <f t="shared" si="92"/>
        <v>278.21741231699929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1.384691309666181</v>
      </c>
      <c r="BQ117" s="21">
        <f>EXP(-LN(2)/25)*BQ116+(1-EXP(-LN(2)/25))/(LN(2)/25)*Calculateur!BL117*Calculateur!BN117*VLOOKUP('Données projet'!$B$11,Paramètres!$A$1:$I$89,3,0)*0.475*44/12</f>
        <v>0.91208675791987304</v>
      </c>
      <c r="BR117" s="21">
        <f>EXP(-LN(2)/2)*BR116+(1-EXP(-LN(2)/2))/(LN(2)/2)*BL117*BO117*VLOOKUP('Données projet'!$B$11,Paramètres!$A$1:$I$89,3,0)*0.475*44/12</f>
        <v>1.9405962551303913E-12</v>
      </c>
      <c r="BS117" s="22">
        <f t="shared" si="63"/>
        <v>2.2967780675879945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259.99999999999983</v>
      </c>
      <c r="BZ117" s="13">
        <f>BY117*VLOOKUP('Données projet'!$B$12,Paramètres!$A$1:$I$89,3,0)*VLOOKUP('Données projet'!$B$12,Paramètres!$A$1:$I$89,5,0)</f>
        <v>227.13599999999985</v>
      </c>
      <c r="CA117" s="13">
        <f t="shared" si="93"/>
        <v>55.662966886685133</v>
      </c>
      <c r="CB117" s="20">
        <f t="shared" si="64"/>
        <v>492.5415339943097</v>
      </c>
      <c r="CC117" s="59">
        <f t="shared" si="65"/>
        <v>785.87486732764296</v>
      </c>
      <c r="CD117" s="59">
        <f ca="1">AVERAGE(OFFSET($CC$3,0,0,'Données projet'!$E$12+1,1))-AVERAGE(OFFSET($H$3,0,0,'Données projet'!$E$12+1,1))</f>
        <v>381.72225529388083</v>
      </c>
      <c r="CE117" s="59">
        <f t="shared" si="94"/>
        <v>360.05900046417361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0.91162569959138884</v>
      </c>
      <c r="CL117" s="21">
        <f>EXP(-LN(2)/25)*CL116+(1-EXP(-LN(2)/25))/(LN(2)/25)*Calculateur!CG117*Calculateur!CI117*VLOOKUP('Données projet'!$B$12,Paramètres!$A$1:$I$89,3,0)*0.475*44/12</f>
        <v>1.0986376459164151</v>
      </c>
      <c r="CM117" s="21">
        <f>EXP(-LN(2)/2)*CM116+(1-EXP(-LN(2)/2))/(LN(2)/2)*CG117*CJ117*VLOOKUP('Données projet'!$B$12,Paramètres!$A$1:$I$89,3,0)*0.475*44/12</f>
        <v>1.5910486157508771E-12</v>
      </c>
      <c r="CN117" s="22">
        <f t="shared" si="66"/>
        <v>2.010263345509395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-1.7053025658242404E-13</v>
      </c>
      <c r="CU117" s="17">
        <f>CT117*VLOOKUP('Données projet'!$B$13,Paramètres!$A$1:$I$89,3,0)*VLOOKUP('Données projet'!$B$13,Paramètres!$A$1:$I$89,5,0)</f>
        <v>-1.3567387213697657E-13</v>
      </c>
      <c r="CV117" s="13" t="e">
        <f t="shared" si="95"/>
        <v>#NUM!</v>
      </c>
      <c r="CW117" s="20" t="e">
        <f t="shared" si="67"/>
        <v>#NUM!</v>
      </c>
      <c r="CX117" s="59" t="e">
        <f t="shared" si="68"/>
        <v>#NUM!</v>
      </c>
      <c r="CY117" s="59">
        <f ca="1">AVERAGE(OFFSET($CX$3,0,0,'Données projet'!$E$13+1,1))-AVERAGE(OFFSET($H$3,0,0,'Données projet'!$E$13+1,1))</f>
        <v>299.10536994156814</v>
      </c>
      <c r="CZ117" s="59">
        <f t="shared" si="96"/>
        <v>292.57799203101769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1.5955341363631248</v>
      </c>
      <c r="DG117" s="21">
        <f>EXP(-LN(2)/25)*DG116+(1-EXP(-LN(2)/25))/(LN(2)/25)*Calculateur!DB117*Calculateur!DD117*VLOOKUP('Données projet'!$B$13,Paramètres!$A$1:$I$89,3,0)*0.475*44/12</f>
        <v>1.0531142126188744</v>
      </c>
      <c r="DH117" s="21">
        <f>EXP(-LN(2)/2)*DH116+(1-EXP(-LN(2)/2))/(LN(2)/2)*DB117*DE117*VLOOKUP('Données projet'!$B$13,Paramètres!$A$1:$I$89,3,0)*0.475*44/12</f>
        <v>2.0401440840089539E-12</v>
      </c>
      <c r="DI117" s="22">
        <f t="shared" si="69"/>
        <v>2.6486483489840396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2.2737367544323206E-13</v>
      </c>
      <c r="DP117" s="17">
        <f>DO117*VLOOKUP('Données projet'!$B$14,Paramètres!$A$1:$I$89,3,0)*VLOOKUP('Données projet'!$B$14,Paramètres!$A$1:$I$89,5,0)</f>
        <v>1.4897523215040565E-13</v>
      </c>
      <c r="DQ117" s="13">
        <f t="shared" si="97"/>
        <v>2.136562777003313E-12</v>
      </c>
      <c r="DR117" s="20">
        <f t="shared" si="70"/>
        <v>3.9806453659427267E-12</v>
      </c>
      <c r="DS117" s="59">
        <f t="shared" si="71"/>
        <v>293.33333333333729</v>
      </c>
      <c r="DT117" s="59">
        <f ca="1">AVERAGE(OFFSET($DS$3,0,0,'Données projet'!$E$14+1,1))-AVERAGE(OFFSET($H$3,0,0,'Données projet'!$E$14+1,1))</f>
        <v>295.92103934364718</v>
      </c>
      <c r="DU117" s="59">
        <f t="shared" si="98"/>
        <v>304.84379909635476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0.84507876668124582</v>
      </c>
      <c r="EB117" s="21">
        <f>EXP(-LN(2)/25)*EB116+(1-EXP(-LN(2)/25))/(LN(2)/25)*Calculateur!DW117*Calculateur!DY117*VLOOKUP('Données projet'!$B$14,Paramètres!$A$1:$I$89,3,0)*0.475*44/12</f>
        <v>0.69658785808716117</v>
      </c>
      <c r="EC117" s="21">
        <f>EXP(-LN(2)/2)*EC116+(1-EXP(-LN(2)/2))/(LN(2)/2)*DW117*DZ117*VLOOKUP('Données projet'!$B$14,Paramètres!$A$1:$I$89,3,0)*0.475*44/12</f>
        <v>1.3084705873264317E-12</v>
      </c>
      <c r="ED117" s="22">
        <f t="shared" si="72"/>
        <v>1.5416666247697155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-1.1368683772161603E-13</v>
      </c>
      <c r="O118" s="13">
        <f>N118*VLOOKUP('Données projet'!$B$9,Paramètres!$A$1:$I$89,3,0)*VLOOKUP('Données projet'!$B$9,Paramètres!$A$1:$I$89,5,0)</f>
        <v>-5.3205440053716299E-14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319.22903094674564</v>
      </c>
      <c r="T118" s="59">
        <f t="shared" si="88"/>
        <v>254.58690973142848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1.685891566232504</v>
      </c>
      <c r="AA118" s="21">
        <f>EXP(-LN(2)/25)*AA117+(1-EXP(-LN(2)/25))/(LN(2)/25)*Calculateur!V118*Calculateur!X118*VLOOKUP('Données projet'!$B$9,Paramètres!$A$1:$I$89,3,0)*0.475*44/12</f>
        <v>1.0563900494312037</v>
      </c>
      <c r="AB118" s="21">
        <f>EXP(-LN(2)/2)*AB117+(1-EXP(-LN(2)/2))/(LN(2)/2)*V118*Y118*VLOOKUP('Données projet'!$B$9,Paramètres!$A$1:$I$89,3,0)*0.475*44/12</f>
        <v>1.7754862595674799E-12</v>
      </c>
      <c r="AC118" s="22">
        <f t="shared" si="57"/>
        <v>2.7422816156654832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-3.4106051316484809E-13</v>
      </c>
      <c r="AJ118" s="13">
        <f>AI118*VLOOKUP('Données projet'!$B$10,Paramètres!$A$1:$I$89,3,0)*VLOOKUP('Données projet'!$B$10,Paramètres!$A$1:$I$89,5,0)</f>
        <v>-1.9065282685915009E-13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544.48194192356823</v>
      </c>
      <c r="AO118" s="59">
        <f t="shared" si="90"/>
        <v>668.20427590250733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1.3636487298678317</v>
      </c>
      <c r="AV118" s="21">
        <f>EXP(-LN(2)/25)*AV117+(1-EXP(-LN(2)/25))/(LN(2)/25)*Calculateur!AQ118*Calculateur!AS118*VLOOKUP('Données projet'!$B$10,Paramètres!$A$1:$I$89,3,0)*0.475*44/12</f>
        <v>4.0367533264346722</v>
      </c>
      <c r="AW118" s="21">
        <f>EXP(-LN(2)/2)*AW117+(1-EXP(-LN(2)/2))/(LN(2)/2)*AQ118*AT118*VLOOKUP('Données projet'!$B$10,Paramètres!$A$1:$I$89,3,0)*0.475*44/12</f>
        <v>2.3180827398180607E-12</v>
      </c>
      <c r="AX118" s="21">
        <f t="shared" si="60"/>
        <v>5.4004020563048218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>
        <f>BD118*VLOOKUP('Données projet'!$B$11,Paramètres!$A$1:$I$89,3,0)*VLOOKUP('Données projet'!$B$11,Paramètres!$A$1:$I$89,5,0)</f>
        <v>0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405.7176439604217</v>
      </c>
      <c r="BJ118" s="59">
        <f t="shared" si="92"/>
        <v>278.21741231699929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1.3575383576619309</v>
      </c>
      <c r="BQ118" s="21">
        <f>EXP(-LN(2)/25)*BQ117+(1-EXP(-LN(2)/25))/(LN(2)/25)*Calculateur!BL118*Calculateur!BN118*VLOOKUP('Données projet'!$B$11,Paramètres!$A$1:$I$89,3,0)*0.475*44/12</f>
        <v>0.88714569755999606</v>
      </c>
      <c r="BR118" s="21">
        <f>EXP(-LN(2)/2)*BR117+(1-EXP(-LN(2)/2))/(LN(2)/2)*BL118*BO118*VLOOKUP('Données projet'!$B$11,Paramètres!$A$1:$I$89,3,0)*0.475*44/12</f>
        <v>1.3722087715479192E-12</v>
      </c>
      <c r="BS118" s="22">
        <f t="shared" si="63"/>
        <v>2.2446840552232992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259.99999999999983</v>
      </c>
      <c r="BZ118" s="13">
        <f>BY118*VLOOKUP('Données projet'!$B$12,Paramètres!$A$1:$I$89,3,0)*VLOOKUP('Données projet'!$B$12,Paramètres!$A$1:$I$89,5,0)</f>
        <v>227.13599999999985</v>
      </c>
      <c r="CA118" s="13">
        <f t="shared" si="93"/>
        <v>55.662966886685133</v>
      </c>
      <c r="CB118" s="20">
        <f t="shared" si="64"/>
        <v>492.5415339943097</v>
      </c>
      <c r="CC118" s="59">
        <f t="shared" si="65"/>
        <v>785.87486732764296</v>
      </c>
      <c r="CD118" s="59">
        <f ca="1">AVERAGE(OFFSET($CC$3,0,0,'Données projet'!$E$12+1,1))-AVERAGE(OFFSET($H$3,0,0,'Données projet'!$E$12+1,1))</f>
        <v>381.72225529388083</v>
      </c>
      <c r="CE118" s="59">
        <f t="shared" si="94"/>
        <v>360.05900046417361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0.89374927565917439</v>
      </c>
      <c r="CL118" s="21">
        <f>EXP(-LN(2)/25)*CL117+(1-EXP(-LN(2)/25))/(LN(2)/25)*Calculateur!CG118*Calculateur!CI118*VLOOKUP('Données projet'!$B$12,Paramètres!$A$1:$I$89,3,0)*0.475*44/12</f>
        <v>1.068595341713988</v>
      </c>
      <c r="CM118" s="21">
        <f>EXP(-LN(2)/2)*CM117+(1-EXP(-LN(2)/2))/(LN(2)/2)*CG118*CJ118*VLOOKUP('Données projet'!$B$12,Paramètres!$A$1:$I$89,3,0)*0.475*44/12</f>
        <v>1.1250412653949148E-12</v>
      </c>
      <c r="CN118" s="22">
        <f t="shared" si="66"/>
        <v>1.9623446173742873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-1.7053025658242404E-13</v>
      </c>
      <c r="CU118" s="17">
        <f>CT118*VLOOKUP('Données projet'!$B$13,Paramètres!$A$1:$I$89,3,0)*VLOOKUP('Données projet'!$B$13,Paramètres!$A$1:$I$89,5,0)</f>
        <v>-1.3567387213697657E-13</v>
      </c>
      <c r="CV118" s="13" t="e">
        <f t="shared" si="95"/>
        <v>#NUM!</v>
      </c>
      <c r="CW118" s="20" t="e">
        <f t="shared" si="67"/>
        <v>#NUM!</v>
      </c>
      <c r="CX118" s="59" t="e">
        <f t="shared" si="68"/>
        <v>#NUM!</v>
      </c>
      <c r="CY118" s="59">
        <f ca="1">AVERAGE(OFFSET($CX$3,0,0,'Données projet'!$E$13+1,1))-AVERAGE(OFFSET($H$3,0,0,'Données projet'!$E$13+1,1))</f>
        <v>299.10536994156814</v>
      </c>
      <c r="CZ118" s="59">
        <f t="shared" si="96"/>
        <v>292.57799203101769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1.5642466851287735</v>
      </c>
      <c r="DG118" s="21">
        <f>EXP(-LN(2)/25)*DG117+(1-EXP(-LN(2)/25))/(LN(2)/25)*Calculateur!DB118*Calculateur!DD118*VLOOKUP('Données projet'!$B$13,Paramètres!$A$1:$I$89,3,0)*0.475*44/12</f>
        <v>1.0243167490939418</v>
      </c>
      <c r="DH118" s="21">
        <f>EXP(-LN(2)/2)*DH117+(1-EXP(-LN(2)/2))/(LN(2)/2)*DB118*DE118*VLOOKUP('Données projet'!$B$13,Paramètres!$A$1:$I$89,3,0)*0.475*44/12</f>
        <v>1.4425997164003488E-12</v>
      </c>
      <c r="DI118" s="22">
        <f t="shared" si="69"/>
        <v>2.5885634342241577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2.2737367544323206E-13</v>
      </c>
      <c r="DP118" s="17">
        <f>DO118*VLOOKUP('Données projet'!$B$14,Paramètres!$A$1:$I$89,3,0)*VLOOKUP('Données projet'!$B$14,Paramètres!$A$1:$I$89,5,0)</f>
        <v>1.4897523215040565E-13</v>
      </c>
      <c r="DQ118" s="13">
        <f t="shared" si="97"/>
        <v>2.136562777003313E-12</v>
      </c>
      <c r="DR118" s="20">
        <f t="shared" si="70"/>
        <v>3.9806453659427267E-12</v>
      </c>
      <c r="DS118" s="59">
        <f t="shared" si="71"/>
        <v>293.33333333333729</v>
      </c>
      <c r="DT118" s="59">
        <f ca="1">AVERAGE(OFFSET($DS$3,0,0,'Données projet'!$E$14+1,1))-AVERAGE(OFFSET($H$3,0,0,'Données projet'!$E$14+1,1))</f>
        <v>295.92103934364718</v>
      </c>
      <c r="DU118" s="59">
        <f t="shared" si="98"/>
        <v>304.84379909635476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0.82850728751377811</v>
      </c>
      <c r="EB118" s="21">
        <f>EXP(-LN(2)/25)*EB117+(1-EXP(-LN(2)/25))/(LN(2)/25)*Calculateur!DW118*Calculateur!DY118*VLOOKUP('Données projet'!$B$14,Paramètres!$A$1:$I$89,3,0)*0.475*44/12</f>
        <v>0.67753962647580435</v>
      </c>
      <c r="EC118" s="21">
        <f>EXP(-LN(2)/2)*EC117+(1-EXP(-LN(2)/2))/(LN(2)/2)*DW118*DZ118*VLOOKUP('Données projet'!$B$14,Paramètres!$A$1:$I$89,3,0)*0.475*44/12</f>
        <v>9.2522842528166448E-13</v>
      </c>
      <c r="ED118" s="22">
        <f t="shared" si="72"/>
        <v>1.5060469139905077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-1.1368683772161603E-13</v>
      </c>
      <c r="O119" s="13">
        <f>N119*VLOOKUP('Données projet'!$B$9,Paramètres!$A$1:$I$89,3,0)*VLOOKUP('Données projet'!$B$9,Paramètres!$A$1:$I$89,5,0)</f>
        <v>-5.3205440053716299E-14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319.22903094674564</v>
      </c>
      <c r="T119" s="59">
        <f t="shared" si="88"/>
        <v>254.58690973142848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1.6528322609110047</v>
      </c>
      <c r="AA119" s="21">
        <f>EXP(-LN(2)/25)*AA118+(1-EXP(-LN(2)/25))/(LN(2)/25)*Calculateur!V119*Calculateur!X119*VLOOKUP('Données projet'!$B$9,Paramètres!$A$1:$I$89,3,0)*0.475*44/12</f>
        <v>1.0275030079763692</v>
      </c>
      <c r="AB119" s="21">
        <f>EXP(-LN(2)/2)*AB118+(1-EXP(-LN(2)/2))/(LN(2)/2)*V119*Y119*VLOOKUP('Données projet'!$B$9,Paramètres!$A$1:$I$89,3,0)*0.475*44/12</f>
        <v>1.2554583740437039E-12</v>
      </c>
      <c r="AC119" s="22">
        <f t="shared" si="57"/>
        <v>2.6803352688886295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-3.4106051316484809E-13</v>
      </c>
      <c r="AJ119" s="13">
        <f>AI119*VLOOKUP('Données projet'!$B$10,Paramètres!$A$1:$I$89,3,0)*VLOOKUP('Données projet'!$B$10,Paramètres!$A$1:$I$89,5,0)</f>
        <v>-1.9065282685915009E-13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544.48194192356823</v>
      </c>
      <c r="AO119" s="59">
        <f t="shared" si="90"/>
        <v>668.20427590250733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1.336908410018721</v>
      </c>
      <c r="AV119" s="21">
        <f>EXP(-LN(2)/25)*AV118+(1-EXP(-LN(2)/25))/(LN(2)/25)*Calculateur!AQ119*Calculateur!AS119*VLOOKUP('Données projet'!$B$10,Paramètres!$A$1:$I$89,3,0)*0.475*44/12</f>
        <v>3.9263680944396846</v>
      </c>
      <c r="AW119" s="21">
        <f>EXP(-LN(2)/2)*AW118+(1-EXP(-LN(2)/2))/(LN(2)/2)*AQ119*AT119*VLOOKUP('Données projet'!$B$10,Paramètres!$A$1:$I$89,3,0)*0.475*44/12</f>
        <v>1.639132024676842E-12</v>
      </c>
      <c r="AX119" s="21">
        <f t="shared" si="60"/>
        <v>5.2632765044600438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>
        <f>BD119*VLOOKUP('Données projet'!$B$11,Paramètres!$A$1:$I$89,3,0)*VLOOKUP('Données projet'!$B$11,Paramètres!$A$1:$I$89,5,0)</f>
        <v>0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405.7176439604217</v>
      </c>
      <c r="BJ119" s="59">
        <f t="shared" si="92"/>
        <v>278.21741231699929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1.3309178584848187</v>
      </c>
      <c r="BQ119" s="21">
        <f>EXP(-LN(2)/25)*BQ118+(1-EXP(-LN(2)/25))/(LN(2)/25)*Calculateur!BL119*Calculateur!BN119*VLOOKUP('Données projet'!$B$11,Paramètres!$A$1:$I$89,3,0)*0.475*44/12</f>
        <v>0.86288665180725332</v>
      </c>
      <c r="BR119" s="21">
        <f>EXP(-LN(2)/2)*BR118+(1-EXP(-LN(2)/2))/(LN(2)/2)*BL119*BO119*VLOOKUP('Données projet'!$B$11,Paramètres!$A$1:$I$89,3,0)*0.475*44/12</f>
        <v>9.7029812756519567E-13</v>
      </c>
      <c r="BS119" s="22">
        <f t="shared" si="63"/>
        <v>2.1938045102930421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259.99999999999983</v>
      </c>
      <c r="BZ119" s="13">
        <f>BY119*VLOOKUP('Données projet'!$B$12,Paramètres!$A$1:$I$89,3,0)*VLOOKUP('Données projet'!$B$12,Paramètres!$A$1:$I$89,5,0)</f>
        <v>227.13599999999985</v>
      </c>
      <c r="CA119" s="13">
        <f t="shared" si="93"/>
        <v>55.662966886685133</v>
      </c>
      <c r="CB119" s="20">
        <f t="shared" si="64"/>
        <v>492.5415339943097</v>
      </c>
      <c r="CC119" s="59">
        <f t="shared" si="65"/>
        <v>785.87486732764296</v>
      </c>
      <c r="CD119" s="59">
        <f ca="1">AVERAGE(OFFSET($CC$3,0,0,'Données projet'!$E$12+1,1))-AVERAGE(OFFSET($H$3,0,0,'Données projet'!$E$12+1,1))</f>
        <v>381.72225529388083</v>
      </c>
      <c r="CE119" s="59">
        <f t="shared" si="94"/>
        <v>360.05900046417361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0.87622339749672873</v>
      </c>
      <c r="CL119" s="21">
        <f>EXP(-LN(2)/25)*CL118+(1-EXP(-LN(2)/25))/(LN(2)/25)*Calculateur!CG119*Calculateur!CI119*VLOOKUP('Données projet'!$B$12,Paramètres!$A$1:$I$89,3,0)*0.475*44/12</f>
        <v>1.0393745458998322</v>
      </c>
      <c r="CM119" s="21">
        <f>EXP(-LN(2)/2)*CM118+(1-EXP(-LN(2)/2))/(LN(2)/2)*CG119*CJ119*VLOOKUP('Données projet'!$B$12,Paramètres!$A$1:$I$89,3,0)*0.475*44/12</f>
        <v>7.9552430787543857E-13</v>
      </c>
      <c r="CN119" s="22">
        <f t="shared" si="66"/>
        <v>1.9155979433973565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-1.7053025658242404E-13</v>
      </c>
      <c r="CU119" s="17">
        <f>CT119*VLOOKUP('Données projet'!$B$13,Paramètres!$A$1:$I$89,3,0)*VLOOKUP('Données projet'!$B$13,Paramètres!$A$1:$I$89,5,0)</f>
        <v>-1.3567387213697657E-13</v>
      </c>
      <c r="CV119" s="13" t="e">
        <f t="shared" si="95"/>
        <v>#NUM!</v>
      </c>
      <c r="CW119" s="20" t="e">
        <f t="shared" si="67"/>
        <v>#NUM!</v>
      </c>
      <c r="CX119" s="59" t="e">
        <f t="shared" si="68"/>
        <v>#NUM!</v>
      </c>
      <c r="CY119" s="59">
        <f ca="1">AVERAGE(OFFSET($CX$3,0,0,'Données projet'!$E$13+1,1))-AVERAGE(OFFSET($H$3,0,0,'Données projet'!$E$13+1,1))</f>
        <v>299.10536994156814</v>
      </c>
      <c r="CZ119" s="59">
        <f t="shared" si="96"/>
        <v>292.57799203101769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1.5335727617296671</v>
      </c>
      <c r="DG119" s="21">
        <f>EXP(-LN(2)/25)*DG118+(1-EXP(-LN(2)/25))/(LN(2)/25)*Calculateur!DB119*Calculateur!DD119*VLOOKUP('Données projet'!$B$13,Paramètres!$A$1:$I$89,3,0)*0.475*44/12</f>
        <v>0.9963067537234912</v>
      </c>
      <c r="DH119" s="21">
        <f>EXP(-LN(2)/2)*DH118+(1-EXP(-LN(2)/2))/(LN(2)/2)*DB119*DE119*VLOOKUP('Données projet'!$B$13,Paramètres!$A$1:$I$89,3,0)*0.475*44/12</f>
        <v>1.0200720420044769E-12</v>
      </c>
      <c r="DI119" s="22">
        <f t="shared" si="69"/>
        <v>2.5298795154541782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2.2737367544323206E-13</v>
      </c>
      <c r="DP119" s="17">
        <f>DO119*VLOOKUP('Données projet'!$B$14,Paramètres!$A$1:$I$89,3,0)*VLOOKUP('Données projet'!$B$14,Paramètres!$A$1:$I$89,5,0)</f>
        <v>1.4897523215040565E-13</v>
      </c>
      <c r="DQ119" s="13">
        <f t="shared" si="97"/>
        <v>2.136562777003313E-12</v>
      </c>
      <c r="DR119" s="20">
        <f t="shared" si="70"/>
        <v>3.9806453659427267E-12</v>
      </c>
      <c r="DS119" s="59">
        <f t="shared" si="71"/>
        <v>293.33333333333729</v>
      </c>
      <c r="DT119" s="59">
        <f ca="1">AVERAGE(OFFSET($DS$3,0,0,'Données projet'!$E$14+1,1))-AVERAGE(OFFSET($H$3,0,0,'Données projet'!$E$14+1,1))</f>
        <v>295.92103934364718</v>
      </c>
      <c r="DU119" s="59">
        <f t="shared" si="98"/>
        <v>304.84379909635476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0.81226076494518018</v>
      </c>
      <c r="EB119" s="21">
        <f>EXP(-LN(2)/25)*EB118+(1-EXP(-LN(2)/25))/(LN(2)/25)*Calculateur!DW119*Calculateur!DY119*VLOOKUP('Données projet'!$B$14,Paramètres!$A$1:$I$89,3,0)*0.475*44/12</f>
        <v>0.65901226975956306</v>
      </c>
      <c r="EC119" s="21">
        <f>EXP(-LN(2)/2)*EC118+(1-EXP(-LN(2)/2))/(LN(2)/2)*DW119*DZ119*VLOOKUP('Données projet'!$B$14,Paramètres!$A$1:$I$89,3,0)*0.475*44/12</f>
        <v>6.5423529366321587E-13</v>
      </c>
      <c r="ED119" s="22">
        <f t="shared" si="72"/>
        <v>1.4712730347053973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-1.1368683772161603E-13</v>
      </c>
      <c r="O120" s="13">
        <f>N120*VLOOKUP('Données projet'!$B$9,Paramètres!$A$1:$I$89,3,0)*VLOOKUP('Données projet'!$B$9,Paramètres!$A$1:$I$89,5,0)</f>
        <v>-5.3205440053716299E-14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319.22903094674564</v>
      </c>
      <c r="T120" s="59">
        <f t="shared" si="88"/>
        <v>254.58690973142848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1.6204212284026747</v>
      </c>
      <c r="AA120" s="21">
        <f>EXP(-LN(2)/25)*AA119+(1-EXP(-LN(2)/25))/(LN(2)/25)*Calculateur!V120*Calculateur!X120*VLOOKUP('Données projet'!$B$9,Paramètres!$A$1:$I$89,3,0)*0.475*44/12</f>
        <v>0.99940588418922061</v>
      </c>
      <c r="AB120" s="21">
        <f>EXP(-LN(2)/2)*AB119+(1-EXP(-LN(2)/2))/(LN(2)/2)*V120*Y120*VLOOKUP('Données projet'!$B$9,Paramètres!$A$1:$I$89,3,0)*0.475*44/12</f>
        <v>8.8774312978374017E-13</v>
      </c>
      <c r="AC120" s="22">
        <f t="shared" si="57"/>
        <v>2.619827112592783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-3.4106051316484809E-13</v>
      </c>
      <c r="AJ120" s="13">
        <f>AI120*VLOOKUP('Données projet'!$B$10,Paramètres!$A$1:$I$89,3,0)*VLOOKUP('Données projet'!$B$10,Paramètres!$A$1:$I$89,5,0)</f>
        <v>-1.9065282685915009E-13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544.48194192356823</v>
      </c>
      <c r="AO120" s="59">
        <f t="shared" si="90"/>
        <v>668.20427590250733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1.3106924515318665</v>
      </c>
      <c r="AV120" s="21">
        <f>EXP(-LN(2)/25)*AV119+(1-EXP(-LN(2)/25))/(LN(2)/25)*Calculateur!AQ120*Calculateur!AS120*VLOOKUP('Données projet'!$B$10,Paramètres!$A$1:$I$89,3,0)*0.475*44/12</f>
        <v>3.8190013524185074</v>
      </c>
      <c r="AW120" s="21">
        <f>EXP(-LN(2)/2)*AW119+(1-EXP(-LN(2)/2))/(LN(2)/2)*AQ120*AT120*VLOOKUP('Données projet'!$B$10,Paramètres!$A$1:$I$89,3,0)*0.475*44/12</f>
        <v>1.1590413699090303E-12</v>
      </c>
      <c r="AX120" s="21">
        <f t="shared" si="60"/>
        <v>5.1296938039515334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>
        <f>BD120*VLOOKUP('Données projet'!$B$11,Paramètres!$A$1:$I$89,3,0)*VLOOKUP('Données projet'!$B$11,Paramètres!$A$1:$I$89,5,0)</f>
        <v>0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405.7176439604217</v>
      </c>
      <c r="BJ120" s="59">
        <f t="shared" si="92"/>
        <v>278.21741231699929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1.3048193710596685</v>
      </c>
      <c r="BQ120" s="21">
        <f>EXP(-LN(2)/25)*BQ119+(1-EXP(-LN(2)/25))/(LN(2)/25)*Calculateur!BL120*Calculateur!BN120*VLOOKUP('Données projet'!$B$11,Paramètres!$A$1:$I$89,3,0)*0.475*44/12</f>
        <v>0.83929097093634708</v>
      </c>
      <c r="BR120" s="21">
        <f>EXP(-LN(2)/2)*BR119+(1-EXP(-LN(2)/2))/(LN(2)/2)*BL120*BO120*VLOOKUP('Données projet'!$B$11,Paramètres!$A$1:$I$89,3,0)*0.475*44/12</f>
        <v>6.861043857739596E-13</v>
      </c>
      <c r="BS120" s="22">
        <f t="shared" si="63"/>
        <v>2.1441103419967016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259.99999999999983</v>
      </c>
      <c r="BZ120" s="13">
        <f>BY120*VLOOKUP('Données projet'!$B$12,Paramètres!$A$1:$I$89,3,0)*VLOOKUP('Données projet'!$B$12,Paramètres!$A$1:$I$89,5,0)</f>
        <v>227.13599999999985</v>
      </c>
      <c r="CA120" s="13">
        <f t="shared" si="93"/>
        <v>55.662966886685133</v>
      </c>
      <c r="CB120" s="20">
        <f t="shared" si="64"/>
        <v>492.5415339943097</v>
      </c>
      <c r="CC120" s="59">
        <f t="shared" si="65"/>
        <v>785.87486732764296</v>
      </c>
      <c r="CD120" s="59">
        <f ca="1">AVERAGE(OFFSET($CC$3,0,0,'Données projet'!$E$12+1,1))-AVERAGE(OFFSET($H$3,0,0,'Données projet'!$E$12+1,1))</f>
        <v>381.72225529388083</v>
      </c>
      <c r="CE120" s="59">
        <f t="shared" si="94"/>
        <v>360.05900046417361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0.8590411911153184</v>
      </c>
      <c r="CL120" s="21">
        <f>EXP(-LN(2)/25)*CL119+(1-EXP(-LN(2)/25))/(LN(2)/25)*Calculateur!CG120*Calculateur!CI120*VLOOKUP('Données projet'!$B$12,Paramètres!$A$1:$I$89,3,0)*0.475*44/12</f>
        <v>1.0109527942838694</v>
      </c>
      <c r="CM120" s="21">
        <f>EXP(-LN(2)/2)*CM119+(1-EXP(-LN(2)/2))/(LN(2)/2)*CG120*CJ120*VLOOKUP('Données projet'!$B$12,Paramètres!$A$1:$I$89,3,0)*0.475*44/12</f>
        <v>5.6252063269745739E-13</v>
      </c>
      <c r="CN120" s="22">
        <f t="shared" si="66"/>
        <v>1.8699939853997503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-1.7053025658242404E-13</v>
      </c>
      <c r="CU120" s="17">
        <f>CT120*VLOOKUP('Données projet'!$B$13,Paramètres!$A$1:$I$89,3,0)*VLOOKUP('Données projet'!$B$13,Paramètres!$A$1:$I$89,5,0)</f>
        <v>-1.3567387213697657E-13</v>
      </c>
      <c r="CV120" s="13" t="e">
        <f t="shared" si="95"/>
        <v>#NUM!</v>
      </c>
      <c r="CW120" s="20" t="e">
        <f t="shared" si="67"/>
        <v>#NUM!</v>
      </c>
      <c r="CX120" s="59" t="e">
        <f t="shared" si="68"/>
        <v>#NUM!</v>
      </c>
      <c r="CY120" s="59">
        <f ca="1">AVERAGE(OFFSET($CX$3,0,0,'Données projet'!$E$13+1,1))-AVERAGE(OFFSET($H$3,0,0,'Données projet'!$E$13+1,1))</f>
        <v>299.10536994156814</v>
      </c>
      <c r="CZ120" s="59">
        <f t="shared" si="96"/>
        <v>292.57799203101769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1.5035003352591712</v>
      </c>
      <c r="DG120" s="21">
        <f>EXP(-LN(2)/25)*DG119+(1-EXP(-LN(2)/25))/(LN(2)/25)*Calculateur!DB120*Calculateur!DD120*VLOOKUP('Données projet'!$B$13,Paramètres!$A$1:$I$89,3,0)*0.475*44/12</f>
        <v>0.96906269314942728</v>
      </c>
      <c r="DH120" s="21">
        <f>EXP(-LN(2)/2)*DH119+(1-EXP(-LN(2)/2))/(LN(2)/2)*DB120*DE120*VLOOKUP('Données projet'!$B$13,Paramètres!$A$1:$I$89,3,0)*0.475*44/12</f>
        <v>7.2129985820017441E-13</v>
      </c>
      <c r="DI120" s="22">
        <f t="shared" si="69"/>
        <v>2.4725630284093194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2.2737367544323206E-13</v>
      </c>
      <c r="DP120" s="17">
        <f>DO120*VLOOKUP('Données projet'!$B$14,Paramètres!$A$1:$I$89,3,0)*VLOOKUP('Données projet'!$B$14,Paramètres!$A$1:$I$89,5,0)</f>
        <v>1.4897523215040565E-13</v>
      </c>
      <c r="DQ120" s="13">
        <f t="shared" si="97"/>
        <v>2.136562777003313E-12</v>
      </c>
      <c r="DR120" s="20">
        <f t="shared" si="70"/>
        <v>3.9806453659427267E-12</v>
      </c>
      <c r="DS120" s="59">
        <f t="shared" si="71"/>
        <v>293.33333333333729</v>
      </c>
      <c r="DT120" s="59">
        <f ca="1">AVERAGE(OFFSET($DS$3,0,0,'Données projet'!$E$14+1,1))-AVERAGE(OFFSET($H$3,0,0,'Données projet'!$E$14+1,1))</f>
        <v>295.92103934364718</v>
      </c>
      <c r="DU120" s="59">
        <f t="shared" si="98"/>
        <v>304.84379909635476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0.79633282677475214</v>
      </c>
      <c r="EB120" s="21">
        <f>EXP(-LN(2)/25)*EB119+(1-EXP(-LN(2)/25))/(LN(2)/25)*Calculateur!DW120*Calculateur!DY120*VLOOKUP('Données projet'!$B$14,Paramètres!$A$1:$I$89,3,0)*0.475*44/12</f>
        <v>0.64099154458703878</v>
      </c>
      <c r="EC120" s="21">
        <f>EXP(-LN(2)/2)*EC119+(1-EXP(-LN(2)/2))/(LN(2)/2)*DW120*DZ120*VLOOKUP('Données projet'!$B$14,Paramètres!$A$1:$I$89,3,0)*0.475*44/12</f>
        <v>4.6261421264083224E-13</v>
      </c>
      <c r="ED120" s="22">
        <f t="shared" si="72"/>
        <v>1.4373243713622534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-1.1368683772161603E-13</v>
      </c>
      <c r="O121" s="13">
        <f>N121*VLOOKUP('Données projet'!$B$9,Paramètres!$A$1:$I$89,3,0)*VLOOKUP('Données projet'!$B$9,Paramètres!$A$1:$I$89,5,0)</f>
        <v>-5.3205440053716299E-14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319.22903094674564</v>
      </c>
      <c r="T121" s="59">
        <f t="shared" si="88"/>
        <v>254.58690973142848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1.5886457564730552</v>
      </c>
      <c r="AA121" s="21">
        <f>EXP(-LN(2)/25)*AA120+(1-EXP(-LN(2)/25))/(LN(2)/25)*Calculateur!V121*Calculateur!X121*VLOOKUP('Données projet'!$B$9,Paramètres!$A$1:$I$89,3,0)*0.475*44/12</f>
        <v>0.97207707772959506</v>
      </c>
      <c r="AB121" s="21">
        <f>EXP(-LN(2)/2)*AB120+(1-EXP(-LN(2)/2))/(LN(2)/2)*V121*Y121*VLOOKUP('Données projet'!$B$9,Paramètres!$A$1:$I$89,3,0)*0.475*44/12</f>
        <v>6.2772918702185207E-13</v>
      </c>
      <c r="AC121" s="22">
        <f t="shared" si="57"/>
        <v>2.5607228342032782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-3.4106051316484809E-13</v>
      </c>
      <c r="AJ121" s="13">
        <f>AI121*VLOOKUP('Données projet'!$B$10,Paramètres!$A$1:$I$89,3,0)*VLOOKUP('Données projet'!$B$10,Paramètres!$A$1:$I$89,5,0)</f>
        <v>-1.9065282685915009E-13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544.48194192356823</v>
      </c>
      <c r="AO121" s="59">
        <f t="shared" si="90"/>
        <v>668.20427590250733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1.2849905720007835</v>
      </c>
      <c r="AV121" s="21">
        <f>EXP(-LN(2)/25)*AV120+(1-EXP(-LN(2)/25))/(LN(2)/25)*Calculateur!AQ121*Calculateur!AS121*VLOOKUP('Données projet'!$B$10,Paramètres!$A$1:$I$89,3,0)*0.475*44/12</f>
        <v>3.7145705596040708</v>
      </c>
      <c r="AW121" s="21">
        <f>EXP(-LN(2)/2)*AW120+(1-EXP(-LN(2)/2))/(LN(2)/2)*AQ121*AT121*VLOOKUP('Données projet'!$B$10,Paramètres!$A$1:$I$89,3,0)*0.475*44/12</f>
        <v>8.1956601233842102E-13</v>
      </c>
      <c r="AX121" s="21">
        <f t="shared" si="60"/>
        <v>4.9995611316056738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>
        <f>BD121*VLOOKUP('Données projet'!$B$11,Paramètres!$A$1:$I$89,3,0)*VLOOKUP('Données projet'!$B$11,Paramètres!$A$1:$I$89,5,0)</f>
        <v>0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405.7176439604217</v>
      </c>
      <c r="BJ121" s="59">
        <f t="shared" si="92"/>
        <v>278.21741231699929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1.2792326590544201</v>
      </c>
      <c r="BQ121" s="21">
        <f>EXP(-LN(2)/25)*BQ120+(1-EXP(-LN(2)/25))/(LN(2)/25)*Calculateur!BL121*Calculateur!BN121*VLOOKUP('Données projet'!$B$11,Paramètres!$A$1:$I$89,3,0)*0.475*44/12</f>
        <v>0.81634051519969875</v>
      </c>
      <c r="BR121" s="21">
        <f>EXP(-LN(2)/2)*BR120+(1-EXP(-LN(2)/2))/(LN(2)/2)*BL121*BO121*VLOOKUP('Données projet'!$B$11,Paramètres!$A$1:$I$89,3,0)*0.475*44/12</f>
        <v>4.8514906378259784E-13</v>
      </c>
      <c r="BS121" s="22">
        <f t="shared" si="63"/>
        <v>2.0955731742546035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259.99999999999983</v>
      </c>
      <c r="BZ121" s="13">
        <f>BY121*VLOOKUP('Données projet'!$B$12,Paramètres!$A$1:$I$89,3,0)*VLOOKUP('Données projet'!$B$12,Paramètres!$A$1:$I$89,5,0)</f>
        <v>227.13599999999985</v>
      </c>
      <c r="CA121" s="13">
        <f t="shared" si="93"/>
        <v>55.662966886685133</v>
      </c>
      <c r="CB121" s="20">
        <f t="shared" si="64"/>
        <v>492.5415339943097</v>
      </c>
      <c r="CC121" s="59">
        <f t="shared" si="65"/>
        <v>785.87486732764296</v>
      </c>
      <c r="CD121" s="59">
        <f ca="1">AVERAGE(OFFSET($CC$3,0,0,'Données projet'!$E$12+1,1))-AVERAGE(OFFSET($H$3,0,0,'Données projet'!$E$12+1,1))</f>
        <v>381.72225529388083</v>
      </c>
      <c r="CE121" s="59">
        <f t="shared" si="94"/>
        <v>360.05900046417361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0.84219591732093646</v>
      </c>
      <c r="CL121" s="21">
        <f>EXP(-LN(2)/25)*CL120+(1-EXP(-LN(2)/25))/(LN(2)/25)*Calculateur!CG121*Calculateur!CI121*VLOOKUP('Données projet'!$B$12,Paramètres!$A$1:$I$89,3,0)*0.475*44/12</f>
        <v>0.98330823696048009</v>
      </c>
      <c r="CM121" s="21">
        <f>EXP(-LN(2)/2)*CM120+(1-EXP(-LN(2)/2))/(LN(2)/2)*CG121*CJ121*VLOOKUP('Données projet'!$B$12,Paramètres!$A$1:$I$89,3,0)*0.475*44/12</f>
        <v>3.9776215393771928E-13</v>
      </c>
      <c r="CN121" s="22">
        <f t="shared" si="66"/>
        <v>1.8255041542818142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-1.7053025658242404E-13</v>
      </c>
      <c r="CU121" s="17">
        <f>CT121*VLOOKUP('Données projet'!$B$13,Paramètres!$A$1:$I$89,3,0)*VLOOKUP('Données projet'!$B$13,Paramètres!$A$1:$I$89,5,0)</f>
        <v>-1.3567387213697657E-13</v>
      </c>
      <c r="CV121" s="13" t="e">
        <f t="shared" si="95"/>
        <v>#NUM!</v>
      </c>
      <c r="CW121" s="20" t="e">
        <f t="shared" si="67"/>
        <v>#NUM!</v>
      </c>
      <c r="CX121" s="59" t="e">
        <f t="shared" si="68"/>
        <v>#NUM!</v>
      </c>
      <c r="CY121" s="59">
        <f ca="1">AVERAGE(OFFSET($CX$3,0,0,'Données projet'!$E$13+1,1))-AVERAGE(OFFSET($H$3,0,0,'Données projet'!$E$13+1,1))</f>
        <v>299.10536994156814</v>
      </c>
      <c r="CZ121" s="59">
        <f t="shared" si="96"/>
        <v>292.57799203101769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1.4740176107293927</v>
      </c>
      <c r="DG121" s="21">
        <f>EXP(-LN(2)/25)*DG120+(1-EXP(-LN(2)/25))/(LN(2)/25)*Calculateur!DB121*Calculateur!DD121*VLOOKUP('Données projet'!$B$13,Paramètres!$A$1:$I$89,3,0)*0.475*44/12</f>
        <v>0.94256362284446393</v>
      </c>
      <c r="DH121" s="21">
        <f>EXP(-LN(2)/2)*DH120+(1-EXP(-LN(2)/2))/(LN(2)/2)*DB121*DE121*VLOOKUP('Données projet'!$B$13,Paramètres!$A$1:$I$89,3,0)*0.475*44/12</f>
        <v>5.1003602100223847E-13</v>
      </c>
      <c r="DI121" s="22">
        <f t="shared" si="69"/>
        <v>2.4165812335743664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2.2737367544323206E-13</v>
      </c>
      <c r="DP121" s="17">
        <f>DO121*VLOOKUP('Données projet'!$B$14,Paramètres!$A$1:$I$89,3,0)*VLOOKUP('Données projet'!$B$14,Paramètres!$A$1:$I$89,5,0)</f>
        <v>1.4897523215040565E-13</v>
      </c>
      <c r="DQ121" s="13">
        <f t="shared" si="97"/>
        <v>2.136562777003313E-12</v>
      </c>
      <c r="DR121" s="20">
        <f t="shared" si="70"/>
        <v>3.9806453659427267E-12</v>
      </c>
      <c r="DS121" s="59">
        <f t="shared" si="71"/>
        <v>293.33333333333729</v>
      </c>
      <c r="DT121" s="59">
        <f ca="1">AVERAGE(OFFSET($DS$3,0,0,'Données projet'!$E$14+1,1))-AVERAGE(OFFSET($H$3,0,0,'Données projet'!$E$14+1,1))</f>
        <v>295.92103934364718</v>
      </c>
      <c r="DU121" s="59">
        <f t="shared" si="98"/>
        <v>304.84379909635476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0.78071722575676317</v>
      </c>
      <c r="EB121" s="21">
        <f>EXP(-LN(2)/25)*EB120+(1-EXP(-LN(2)/25))/(LN(2)/25)*Calculateur!DW121*Calculateur!DY121*VLOOKUP('Données projet'!$B$14,Paramètres!$A$1:$I$89,3,0)*0.475*44/12</f>
        <v>0.62346359709202592</v>
      </c>
      <c r="EC121" s="21">
        <f>EXP(-LN(2)/2)*EC120+(1-EXP(-LN(2)/2))/(LN(2)/2)*DW121*DZ121*VLOOKUP('Données projet'!$B$14,Paramètres!$A$1:$I$89,3,0)*0.475*44/12</f>
        <v>3.2711764683160793E-13</v>
      </c>
      <c r="ED121" s="22">
        <f t="shared" si="72"/>
        <v>1.4041808228491162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-1.1368683772161603E-13</v>
      </c>
      <c r="O122" s="13">
        <f>N122*VLOOKUP('Données projet'!$B$9,Paramètres!$A$1:$I$89,3,0)*VLOOKUP('Données projet'!$B$9,Paramètres!$A$1:$I$89,5,0)</f>
        <v>-5.3205440053716299E-14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319.22903094674564</v>
      </c>
      <c r="T122" s="59">
        <f t="shared" si="88"/>
        <v>254.58690973142848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1.5574933821668513</v>
      </c>
      <c r="AA122" s="21">
        <f>EXP(-LN(2)/25)*AA121+(1-EXP(-LN(2)/25))/(LN(2)/25)*Calculateur!V122*Calculateur!X122*VLOOKUP('Données projet'!$B$9,Paramètres!$A$1:$I$89,3,0)*0.475*44/12</f>
        <v>0.94549557891976743</v>
      </c>
      <c r="AB122" s="21">
        <f>EXP(-LN(2)/2)*AB121+(1-EXP(-LN(2)/2))/(LN(2)/2)*V122*Y122*VLOOKUP('Données projet'!$B$9,Paramètres!$A$1:$I$89,3,0)*0.475*44/12</f>
        <v>4.4387156489187014E-13</v>
      </c>
      <c r="AC122" s="22">
        <f t="shared" si="57"/>
        <v>2.5029889610870626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-3.4106051316484809E-13</v>
      </c>
      <c r="AJ122" s="13">
        <f>AI122*VLOOKUP('Données projet'!$B$10,Paramètres!$A$1:$I$89,3,0)*VLOOKUP('Données projet'!$B$10,Paramètres!$A$1:$I$89,5,0)</f>
        <v>-1.9065282685915009E-13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544.48194192356823</v>
      </c>
      <c r="AO122" s="59">
        <f t="shared" si="90"/>
        <v>668.20427590250733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1.2597926906507064</v>
      </c>
      <c r="AV122" s="21">
        <f>EXP(-LN(2)/25)*AV121+(1-EXP(-LN(2)/25))/(LN(2)/25)*Calculateur!AQ122*Calculateur!AS122*VLOOKUP('Données projet'!$B$10,Paramètres!$A$1:$I$89,3,0)*0.475*44/12</f>
        <v>3.6129954323109215</v>
      </c>
      <c r="AW122" s="21">
        <f>EXP(-LN(2)/2)*AW121+(1-EXP(-LN(2)/2))/(LN(2)/2)*AQ122*AT122*VLOOKUP('Données projet'!$B$10,Paramètres!$A$1:$I$89,3,0)*0.475*44/12</f>
        <v>5.7952068495451517E-13</v>
      </c>
      <c r="AX122" s="21">
        <f t="shared" si="60"/>
        <v>4.8727881229622074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>
        <f>BD122*VLOOKUP('Données projet'!$B$11,Paramètres!$A$1:$I$89,3,0)*VLOOKUP('Données projet'!$B$11,Paramètres!$A$1:$I$89,5,0)</f>
        <v>0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405.7176439604217</v>
      </c>
      <c r="BJ122" s="59">
        <f t="shared" si="92"/>
        <v>278.21741231699929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1.2541476868652413</v>
      </c>
      <c r="BQ122" s="21">
        <f>EXP(-LN(2)/25)*BQ121+(1-EXP(-LN(2)/25))/(LN(2)/25)*Calculateur!BL122*Calculateur!BN122*VLOOKUP('Données projet'!$B$11,Paramètres!$A$1:$I$89,3,0)*0.475*44/12</f>
        <v>0.79401764088208104</v>
      </c>
      <c r="BR122" s="21">
        <f>EXP(-LN(2)/2)*BR121+(1-EXP(-LN(2)/2))/(LN(2)/2)*BL122*BO122*VLOOKUP('Données projet'!$B$11,Paramètres!$A$1:$I$89,3,0)*0.475*44/12</f>
        <v>3.430521928869798E-13</v>
      </c>
      <c r="BS122" s="22">
        <f t="shared" si="63"/>
        <v>2.048165327747665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259.99999999999983</v>
      </c>
      <c r="BZ122" s="13">
        <f>BY122*VLOOKUP('Données projet'!$B$12,Paramètres!$A$1:$I$89,3,0)*VLOOKUP('Données projet'!$B$12,Paramètres!$A$1:$I$89,5,0)</f>
        <v>227.13599999999985</v>
      </c>
      <c r="CA122" s="13">
        <f t="shared" si="93"/>
        <v>55.662966886685133</v>
      </c>
      <c r="CB122" s="20">
        <f t="shared" si="64"/>
        <v>492.5415339943097</v>
      </c>
      <c r="CC122" s="59">
        <f t="shared" si="65"/>
        <v>785.87486732764296</v>
      </c>
      <c r="CD122" s="59">
        <f ca="1">AVERAGE(OFFSET($CC$3,0,0,'Données projet'!$E$12+1,1))-AVERAGE(OFFSET($H$3,0,0,'Données projet'!$E$12+1,1))</f>
        <v>381.72225529388083</v>
      </c>
      <c r="CE122" s="59">
        <f t="shared" si="94"/>
        <v>360.05900046417361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0.82568096907105992</v>
      </c>
      <c r="CL122" s="21">
        <f>EXP(-LN(2)/25)*CL121+(1-EXP(-LN(2)/25))/(LN(2)/25)*Calculateur!CG122*Calculateur!CI122*VLOOKUP('Données projet'!$B$12,Paramètres!$A$1:$I$89,3,0)*0.475*44/12</f>
        <v>0.95641962151086291</v>
      </c>
      <c r="CM122" s="21">
        <f>EXP(-LN(2)/2)*CM121+(1-EXP(-LN(2)/2))/(LN(2)/2)*CG122*CJ122*VLOOKUP('Données projet'!$B$12,Paramètres!$A$1:$I$89,3,0)*0.475*44/12</f>
        <v>2.812603163487287E-13</v>
      </c>
      <c r="CN122" s="22">
        <f t="shared" si="66"/>
        <v>1.782100590582204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-1.7053025658242404E-13</v>
      </c>
      <c r="CU122" s="17">
        <f>CT122*VLOOKUP('Données projet'!$B$13,Paramètres!$A$1:$I$89,3,0)*VLOOKUP('Données projet'!$B$13,Paramètres!$A$1:$I$89,5,0)</f>
        <v>-1.3567387213697657E-13</v>
      </c>
      <c r="CV122" s="13" t="e">
        <f t="shared" si="95"/>
        <v>#NUM!</v>
      </c>
      <c r="CW122" s="20" t="e">
        <f t="shared" si="67"/>
        <v>#NUM!</v>
      </c>
      <c r="CX122" s="59" t="e">
        <f t="shared" si="68"/>
        <v>#NUM!</v>
      </c>
      <c r="CY122" s="59">
        <f ca="1">AVERAGE(OFFSET($CX$3,0,0,'Données projet'!$E$13+1,1))-AVERAGE(OFFSET($H$3,0,0,'Données projet'!$E$13+1,1))</f>
        <v>299.10536994156814</v>
      </c>
      <c r="CZ122" s="59">
        <f t="shared" si="96"/>
        <v>292.57799203101769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1.4451130244449568</v>
      </c>
      <c r="DG122" s="21">
        <f>EXP(-LN(2)/25)*DG121+(1-EXP(-LN(2)/25))/(LN(2)/25)*Calculateur!DB122*Calculateur!DD122*VLOOKUP('Données projet'!$B$13,Paramètres!$A$1:$I$89,3,0)*0.475*44/12</f>
        <v>0.91678917101051538</v>
      </c>
      <c r="DH122" s="21">
        <f>EXP(-LN(2)/2)*DH121+(1-EXP(-LN(2)/2))/(LN(2)/2)*DB122*DE122*VLOOKUP('Données projet'!$B$13,Paramètres!$A$1:$I$89,3,0)*0.475*44/12</f>
        <v>3.606499291000872E-13</v>
      </c>
      <c r="DI122" s="22">
        <f t="shared" si="69"/>
        <v>2.3619021954558326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2.2737367544323206E-13</v>
      </c>
      <c r="DP122" s="17">
        <f>DO122*VLOOKUP('Données projet'!$B$14,Paramètres!$A$1:$I$89,3,0)*VLOOKUP('Données projet'!$B$14,Paramètres!$A$1:$I$89,5,0)</f>
        <v>1.4897523215040565E-13</v>
      </c>
      <c r="DQ122" s="13">
        <f t="shared" si="97"/>
        <v>2.136562777003313E-12</v>
      </c>
      <c r="DR122" s="20">
        <f t="shared" si="70"/>
        <v>3.9806453659427267E-12</v>
      </c>
      <c r="DS122" s="59">
        <f t="shared" si="71"/>
        <v>293.33333333333729</v>
      </c>
      <c r="DT122" s="59">
        <f ca="1">AVERAGE(OFFSET($DS$3,0,0,'Données projet'!$E$14+1,1))-AVERAGE(OFFSET($H$3,0,0,'Données projet'!$E$14+1,1))</f>
        <v>295.92103934364718</v>
      </c>
      <c r="DU122" s="59">
        <f t="shared" si="98"/>
        <v>304.84379909635476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0.76540783715016081</v>
      </c>
      <c r="EB122" s="21">
        <f>EXP(-LN(2)/25)*EB121+(1-EXP(-LN(2)/25))/(LN(2)/25)*Calculateur!DW122*Calculateur!DY122*VLOOKUP('Données projet'!$B$14,Paramètres!$A$1:$I$89,3,0)*0.475*44/12</f>
        <v>0.60641495224301889</v>
      </c>
      <c r="EC122" s="21">
        <f>EXP(-LN(2)/2)*EC121+(1-EXP(-LN(2)/2))/(LN(2)/2)*DW122*DZ122*VLOOKUP('Données projet'!$B$14,Paramètres!$A$1:$I$89,3,0)*0.475*44/12</f>
        <v>2.3130710632041612E-13</v>
      </c>
      <c r="ED122" s="22">
        <f t="shared" si="72"/>
        <v>1.371822789393411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-1.1368683772161603E-13</v>
      </c>
      <c r="O123" s="13">
        <f>N123*VLOOKUP('Données projet'!$B$9,Paramètres!$A$1:$I$89,3,0)*VLOOKUP('Données projet'!$B$9,Paramètres!$A$1:$I$89,5,0)</f>
        <v>-5.3205440053716299E-14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319.22903094674564</v>
      </c>
      <c r="T123" s="59">
        <f t="shared" si="88"/>
        <v>254.58690973142848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1.5269518869197201</v>
      </c>
      <c r="AA123" s="21">
        <f>EXP(-LN(2)/25)*AA122+(1-EXP(-LN(2)/25))/(LN(2)/25)*Calculateur!V123*Calculateur!X123*VLOOKUP('Données projet'!$B$9,Paramètres!$A$1:$I$89,3,0)*0.475*44/12</f>
        <v>0.9196409525927548</v>
      </c>
      <c r="AB123" s="21">
        <f>EXP(-LN(2)/2)*AB122+(1-EXP(-LN(2)/2))/(LN(2)/2)*V123*Y123*VLOOKUP('Données projet'!$B$9,Paramètres!$A$1:$I$89,3,0)*0.475*44/12</f>
        <v>3.1386459351092609E-13</v>
      </c>
      <c r="AC123" s="22">
        <f t="shared" si="57"/>
        <v>2.4465928395127889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-3.4106051316484809E-13</v>
      </c>
      <c r="AJ123" s="13">
        <f>AI123*VLOOKUP('Données projet'!$B$10,Paramètres!$A$1:$I$89,3,0)*VLOOKUP('Données projet'!$B$10,Paramètres!$A$1:$I$89,5,0)</f>
        <v>-1.9065282685915009E-13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544.48194192356823</v>
      </c>
      <c r="AO123" s="59">
        <f t="shared" si="90"/>
        <v>668.20427590250733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1.2350889243847143</v>
      </c>
      <c r="AV123" s="21">
        <f>EXP(-LN(2)/25)*AV122+(1-EXP(-LN(2)/25))/(LN(2)/25)*Calculateur!AQ123*Calculateur!AS123*VLOOKUP('Données projet'!$B$10,Paramètres!$A$1:$I$89,3,0)*0.475*44/12</f>
        <v>3.5141978822152073</v>
      </c>
      <c r="AW123" s="21">
        <f>EXP(-LN(2)/2)*AW122+(1-EXP(-LN(2)/2))/(LN(2)/2)*AQ123*AT123*VLOOKUP('Données projet'!$B$10,Paramètres!$A$1:$I$89,3,0)*0.475*44/12</f>
        <v>4.0978300616921051E-13</v>
      </c>
      <c r="AX123" s="21">
        <f t="shared" si="60"/>
        <v>4.7492868066003311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>
        <f>BD123*VLOOKUP('Données projet'!$B$11,Paramètres!$A$1:$I$89,3,0)*VLOOKUP('Données projet'!$B$11,Paramètres!$A$1:$I$89,5,0)</f>
        <v>0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405.7176439604217</v>
      </c>
      <c r="BJ123" s="59">
        <f t="shared" si="92"/>
        <v>278.21741231699929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1.2295546156803698</v>
      </c>
      <c r="BQ123" s="21">
        <f>EXP(-LN(2)/25)*BQ122+(1-EXP(-LN(2)/25))/(LN(2)/25)*Calculateur!BL123*Calculateur!BN123*VLOOKUP('Données projet'!$B$11,Paramètres!$A$1:$I$89,3,0)*0.475*44/12</f>
        <v>0.77230518673658755</v>
      </c>
      <c r="BR123" s="21">
        <f>EXP(-LN(2)/2)*BR122+(1-EXP(-LN(2)/2))/(LN(2)/2)*BL123*BO123*VLOOKUP('Données projet'!$B$11,Paramètres!$A$1:$I$89,3,0)*0.475*44/12</f>
        <v>2.4257453189129892E-13</v>
      </c>
      <c r="BS123" s="22">
        <f t="shared" si="63"/>
        <v>2.0018598024171999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259.99999999999983</v>
      </c>
      <c r="BZ123" s="13">
        <f>BY123*VLOOKUP('Données projet'!$B$12,Paramètres!$A$1:$I$89,3,0)*VLOOKUP('Données projet'!$B$12,Paramètres!$A$1:$I$89,5,0)</f>
        <v>227.13599999999985</v>
      </c>
      <c r="CA123" s="13">
        <f t="shared" si="93"/>
        <v>55.662966886685133</v>
      </c>
      <c r="CB123" s="20">
        <f t="shared" si="64"/>
        <v>492.5415339943097</v>
      </c>
      <c r="CC123" s="59">
        <f t="shared" si="65"/>
        <v>785.87486732764296</v>
      </c>
      <c r="CD123" s="59">
        <f ca="1">AVERAGE(OFFSET($CC$3,0,0,'Données projet'!$E$12+1,1))-AVERAGE(OFFSET($H$3,0,0,'Données projet'!$E$12+1,1))</f>
        <v>381.72225529388083</v>
      </c>
      <c r="CE123" s="59">
        <f t="shared" si="94"/>
        <v>360.05900046417361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0.8094898688832397</v>
      </c>
      <c r="CL123" s="21">
        <f>EXP(-LN(2)/25)*CL122+(1-EXP(-LN(2)/25))/(LN(2)/25)*Calculateur!CG123*Calculateur!CI123*VLOOKUP('Données projet'!$B$12,Paramètres!$A$1:$I$89,3,0)*0.475*44/12</f>
        <v>0.93026627666472639</v>
      </c>
      <c r="CM123" s="21">
        <f>EXP(-LN(2)/2)*CM122+(1-EXP(-LN(2)/2))/(LN(2)/2)*CG123*CJ123*VLOOKUP('Données projet'!$B$12,Paramètres!$A$1:$I$89,3,0)*0.475*44/12</f>
        <v>1.9888107696885964E-13</v>
      </c>
      <c r="CN123" s="22">
        <f t="shared" si="66"/>
        <v>1.7397561455481649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-1.7053025658242404E-13</v>
      </c>
      <c r="CU123" s="17">
        <f>CT123*VLOOKUP('Données projet'!$B$13,Paramètres!$A$1:$I$89,3,0)*VLOOKUP('Données projet'!$B$13,Paramètres!$A$1:$I$89,5,0)</f>
        <v>-1.3567387213697657E-13</v>
      </c>
      <c r="CV123" s="13" t="e">
        <f t="shared" si="95"/>
        <v>#NUM!</v>
      </c>
      <c r="CW123" s="20" t="e">
        <f t="shared" si="67"/>
        <v>#NUM!</v>
      </c>
      <c r="CX123" s="59" t="e">
        <f t="shared" si="68"/>
        <v>#NUM!</v>
      </c>
      <c r="CY123" s="59">
        <f ca="1">AVERAGE(OFFSET($CX$3,0,0,'Données projet'!$E$13+1,1))-AVERAGE(OFFSET($H$3,0,0,'Données projet'!$E$13+1,1))</f>
        <v>299.10536994156814</v>
      </c>
      <c r="CZ123" s="59">
        <f t="shared" si="96"/>
        <v>292.57799203101769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1.4167752394675019</v>
      </c>
      <c r="DG123" s="21">
        <f>EXP(-LN(2)/25)*DG122+(1-EXP(-LN(2)/25))/(LN(2)/25)*Calculateur!DB123*Calculateur!DD123*VLOOKUP('Données projet'!$B$13,Paramètres!$A$1:$I$89,3,0)*0.475*44/12</f>
        <v>0.89171952291738565</v>
      </c>
      <c r="DH123" s="21">
        <f>EXP(-LN(2)/2)*DH122+(1-EXP(-LN(2)/2))/(LN(2)/2)*DB123*DE123*VLOOKUP('Données projet'!$B$13,Paramètres!$A$1:$I$89,3,0)*0.475*44/12</f>
        <v>2.5501801050111923E-13</v>
      </c>
      <c r="DI123" s="22">
        <f t="shared" si="69"/>
        <v>2.3084947623851426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2.2737367544323206E-13</v>
      </c>
      <c r="DP123" s="17">
        <f>DO123*VLOOKUP('Données projet'!$B$14,Paramètres!$A$1:$I$89,3,0)*VLOOKUP('Données projet'!$B$14,Paramètres!$A$1:$I$89,5,0)</f>
        <v>1.4897523215040565E-13</v>
      </c>
      <c r="DQ123" s="13">
        <f t="shared" si="97"/>
        <v>2.136562777003313E-12</v>
      </c>
      <c r="DR123" s="20">
        <f t="shared" si="70"/>
        <v>3.9806453659427267E-12</v>
      </c>
      <c r="DS123" s="59">
        <f t="shared" si="71"/>
        <v>293.33333333333729</v>
      </c>
      <c r="DT123" s="59">
        <f ca="1">AVERAGE(OFFSET($DS$3,0,0,'Données projet'!$E$14+1,1))-AVERAGE(OFFSET($H$3,0,0,'Données projet'!$E$14+1,1))</f>
        <v>295.92103934364718</v>
      </c>
      <c r="DU123" s="59">
        <f t="shared" si="98"/>
        <v>304.84379909635476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0.75039865631632896</v>
      </c>
      <c r="EB123" s="21">
        <f>EXP(-LN(2)/25)*EB122+(1-EXP(-LN(2)/25))/(LN(2)/25)*Calculateur!DW123*Calculateur!DY123*VLOOKUP('Données projet'!$B$14,Paramètres!$A$1:$I$89,3,0)*0.475*44/12</f>
        <v>0.58983250348395722</v>
      </c>
      <c r="EC123" s="21">
        <f>EXP(-LN(2)/2)*EC122+(1-EXP(-LN(2)/2))/(LN(2)/2)*DW123*DZ123*VLOOKUP('Données projet'!$B$14,Paramètres!$A$1:$I$89,3,0)*0.475*44/12</f>
        <v>1.6355882341580397E-13</v>
      </c>
      <c r="ED123" s="22">
        <f t="shared" si="72"/>
        <v>1.3402311598004497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-1.1368683772161603E-13</v>
      </c>
      <c r="O124" s="13">
        <f>N124*VLOOKUP('Données projet'!$B$9,Paramètres!$A$1:$I$89,3,0)*VLOOKUP('Données projet'!$B$9,Paramètres!$A$1:$I$89,5,0)</f>
        <v>-5.3205440053716299E-14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319.22903094674564</v>
      </c>
      <c r="T124" s="59">
        <f t="shared" si="88"/>
        <v>254.58690973142848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1.4970092917659124</v>
      </c>
      <c r="AA124" s="21">
        <f>EXP(-LN(2)/25)*AA123+(1-EXP(-LN(2)/25))/(LN(2)/25)*Calculateur!V124*Calculateur!X124*VLOOKUP('Données projet'!$B$9,Paramètres!$A$1:$I$89,3,0)*0.475*44/12</f>
        <v>0.89449332238229007</v>
      </c>
      <c r="AB124" s="21">
        <f>EXP(-LN(2)/2)*AB123+(1-EXP(-LN(2)/2))/(LN(2)/2)*V124*Y124*VLOOKUP('Données projet'!$B$9,Paramètres!$A$1:$I$89,3,0)*0.475*44/12</f>
        <v>2.2193578244593512E-13</v>
      </c>
      <c r="AC124" s="22">
        <f t="shared" si="57"/>
        <v>2.3915026141484246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-3.4106051316484809E-13</v>
      </c>
      <c r="AJ124" s="13">
        <f>AI124*VLOOKUP('Données projet'!$B$10,Paramètres!$A$1:$I$89,3,0)*VLOOKUP('Données projet'!$B$10,Paramètres!$A$1:$I$89,5,0)</f>
        <v>-1.9065282685915009E-13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544.48194192356823</v>
      </c>
      <c r="AO124" s="59">
        <f t="shared" si="90"/>
        <v>668.20427590250733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1.2108695839073889</v>
      </c>
      <c r="AV124" s="21">
        <f>EXP(-LN(2)/25)*AV123+(1-EXP(-LN(2)/25))/(LN(2)/25)*Calculateur!AQ124*Calculateur!AS124*VLOOKUP('Données projet'!$B$10,Paramètres!$A$1:$I$89,3,0)*0.475*44/12</f>
        <v>3.4181019563223978</v>
      </c>
      <c r="AW124" s="21">
        <f>EXP(-LN(2)/2)*AW123+(1-EXP(-LN(2)/2))/(LN(2)/2)*AQ124*AT124*VLOOKUP('Données projet'!$B$10,Paramètres!$A$1:$I$89,3,0)*0.475*44/12</f>
        <v>2.8976034247725759E-13</v>
      </c>
      <c r="AX124" s="21">
        <f t="shared" si="60"/>
        <v>4.6289715402300757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>
        <f>BD124*VLOOKUP('Données projet'!$B$11,Paramètres!$A$1:$I$89,3,0)*VLOOKUP('Données projet'!$B$11,Paramètres!$A$1:$I$89,5,0)</f>
        <v>0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405.7176439604217</v>
      </c>
      <c r="BJ124" s="59">
        <f t="shared" si="92"/>
        <v>278.21741231699929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1.2054437996211416</v>
      </c>
      <c r="BQ124" s="21">
        <f>EXP(-LN(2)/25)*BQ123+(1-EXP(-LN(2)/25))/(LN(2)/25)*Calculateur!BL124*Calculateur!BN124*VLOOKUP('Données projet'!$B$11,Paramètres!$A$1:$I$89,3,0)*0.475*44/12</f>
        <v>0.75118646079151097</v>
      </c>
      <c r="BR124" s="21">
        <f>EXP(-LN(2)/2)*BR123+(1-EXP(-LN(2)/2))/(LN(2)/2)*BL124*BO124*VLOOKUP('Données projet'!$B$11,Paramètres!$A$1:$I$89,3,0)*0.475*44/12</f>
        <v>1.715260964434899E-13</v>
      </c>
      <c r="BS124" s="22">
        <f t="shared" si="63"/>
        <v>1.9566302604128238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259.99999999999983</v>
      </c>
      <c r="BZ124" s="13">
        <f>BY124*VLOOKUP('Données projet'!$B$12,Paramètres!$A$1:$I$89,3,0)*VLOOKUP('Données projet'!$B$12,Paramètres!$A$1:$I$89,5,0)</f>
        <v>227.13599999999985</v>
      </c>
      <c r="CA124" s="13">
        <f t="shared" si="93"/>
        <v>55.662966886685133</v>
      </c>
      <c r="CB124" s="20">
        <f t="shared" si="64"/>
        <v>492.5415339943097</v>
      </c>
      <c r="CC124" s="59">
        <f t="shared" si="65"/>
        <v>785.87486732764296</v>
      </c>
      <c r="CD124" s="59">
        <f ca="1">AVERAGE(OFFSET($CC$3,0,0,'Données projet'!$E$12+1,1))-AVERAGE(OFFSET($H$3,0,0,'Données projet'!$E$12+1,1))</f>
        <v>381.72225529388083</v>
      </c>
      <c r="CE124" s="59">
        <f t="shared" si="94"/>
        <v>360.05900046417361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0.79361626629450666</v>
      </c>
      <c r="CL124" s="21">
        <f>EXP(-LN(2)/25)*CL123+(1-EXP(-LN(2)/25))/(LN(2)/25)*Calculateur!CG124*Calculateur!CI124*VLOOKUP('Données projet'!$B$12,Paramètres!$A$1:$I$89,3,0)*0.475*44/12</f>
        <v>0.90482809640875206</v>
      </c>
      <c r="CM124" s="21">
        <f>EXP(-LN(2)/2)*CM123+(1-EXP(-LN(2)/2))/(LN(2)/2)*CG124*CJ124*VLOOKUP('Données projet'!$B$12,Paramètres!$A$1:$I$89,3,0)*0.475*44/12</f>
        <v>1.4063015817436435E-13</v>
      </c>
      <c r="CN124" s="22">
        <f t="shared" si="66"/>
        <v>1.6984443627033994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-1.7053025658242404E-13</v>
      </c>
      <c r="CU124" s="17">
        <f>CT124*VLOOKUP('Données projet'!$B$13,Paramètres!$A$1:$I$89,3,0)*VLOOKUP('Données projet'!$B$13,Paramètres!$A$1:$I$89,5,0)</f>
        <v>-1.3567387213697657E-13</v>
      </c>
      <c r="CV124" s="13" t="e">
        <f t="shared" si="95"/>
        <v>#NUM!</v>
      </c>
      <c r="CW124" s="20" t="e">
        <f t="shared" si="67"/>
        <v>#NUM!</v>
      </c>
      <c r="CX124" s="59" t="e">
        <f t="shared" si="68"/>
        <v>#NUM!</v>
      </c>
      <c r="CY124" s="59">
        <f ca="1">AVERAGE(OFFSET($CX$3,0,0,'Données projet'!$E$13+1,1))-AVERAGE(OFFSET($H$3,0,0,'Données projet'!$E$13+1,1))</f>
        <v>299.10536994156814</v>
      </c>
      <c r="CZ124" s="59">
        <f t="shared" si="96"/>
        <v>292.57799203101769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1.3889931411691128</v>
      </c>
      <c r="DG124" s="21">
        <f>EXP(-LN(2)/25)*DG123+(1-EXP(-LN(2)/25))/(LN(2)/25)*Calculateur!DB124*Calculateur!DD124*VLOOKUP('Données projet'!$B$13,Paramètres!$A$1:$I$89,3,0)*0.475*44/12</f>
        <v>0.86733540566971812</v>
      </c>
      <c r="DH124" s="21">
        <f>EXP(-LN(2)/2)*DH123+(1-EXP(-LN(2)/2))/(LN(2)/2)*DB124*DE124*VLOOKUP('Données projet'!$B$13,Paramètres!$A$1:$I$89,3,0)*0.475*44/12</f>
        <v>1.803249645500436E-13</v>
      </c>
      <c r="DI124" s="22">
        <f t="shared" si="69"/>
        <v>2.2563285468390113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2.2737367544323206E-13</v>
      </c>
      <c r="DP124" s="17">
        <f>DO124*VLOOKUP('Données projet'!$B$14,Paramètres!$A$1:$I$89,3,0)*VLOOKUP('Données projet'!$B$14,Paramètres!$A$1:$I$89,5,0)</f>
        <v>1.4897523215040565E-13</v>
      </c>
      <c r="DQ124" s="13">
        <f t="shared" si="97"/>
        <v>2.136562777003313E-12</v>
      </c>
      <c r="DR124" s="20">
        <f t="shared" si="70"/>
        <v>3.9806453659427267E-12</v>
      </c>
      <c r="DS124" s="59">
        <f t="shared" si="71"/>
        <v>293.33333333333729</v>
      </c>
      <c r="DT124" s="59">
        <f ca="1">AVERAGE(OFFSET($DS$3,0,0,'Données projet'!$E$14+1,1))-AVERAGE(OFFSET($H$3,0,0,'Données projet'!$E$14+1,1))</f>
        <v>295.92103934364718</v>
      </c>
      <c r="DU124" s="59">
        <f t="shared" si="98"/>
        <v>304.84379909635476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0.7356837963639522</v>
      </c>
      <c r="EB124" s="21">
        <f>EXP(-LN(2)/25)*EB123+(1-EXP(-LN(2)/25))/(LN(2)/25)*Calculateur!DW124*Calculateur!DY124*VLOOKUP('Données projet'!$B$14,Paramètres!$A$1:$I$89,3,0)*0.475*44/12</f>
        <v>0.5737035026582451</v>
      </c>
      <c r="EC124" s="21">
        <f>EXP(-LN(2)/2)*EC123+(1-EXP(-LN(2)/2))/(LN(2)/2)*DW124*DZ124*VLOOKUP('Données projet'!$B$14,Paramètres!$A$1:$I$89,3,0)*0.475*44/12</f>
        <v>1.1565355316020806E-13</v>
      </c>
      <c r="ED124" s="22">
        <f t="shared" si="72"/>
        <v>1.309387299022313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-1.1368683772161603E-13</v>
      </c>
      <c r="O125" s="13">
        <f>N125*VLOOKUP('Données projet'!$B$9,Paramètres!$A$1:$I$89,3,0)*VLOOKUP('Données projet'!$B$9,Paramètres!$A$1:$I$89,5,0)</f>
        <v>-5.3205440053716299E-14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319.22903094674564</v>
      </c>
      <c r="T125" s="59">
        <f t="shared" si="88"/>
        <v>254.58690973142848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1.467653852639891</v>
      </c>
      <c r="AA125" s="21">
        <f>EXP(-LN(2)/25)*AA124+(1-EXP(-LN(2)/25))/(LN(2)/25)*Calculateur!V125*Calculateur!X125*VLOOKUP('Données projet'!$B$9,Paramètres!$A$1:$I$89,3,0)*0.475*44/12</f>
        <v>0.87003335544238691</v>
      </c>
      <c r="AB125" s="21">
        <f>EXP(-LN(2)/2)*AB124+(1-EXP(-LN(2)/2))/(LN(2)/2)*V125*Y125*VLOOKUP('Données projet'!$B$9,Paramètres!$A$1:$I$89,3,0)*0.475*44/12</f>
        <v>1.5693229675546307E-13</v>
      </c>
      <c r="AC125" s="22">
        <f t="shared" si="57"/>
        <v>2.3376872080824347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-3.4106051316484809E-13</v>
      </c>
      <c r="AJ125" s="13">
        <f>AI125*VLOOKUP('Données projet'!$B$10,Paramètres!$A$1:$I$89,3,0)*VLOOKUP('Données projet'!$B$10,Paramètres!$A$1:$I$89,5,0)</f>
        <v>-1.9065282685915009E-13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544.48194192356823</v>
      </c>
      <c r="AO125" s="59">
        <f t="shared" si="90"/>
        <v>668.20427590250733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1.1871251699244847</v>
      </c>
      <c r="AV125" s="21">
        <f>EXP(-LN(2)/25)*AV124+(1-EXP(-LN(2)/25))/(LN(2)/25)*Calculateur!AQ125*Calculateur!AS125*VLOOKUP('Données projet'!$B$10,Paramètres!$A$1:$I$89,3,0)*0.475*44/12</f>
        <v>3.324633778576592</v>
      </c>
      <c r="AW125" s="21">
        <f>EXP(-LN(2)/2)*AW124+(1-EXP(-LN(2)/2))/(LN(2)/2)*AQ125*AT125*VLOOKUP('Données projet'!$B$10,Paramètres!$A$1:$I$89,3,0)*0.475*44/12</f>
        <v>2.0489150308460526E-13</v>
      </c>
      <c r="AX125" s="21">
        <f t="shared" si="60"/>
        <v>4.5117589485012823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>
        <f>BD125*VLOOKUP('Données projet'!$B$11,Paramètres!$A$1:$I$89,3,0)*VLOOKUP('Données projet'!$B$11,Paramètres!$A$1:$I$89,5,0)</f>
        <v>0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405.7176439604217</v>
      </c>
      <c r="BJ125" s="59">
        <f t="shared" si="92"/>
        <v>278.21741231699929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1.1818057819586891</v>
      </c>
      <c r="BQ125" s="21">
        <f>EXP(-LN(2)/25)*BQ124+(1-EXP(-LN(2)/25))/(LN(2)/25)*Calculateur!BL125*Calculateur!BN125*VLOOKUP('Données projet'!$B$11,Paramètres!$A$1:$I$89,3,0)*0.475*44/12</f>
        <v>0.73064522751798799</v>
      </c>
      <c r="BR125" s="21">
        <f>EXP(-LN(2)/2)*BR124+(1-EXP(-LN(2)/2))/(LN(2)/2)*BL125*BO125*VLOOKUP('Données projet'!$B$11,Paramètres!$A$1:$I$89,3,0)*0.475*44/12</f>
        <v>1.2128726594564946E-13</v>
      </c>
      <c r="BS125" s="22">
        <f t="shared" si="63"/>
        <v>1.9124510094767984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259.99999999999983</v>
      </c>
      <c r="BZ125" s="13">
        <f>BY125*VLOOKUP('Données projet'!$B$12,Paramètres!$A$1:$I$89,3,0)*VLOOKUP('Données projet'!$B$12,Paramètres!$A$1:$I$89,5,0)</f>
        <v>227.13599999999985</v>
      </c>
      <c r="CA125" s="13">
        <f t="shared" si="93"/>
        <v>55.662966886685133</v>
      </c>
      <c r="CB125" s="20">
        <f t="shared" si="64"/>
        <v>492.5415339943097</v>
      </c>
      <c r="CC125" s="59">
        <f t="shared" si="65"/>
        <v>785.87486732764296</v>
      </c>
      <c r="CD125" s="59">
        <f ca="1">AVERAGE(OFFSET($CC$3,0,0,'Données projet'!$E$12+1,1))-AVERAGE(OFFSET($H$3,0,0,'Données projet'!$E$12+1,1))</f>
        <v>381.72225529388083</v>
      </c>
      <c r="CE125" s="59">
        <f t="shared" si="94"/>
        <v>360.05900046417361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0.77805393537059708</v>
      </c>
      <c r="CL125" s="21">
        <f>EXP(-LN(2)/25)*CL124+(1-EXP(-LN(2)/25))/(LN(2)/25)*Calculateur!CG125*Calculateur!CI125*VLOOKUP('Données projet'!$B$12,Paramètres!$A$1:$I$89,3,0)*0.475*44/12</f>
        <v>0.88008552452961319</v>
      </c>
      <c r="CM125" s="21">
        <f>EXP(-LN(2)/2)*CM124+(1-EXP(-LN(2)/2))/(LN(2)/2)*CG125*CJ125*VLOOKUP('Données projet'!$B$12,Paramètres!$A$1:$I$89,3,0)*0.475*44/12</f>
        <v>9.9440538484429821E-14</v>
      </c>
      <c r="CN125" s="22">
        <f t="shared" si="66"/>
        <v>1.6581394599003096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-1.7053025658242404E-13</v>
      </c>
      <c r="CU125" s="17">
        <f>CT125*VLOOKUP('Données projet'!$B$13,Paramètres!$A$1:$I$89,3,0)*VLOOKUP('Données projet'!$B$13,Paramètres!$A$1:$I$89,5,0)</f>
        <v>-1.3567387213697657E-13</v>
      </c>
      <c r="CV125" s="13" t="e">
        <f t="shared" si="95"/>
        <v>#NUM!</v>
      </c>
      <c r="CW125" s="20" t="e">
        <f t="shared" si="67"/>
        <v>#NUM!</v>
      </c>
      <c r="CX125" s="59" t="e">
        <f t="shared" si="68"/>
        <v>#NUM!</v>
      </c>
      <c r="CY125" s="59">
        <f ca="1">AVERAGE(OFFSET($CX$3,0,0,'Données projet'!$E$13+1,1))-AVERAGE(OFFSET($H$3,0,0,'Données projet'!$E$13+1,1))</f>
        <v>299.10536994156814</v>
      </c>
      <c r="CZ125" s="59">
        <f t="shared" si="96"/>
        <v>292.57799203101769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1.3617558328729482</v>
      </c>
      <c r="DG125" s="21">
        <f>EXP(-LN(2)/25)*DG124+(1-EXP(-LN(2)/25))/(LN(2)/25)*Calculateur!DB125*Calculateur!DD125*VLOOKUP('Données projet'!$B$13,Paramètres!$A$1:$I$89,3,0)*0.475*44/12</f>
        <v>0.843618073390493</v>
      </c>
      <c r="DH125" s="21">
        <f>EXP(-LN(2)/2)*DH124+(1-EXP(-LN(2)/2))/(LN(2)/2)*DB125*DE125*VLOOKUP('Données projet'!$B$13,Paramètres!$A$1:$I$89,3,0)*0.475*44/12</f>
        <v>1.2750900525055962E-13</v>
      </c>
      <c r="DI125" s="22">
        <f t="shared" si="69"/>
        <v>2.2053739062635684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2.2737367544323206E-13</v>
      </c>
      <c r="DP125" s="17">
        <f>DO125*VLOOKUP('Données projet'!$B$14,Paramètres!$A$1:$I$89,3,0)*VLOOKUP('Données projet'!$B$14,Paramètres!$A$1:$I$89,5,0)</f>
        <v>1.4897523215040565E-13</v>
      </c>
      <c r="DQ125" s="13">
        <f t="shared" si="97"/>
        <v>2.136562777003313E-12</v>
      </c>
      <c r="DR125" s="20">
        <f t="shared" si="70"/>
        <v>3.9806453659427267E-12</v>
      </c>
      <c r="DS125" s="59">
        <f t="shared" si="71"/>
        <v>293.33333333333729</v>
      </c>
      <c r="DT125" s="59">
        <f ca="1">AVERAGE(OFFSET($DS$3,0,0,'Données projet'!$E$14+1,1))-AVERAGE(OFFSET($H$3,0,0,'Données projet'!$E$14+1,1))</f>
        <v>295.92103934364718</v>
      </c>
      <c r="DU125" s="59">
        <f t="shared" si="98"/>
        <v>304.84379909635476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0.72125748584006322</v>
      </c>
      <c r="EB125" s="21">
        <f>EXP(-LN(2)/25)*EB124+(1-EXP(-LN(2)/25))/(LN(2)/25)*Calculateur!DW125*Calculateur!DY125*VLOOKUP('Données projet'!$B$14,Paramètres!$A$1:$I$89,3,0)*0.475*44/12</f>
        <v>0.5580155502082994</v>
      </c>
      <c r="EC125" s="21">
        <f>EXP(-LN(2)/2)*EC124+(1-EXP(-LN(2)/2))/(LN(2)/2)*DW125*DZ125*VLOOKUP('Données projet'!$B$14,Paramètres!$A$1:$I$89,3,0)*0.475*44/12</f>
        <v>8.1779411707901983E-14</v>
      </c>
      <c r="ED125" s="22">
        <f t="shared" si="72"/>
        <v>1.2792730360484443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-1.1368683772161603E-13</v>
      </c>
      <c r="O126" s="13">
        <f>N126*VLOOKUP('Données projet'!$B$9,Paramètres!$A$1:$I$89,3,0)*VLOOKUP('Données projet'!$B$9,Paramètres!$A$1:$I$89,5,0)</f>
        <v>-5.3205440053716299E-14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319.22903094674564</v>
      </c>
      <c r="T126" s="59">
        <f t="shared" si="88"/>
        <v>254.58690973142848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1.4388740557700812</v>
      </c>
      <c r="AA126" s="21">
        <f>EXP(-LN(2)/25)*AA125+(1-EXP(-LN(2)/25))/(LN(2)/25)*Calculateur!V126*Calculateur!X126*VLOOKUP('Données projet'!$B$9,Paramètres!$A$1:$I$89,3,0)*0.475*44/12</f>
        <v>0.8462422475847492</v>
      </c>
      <c r="AB126" s="21">
        <f>EXP(-LN(2)/2)*AB125+(1-EXP(-LN(2)/2))/(LN(2)/2)*V126*Y126*VLOOKUP('Données projet'!$B$9,Paramètres!$A$1:$I$89,3,0)*0.475*44/12</f>
        <v>1.1096789122296757E-13</v>
      </c>
      <c r="AC126" s="22">
        <f t="shared" si="57"/>
        <v>2.2851163033549415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-3.4106051316484809E-13</v>
      </c>
      <c r="AJ126" s="13">
        <f>AI126*VLOOKUP('Données projet'!$B$10,Paramètres!$A$1:$I$89,3,0)*VLOOKUP('Données projet'!$B$10,Paramètres!$A$1:$I$89,5,0)</f>
        <v>-1.9065282685915009E-13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544.48194192356823</v>
      </c>
      <c r="AO126" s="59">
        <f t="shared" si="90"/>
        <v>668.20427590250733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1.1638463694171228</v>
      </c>
      <c r="AV126" s="21">
        <f>EXP(-LN(2)/25)*AV125+(1-EXP(-LN(2)/25))/(LN(2)/25)*Calculateur!AQ126*Calculateur!AS126*VLOOKUP('Données projet'!$B$10,Paramètres!$A$1:$I$89,3,0)*0.475*44/12</f>
        <v>3.2337214930665232</v>
      </c>
      <c r="AW126" s="21">
        <f>EXP(-LN(2)/2)*AW125+(1-EXP(-LN(2)/2))/(LN(2)/2)*AQ126*AT126*VLOOKUP('Données projet'!$B$10,Paramètres!$A$1:$I$89,3,0)*0.475*44/12</f>
        <v>1.4488017123862879E-13</v>
      </c>
      <c r="AX126" s="21">
        <f t="shared" si="60"/>
        <v>4.3975678624837906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>
        <f>BD126*VLOOKUP('Données projet'!$B$11,Paramètres!$A$1:$I$89,3,0)*VLOOKUP('Données projet'!$B$11,Paramètres!$A$1:$I$89,5,0)</f>
        <v>0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405.7176439604217</v>
      </c>
      <c r="BJ126" s="59">
        <f t="shared" si="92"/>
        <v>278.21741231699929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1.1586312914048302</v>
      </c>
      <c r="BQ126" s="21">
        <f>EXP(-LN(2)/25)*BQ125+(1-EXP(-LN(2)/25))/(LN(2)/25)*Calculateur!BL126*Calculateur!BN126*VLOOKUP('Données projet'!$B$11,Paramètres!$A$1:$I$89,3,0)*0.475*44/12</f>
        <v>0.71066569534854596</v>
      </c>
      <c r="BR126" s="21">
        <f>EXP(-LN(2)/2)*BR125+(1-EXP(-LN(2)/2))/(LN(2)/2)*BL126*BO126*VLOOKUP('Données projet'!$B$11,Paramètres!$A$1:$I$89,3,0)*0.475*44/12</f>
        <v>8.576304822174495E-14</v>
      </c>
      <c r="BS126" s="22">
        <f t="shared" si="63"/>
        <v>1.8692969867534619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259.99999999999983</v>
      </c>
      <c r="BZ126" s="13">
        <f>BY126*VLOOKUP('Données projet'!$B$12,Paramètres!$A$1:$I$89,3,0)*VLOOKUP('Données projet'!$B$12,Paramètres!$A$1:$I$89,5,0)</f>
        <v>227.13599999999985</v>
      </c>
      <c r="CA126" s="13">
        <f t="shared" si="93"/>
        <v>55.662966886685133</v>
      </c>
      <c r="CB126" s="20">
        <f t="shared" si="64"/>
        <v>492.5415339943097</v>
      </c>
      <c r="CC126" s="59">
        <f t="shared" si="65"/>
        <v>785.87486732764296</v>
      </c>
      <c r="CD126" s="59">
        <f ca="1">AVERAGE(OFFSET($CC$3,0,0,'Données projet'!$E$12+1,1))-AVERAGE(OFFSET($H$3,0,0,'Données projet'!$E$12+1,1))</f>
        <v>381.72225529388083</v>
      </c>
      <c r="CE126" s="59">
        <f t="shared" si="94"/>
        <v>360.05900046417361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0.76279677226402076</v>
      </c>
      <c r="CL126" s="21">
        <f>EXP(-LN(2)/25)*CL125+(1-EXP(-LN(2)/25))/(LN(2)/25)*Calculateur!CG126*Calculateur!CI126*VLOOKUP('Données projet'!$B$12,Paramètres!$A$1:$I$89,3,0)*0.475*44/12</f>
        <v>0.8560195395796647</v>
      </c>
      <c r="CM126" s="21">
        <f>EXP(-LN(2)/2)*CM125+(1-EXP(-LN(2)/2))/(LN(2)/2)*CG126*CJ126*VLOOKUP('Données projet'!$B$12,Paramètres!$A$1:$I$89,3,0)*0.475*44/12</f>
        <v>7.0315079087182174E-14</v>
      </c>
      <c r="CN126" s="22">
        <f t="shared" si="66"/>
        <v>1.6188163118437557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-1.7053025658242404E-13</v>
      </c>
      <c r="CU126" s="17">
        <f>CT126*VLOOKUP('Données projet'!$B$13,Paramètres!$A$1:$I$89,3,0)*VLOOKUP('Données projet'!$B$13,Paramètres!$A$1:$I$89,5,0)</f>
        <v>-1.3567387213697657E-13</v>
      </c>
      <c r="CV126" s="13" t="e">
        <f t="shared" si="95"/>
        <v>#NUM!</v>
      </c>
      <c r="CW126" s="20" t="e">
        <f t="shared" si="67"/>
        <v>#NUM!</v>
      </c>
      <c r="CX126" s="59" t="e">
        <f t="shared" si="68"/>
        <v>#NUM!</v>
      </c>
      <c r="CY126" s="59">
        <f ca="1">AVERAGE(OFFSET($CX$3,0,0,'Données projet'!$E$13+1,1))-AVERAGE(OFFSET($H$3,0,0,'Données projet'!$E$13+1,1))</f>
        <v>299.10536994156814</v>
      </c>
      <c r="CZ126" s="59">
        <f t="shared" si="96"/>
        <v>292.57799203101769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1.3350526315793538</v>
      </c>
      <c r="DG126" s="21">
        <f>EXP(-LN(2)/25)*DG125+(1-EXP(-LN(2)/25))/(LN(2)/25)*Calculateur!DB126*Calculateur!DD126*VLOOKUP('Données projet'!$B$13,Paramètres!$A$1:$I$89,3,0)*0.475*44/12</f>
        <v>0.82054929280968358</v>
      </c>
      <c r="DH126" s="21">
        <f>EXP(-LN(2)/2)*DH125+(1-EXP(-LN(2)/2))/(LN(2)/2)*DB126*DE126*VLOOKUP('Données projet'!$B$13,Paramètres!$A$1:$I$89,3,0)*0.475*44/12</f>
        <v>9.0162482275021801E-14</v>
      </c>
      <c r="DI126" s="22">
        <f t="shared" si="69"/>
        <v>2.1556019243891273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2.2737367544323206E-13</v>
      </c>
      <c r="DP126" s="17">
        <f>DO126*VLOOKUP('Données projet'!$B$14,Paramètres!$A$1:$I$89,3,0)*VLOOKUP('Données projet'!$B$14,Paramètres!$A$1:$I$89,5,0)</f>
        <v>1.4897523215040565E-13</v>
      </c>
      <c r="DQ126" s="13">
        <f t="shared" si="97"/>
        <v>2.136562777003313E-12</v>
      </c>
      <c r="DR126" s="20">
        <f t="shared" si="70"/>
        <v>3.9806453659427267E-12</v>
      </c>
      <c r="DS126" s="59">
        <f t="shared" si="71"/>
        <v>293.33333333333729</v>
      </c>
      <c r="DT126" s="59">
        <f ca="1">AVERAGE(OFFSET($DS$3,0,0,'Données projet'!$E$14+1,1))-AVERAGE(OFFSET($H$3,0,0,'Données projet'!$E$14+1,1))</f>
        <v>295.92103934364718</v>
      </c>
      <c r="DU126" s="59">
        <f t="shared" si="98"/>
        <v>304.84379909635476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0.7071140664663671</v>
      </c>
      <c r="EB126" s="21">
        <f>EXP(-LN(2)/25)*EB125+(1-EXP(-LN(2)/25))/(LN(2)/25)*Calculateur!DW126*Calculateur!DY126*VLOOKUP('Données projet'!$B$14,Paramètres!$A$1:$I$89,3,0)*0.475*44/12</f>
        <v>0.54275658564309104</v>
      </c>
      <c r="EC126" s="21">
        <f>EXP(-LN(2)/2)*EC125+(1-EXP(-LN(2)/2))/(LN(2)/2)*DW126*DZ126*VLOOKUP('Données projet'!$B$14,Paramètres!$A$1:$I$89,3,0)*0.475*44/12</f>
        <v>5.782677658010403E-14</v>
      </c>
      <c r="ED126" s="22">
        <f t="shared" si="72"/>
        <v>1.2498706521095158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-1.1368683772161603E-13</v>
      </c>
      <c r="O127" s="13">
        <f>N127*VLOOKUP('Données projet'!$B$9,Paramètres!$A$1:$I$89,3,0)*VLOOKUP('Données projet'!$B$9,Paramètres!$A$1:$I$89,5,0)</f>
        <v>-5.3205440053716299E-14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319.22903094674564</v>
      </c>
      <c r="T127" s="59">
        <f t="shared" si="88"/>
        <v>254.58690973142848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1.4106586131629455</v>
      </c>
      <c r="AA127" s="21">
        <f>EXP(-LN(2)/25)*AA126+(1-EXP(-LN(2)/25))/(LN(2)/25)*Calculateur!V127*Calculateur!X127*VLOOKUP('Données projet'!$B$9,Paramètres!$A$1:$I$89,3,0)*0.475*44/12</f>
        <v>0.82310170882259859</v>
      </c>
      <c r="AB127" s="21">
        <f>EXP(-LN(2)/2)*AB126+(1-EXP(-LN(2)/2))/(LN(2)/2)*V127*Y127*VLOOKUP('Données projet'!$B$9,Paramètres!$A$1:$I$89,3,0)*0.475*44/12</f>
        <v>7.8466148377731547E-14</v>
      </c>
      <c r="AC127" s="22">
        <f t="shared" si="57"/>
        <v>2.2337603219856228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-3.4106051316484809E-13</v>
      </c>
      <c r="AJ127" s="13">
        <f>AI127*VLOOKUP('Données projet'!$B$10,Paramètres!$A$1:$I$89,3,0)*VLOOKUP('Données projet'!$B$10,Paramètres!$A$1:$I$89,5,0)</f>
        <v>-1.9065282685915009E-13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544.48194192356823</v>
      </c>
      <c r="AO127" s="59">
        <f t="shared" si="90"/>
        <v>668.20427590250733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1.141024051989044</v>
      </c>
      <c r="AV127" s="21">
        <f>EXP(-LN(2)/25)*AV126+(1-EXP(-LN(2)/25))/(LN(2)/25)*Calculateur!AQ127*Calculateur!AS127*VLOOKUP('Données projet'!$B$10,Paramètres!$A$1:$I$89,3,0)*0.475*44/12</f>
        <v>3.1452952087845967</v>
      </c>
      <c r="AW127" s="21">
        <f>EXP(-LN(2)/2)*AW126+(1-EXP(-LN(2)/2))/(LN(2)/2)*AQ127*AT127*VLOOKUP('Données projet'!$B$10,Paramètres!$A$1:$I$89,3,0)*0.475*44/12</f>
        <v>1.0244575154230263E-13</v>
      </c>
      <c r="AX127" s="21">
        <f t="shared" si="60"/>
        <v>4.2863192607737428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>
        <f>BD127*VLOOKUP('Données projet'!$B$11,Paramètres!$A$1:$I$89,3,0)*VLOOKUP('Données projet'!$B$11,Paramètres!$A$1:$I$89,5,0)</f>
        <v>0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405.7176439604217</v>
      </c>
      <c r="BJ127" s="59">
        <f t="shared" si="92"/>
        <v>278.21741231699929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1.1359112384756889</v>
      </c>
      <c r="BQ127" s="21">
        <f>EXP(-LN(2)/25)*BQ126+(1-EXP(-LN(2)/25))/(LN(2)/25)*Calculateur!BL127*Calculateur!BN127*VLOOKUP('Données projet'!$B$11,Paramètres!$A$1:$I$89,3,0)*0.475*44/12</f>
        <v>0.69123250453695528</v>
      </c>
      <c r="BR127" s="21">
        <f>EXP(-LN(2)/2)*BR126+(1-EXP(-LN(2)/2))/(LN(2)/2)*BL127*BO127*VLOOKUP('Données projet'!$B$11,Paramètres!$A$1:$I$89,3,0)*0.475*44/12</f>
        <v>6.0643632972824729E-14</v>
      </c>
      <c r="BS127" s="22">
        <f t="shared" si="63"/>
        <v>1.8271437430127049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259.99999999999983</v>
      </c>
      <c r="BZ127" s="13">
        <f>BY127*VLOOKUP('Données projet'!$B$12,Paramètres!$A$1:$I$89,3,0)*VLOOKUP('Données projet'!$B$12,Paramètres!$A$1:$I$89,5,0)</f>
        <v>227.13599999999985</v>
      </c>
      <c r="CA127" s="13">
        <f t="shared" si="93"/>
        <v>55.662966886685133</v>
      </c>
      <c r="CB127" s="20">
        <f t="shared" si="64"/>
        <v>492.5415339943097</v>
      </c>
      <c r="CC127" s="59">
        <f t="shared" si="65"/>
        <v>785.87486732764296</v>
      </c>
      <c r="CD127" s="59">
        <f ca="1">AVERAGE(OFFSET($CC$3,0,0,'Données projet'!$E$12+1,1))-AVERAGE(OFFSET($H$3,0,0,'Données projet'!$E$12+1,1))</f>
        <v>381.72225529388083</v>
      </c>
      <c r="CE127" s="59">
        <f t="shared" si="94"/>
        <v>360.05900046417361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0.74783879282001375</v>
      </c>
      <c r="CL127" s="21">
        <f>EXP(-LN(2)/25)*CL126+(1-EXP(-LN(2)/25))/(LN(2)/25)*Calculateur!CG127*Calculateur!CI127*VLOOKUP('Données projet'!$B$12,Paramètres!$A$1:$I$89,3,0)*0.475*44/12</f>
        <v>0.83261164025374768</v>
      </c>
      <c r="CM127" s="21">
        <f>EXP(-LN(2)/2)*CM126+(1-EXP(-LN(2)/2))/(LN(2)/2)*CG127*CJ127*VLOOKUP('Données projet'!$B$12,Paramètres!$A$1:$I$89,3,0)*0.475*44/12</f>
        <v>4.9720269242214911E-14</v>
      </c>
      <c r="CN127" s="22">
        <f t="shared" si="66"/>
        <v>1.5804504330738112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-1.7053025658242404E-13</v>
      </c>
      <c r="CU127" s="17">
        <f>CT127*VLOOKUP('Données projet'!$B$13,Paramètres!$A$1:$I$89,3,0)*VLOOKUP('Données projet'!$B$13,Paramètres!$A$1:$I$89,5,0)</f>
        <v>-1.3567387213697657E-13</v>
      </c>
      <c r="CV127" s="13" t="e">
        <f t="shared" si="95"/>
        <v>#NUM!</v>
      </c>
      <c r="CW127" s="20" t="e">
        <f t="shared" si="67"/>
        <v>#NUM!</v>
      </c>
      <c r="CX127" s="59" t="e">
        <f t="shared" si="68"/>
        <v>#NUM!</v>
      </c>
      <c r="CY127" s="59">
        <f ca="1">AVERAGE(OFFSET($CX$3,0,0,'Données projet'!$E$13+1,1))-AVERAGE(OFFSET($H$3,0,0,'Données projet'!$E$13+1,1))</f>
        <v>299.10536994156814</v>
      </c>
      <c r="CZ127" s="59">
        <f t="shared" si="96"/>
        <v>292.57799203101769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1.3088730637757824</v>
      </c>
      <c r="DG127" s="21">
        <f>EXP(-LN(2)/25)*DG126+(1-EXP(-LN(2)/25))/(LN(2)/25)*Calculateur!DB127*Calculateur!DD127*VLOOKUP('Données projet'!$B$13,Paramètres!$A$1:$I$89,3,0)*0.475*44/12</f>
        <v>0.79811132924699091</v>
      </c>
      <c r="DH127" s="21">
        <f>EXP(-LN(2)/2)*DH126+(1-EXP(-LN(2)/2))/(LN(2)/2)*DB127*DE127*VLOOKUP('Données projet'!$B$13,Paramètres!$A$1:$I$89,3,0)*0.475*44/12</f>
        <v>6.3754502625279808E-14</v>
      </c>
      <c r="DI127" s="22">
        <f t="shared" si="69"/>
        <v>2.1069843930228371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2.2737367544323206E-13</v>
      </c>
      <c r="DP127" s="17">
        <f>DO127*VLOOKUP('Données projet'!$B$14,Paramètres!$A$1:$I$89,3,0)*VLOOKUP('Données projet'!$B$14,Paramètres!$A$1:$I$89,5,0)</f>
        <v>1.4897523215040565E-13</v>
      </c>
      <c r="DQ127" s="13">
        <f t="shared" si="97"/>
        <v>2.136562777003313E-12</v>
      </c>
      <c r="DR127" s="20">
        <f t="shared" si="70"/>
        <v>3.9806453659427267E-12</v>
      </c>
      <c r="DS127" s="59">
        <f t="shared" si="71"/>
        <v>293.33333333333729</v>
      </c>
      <c r="DT127" s="59">
        <f ca="1">AVERAGE(OFFSET($DS$3,0,0,'Données projet'!$E$14+1,1))-AVERAGE(OFFSET($H$3,0,0,'Données projet'!$E$14+1,1))</f>
        <v>295.92103934364718</v>
      </c>
      <c r="DU127" s="59">
        <f t="shared" si="98"/>
        <v>304.84379909635476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0.69324799091995515</v>
      </c>
      <c r="EB127" s="21">
        <f>EXP(-LN(2)/25)*EB126+(1-EXP(-LN(2)/25))/(LN(2)/25)*Calculateur!DW127*Calculateur!DY127*VLOOKUP('Données projet'!$B$14,Paramètres!$A$1:$I$89,3,0)*0.475*44/12</f>
        <v>0.52791487826635242</v>
      </c>
      <c r="EC127" s="21">
        <f>EXP(-LN(2)/2)*EC126+(1-EXP(-LN(2)/2))/(LN(2)/2)*DW127*DZ127*VLOOKUP('Données projet'!$B$14,Paramètres!$A$1:$I$89,3,0)*0.475*44/12</f>
        <v>4.0889705853950992E-14</v>
      </c>
      <c r="ED127" s="22">
        <f t="shared" si="72"/>
        <v>1.2211628691863483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-1.1368683772161603E-13</v>
      </c>
      <c r="O128" s="13">
        <f>N128*VLOOKUP('Données projet'!$B$9,Paramètres!$A$1:$I$89,3,0)*VLOOKUP('Données projet'!$B$9,Paramètres!$A$1:$I$89,5,0)</f>
        <v>-5.3205440053716299E-14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319.22903094674564</v>
      </c>
      <c r="T128" s="59">
        <f t="shared" si="88"/>
        <v>254.58690973142848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1.3829964581756151</v>
      </c>
      <c r="AA128" s="21">
        <f>EXP(-LN(2)/25)*AA127+(1-EXP(-LN(2)/25))/(LN(2)/25)*Calculateur!V128*Calculateur!X128*VLOOKUP('Données projet'!$B$9,Paramètres!$A$1:$I$89,3,0)*0.475*44/12</f>
        <v>0.80059394930980698</v>
      </c>
      <c r="AB128" s="21">
        <f>EXP(-LN(2)/2)*AB127+(1-EXP(-LN(2)/2))/(LN(2)/2)*V128*Y128*VLOOKUP('Données projet'!$B$9,Paramètres!$A$1:$I$89,3,0)*0.475*44/12</f>
        <v>5.5483945611483799E-14</v>
      </c>
      <c r="AC128" s="22">
        <f t="shared" si="57"/>
        <v>2.1835904074854775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-3.4106051316484809E-13</v>
      </c>
      <c r="AJ128" s="13">
        <f>AI128*VLOOKUP('Données projet'!$B$10,Paramètres!$A$1:$I$89,3,0)*VLOOKUP('Données projet'!$B$10,Paramètres!$A$1:$I$89,5,0)</f>
        <v>-1.9065282685915009E-13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544.48194192356823</v>
      </c>
      <c r="AO128" s="59">
        <f t="shared" si="90"/>
        <v>668.20427590250733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1.1186492662854906</v>
      </c>
      <c r="AV128" s="21">
        <f>EXP(-LN(2)/25)*AV127+(1-EXP(-LN(2)/25))/(LN(2)/25)*Calculateur!AQ128*Calculateur!AS128*VLOOKUP('Données projet'!$B$10,Paramètres!$A$1:$I$89,3,0)*0.475*44/12</f>
        <v>3.0592869458964955</v>
      </c>
      <c r="AW128" s="21">
        <f>EXP(-LN(2)/2)*AW127+(1-EXP(-LN(2)/2))/(LN(2)/2)*AQ128*AT128*VLOOKUP('Données projet'!$B$10,Paramètres!$A$1:$I$89,3,0)*0.475*44/12</f>
        <v>7.2440085619314397E-14</v>
      </c>
      <c r="AX128" s="21">
        <f t="shared" si="60"/>
        <v>4.1779362121820594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>
        <f>BD128*VLOOKUP('Données projet'!$B$11,Paramètres!$A$1:$I$89,3,0)*VLOOKUP('Données projet'!$B$11,Paramètres!$A$1:$I$89,5,0)</f>
        <v>0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405.7176439604217</v>
      </c>
      <c r="BJ128" s="59">
        <f t="shared" si="92"/>
        <v>278.21741231699929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1.1136367119266242</v>
      </c>
      <c r="BQ128" s="21">
        <f>EXP(-LN(2)/25)*BQ127+(1-EXP(-LN(2)/25))/(LN(2)/25)*Calculateur!BL128*Calculateur!BN128*VLOOKUP('Données projet'!$B$11,Paramètres!$A$1:$I$89,3,0)*0.475*44/12</f>
        <v>0.67233071535005462</v>
      </c>
      <c r="BR128" s="21">
        <f>EXP(-LN(2)/2)*BR127+(1-EXP(-LN(2)/2))/(LN(2)/2)*BL128*BO128*VLOOKUP('Données projet'!$B$11,Paramètres!$A$1:$I$89,3,0)*0.475*44/12</f>
        <v>4.2881524110872475E-14</v>
      </c>
      <c r="BS128" s="22">
        <f t="shared" si="63"/>
        <v>1.7859674272767216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259.99999999999983</v>
      </c>
      <c r="BZ128" s="13">
        <f>BY128*VLOOKUP('Données projet'!$B$12,Paramètres!$A$1:$I$89,3,0)*VLOOKUP('Données projet'!$B$12,Paramètres!$A$1:$I$89,5,0)</f>
        <v>227.13599999999985</v>
      </c>
      <c r="CA128" s="13">
        <f t="shared" si="93"/>
        <v>55.662966886685133</v>
      </c>
      <c r="CB128" s="20">
        <f t="shared" si="64"/>
        <v>492.5415339943097</v>
      </c>
      <c r="CC128" s="59">
        <f t="shared" si="65"/>
        <v>785.87486732764296</v>
      </c>
      <c r="CD128" s="59">
        <f ca="1">AVERAGE(OFFSET($CC$3,0,0,'Données projet'!$E$12+1,1))-AVERAGE(OFFSET($H$3,0,0,'Données projet'!$E$12+1,1))</f>
        <v>381.72225529388083</v>
      </c>
      <c r="CE128" s="59">
        <f t="shared" si="94"/>
        <v>360.05900046417361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0.73317413022943712</v>
      </c>
      <c r="CL128" s="21">
        <f>EXP(-LN(2)/25)*CL127+(1-EXP(-LN(2)/25))/(LN(2)/25)*Calculateur!CG128*Calculateur!CI128*VLOOKUP('Données projet'!$B$12,Paramètres!$A$1:$I$89,3,0)*0.475*44/12</f>
        <v>0.80984383116586578</v>
      </c>
      <c r="CM128" s="21">
        <f>EXP(-LN(2)/2)*CM127+(1-EXP(-LN(2)/2))/(LN(2)/2)*CG128*CJ128*VLOOKUP('Données projet'!$B$12,Paramètres!$A$1:$I$89,3,0)*0.475*44/12</f>
        <v>3.5157539543591087E-14</v>
      </c>
      <c r="CN128" s="22">
        <f t="shared" si="66"/>
        <v>1.5430179613953379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-1.7053025658242404E-13</v>
      </c>
      <c r="CU128" s="17">
        <f>CT128*VLOOKUP('Données projet'!$B$13,Paramètres!$A$1:$I$89,3,0)*VLOOKUP('Données projet'!$B$13,Paramètres!$A$1:$I$89,5,0)</f>
        <v>-1.3567387213697657E-13</v>
      </c>
      <c r="CV128" s="13" t="e">
        <f t="shared" si="95"/>
        <v>#NUM!</v>
      </c>
      <c r="CW128" s="20" t="e">
        <f t="shared" si="67"/>
        <v>#NUM!</v>
      </c>
      <c r="CX128" s="59" t="e">
        <f t="shared" si="68"/>
        <v>#NUM!</v>
      </c>
      <c r="CY128" s="59">
        <f ca="1">AVERAGE(OFFSET($CX$3,0,0,'Données projet'!$E$13+1,1))-AVERAGE(OFFSET($H$3,0,0,'Données projet'!$E$13+1,1))</f>
        <v>299.10536994156814</v>
      </c>
      <c r="CZ128" s="59">
        <f t="shared" si="96"/>
        <v>292.57799203101769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1.2832068613288792</v>
      </c>
      <c r="DG128" s="21">
        <f>EXP(-LN(2)/25)*DG127+(1-EXP(-LN(2)/25))/(LN(2)/25)*Calculateur!DB128*Calculateur!DD128*VLOOKUP('Données projet'!$B$13,Paramètres!$A$1:$I$89,3,0)*0.475*44/12</f>
        <v>0.77628693297788121</v>
      </c>
      <c r="DH128" s="21">
        <f>EXP(-LN(2)/2)*DH127+(1-EXP(-LN(2)/2))/(LN(2)/2)*DB128*DE128*VLOOKUP('Données projet'!$B$13,Paramètres!$A$1:$I$89,3,0)*0.475*44/12</f>
        <v>4.50812411375109E-14</v>
      </c>
      <c r="DI128" s="22">
        <f t="shared" si="69"/>
        <v>2.0594937943068059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2.2737367544323206E-13</v>
      </c>
      <c r="DP128" s="17">
        <f>DO128*VLOOKUP('Données projet'!$B$14,Paramètres!$A$1:$I$89,3,0)*VLOOKUP('Données projet'!$B$14,Paramètres!$A$1:$I$89,5,0)</f>
        <v>1.4897523215040565E-13</v>
      </c>
      <c r="DQ128" s="13">
        <f t="shared" si="97"/>
        <v>2.136562777003313E-12</v>
      </c>
      <c r="DR128" s="20">
        <f t="shared" si="70"/>
        <v>3.9806453659427267E-12</v>
      </c>
      <c r="DS128" s="59">
        <f t="shared" si="71"/>
        <v>293.33333333333729</v>
      </c>
      <c r="DT128" s="59">
        <f ca="1">AVERAGE(OFFSET($DS$3,0,0,'Données projet'!$E$14+1,1))-AVERAGE(OFFSET($H$3,0,0,'Données projet'!$E$14+1,1))</f>
        <v>295.92103934364718</v>
      </c>
      <c r="DU128" s="59">
        <f t="shared" si="98"/>
        <v>304.84379909635476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0.67965382065753732</v>
      </c>
      <c r="EB128" s="21">
        <f>EXP(-LN(2)/25)*EB127+(1-EXP(-LN(2)/25))/(LN(2)/25)*Calculateur!DW128*Calculateur!DY128*VLOOKUP('Données projet'!$B$14,Paramètres!$A$1:$I$89,3,0)*0.475*44/12</f>
        <v>0.51347901815832209</v>
      </c>
      <c r="EC128" s="21">
        <f>EXP(-LN(2)/2)*EC127+(1-EXP(-LN(2)/2))/(LN(2)/2)*DW128*DZ128*VLOOKUP('Données projet'!$B$14,Paramètres!$A$1:$I$89,3,0)*0.475*44/12</f>
        <v>2.8913388290052015E-14</v>
      </c>
      <c r="ED128" s="22">
        <f t="shared" si="72"/>
        <v>1.1931328388158882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-1.1368683772161603E-13</v>
      </c>
      <c r="O129" s="13">
        <f>N129*VLOOKUP('Données projet'!$B$9,Paramètres!$A$1:$I$89,3,0)*VLOOKUP('Données projet'!$B$9,Paramètres!$A$1:$I$89,5,0)</f>
        <v>-5.3205440053716299E-14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319.22903094674564</v>
      </c>
      <c r="T129" s="59">
        <f t="shared" si="88"/>
        <v>254.58690973142848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1.3558767411753376</v>
      </c>
      <c r="AA129" s="21">
        <f>EXP(-LN(2)/25)*AA128+(1-EXP(-LN(2)/25))/(LN(2)/25)*Calculateur!V129*Calculateur!X129*VLOOKUP('Données projet'!$B$9,Paramètres!$A$1:$I$89,3,0)*0.475*44/12</f>
        <v>0.77870166566452426</v>
      </c>
      <c r="AB129" s="21">
        <f>EXP(-LN(2)/2)*AB128+(1-EXP(-LN(2)/2))/(LN(2)/2)*V129*Y129*VLOOKUP('Données projet'!$B$9,Paramètres!$A$1:$I$89,3,0)*0.475*44/12</f>
        <v>3.923307418886578E-14</v>
      </c>
      <c r="AC129" s="22">
        <f t="shared" si="57"/>
        <v>2.1345784068399007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-3.4106051316484809E-13</v>
      </c>
      <c r="AJ129" s="13">
        <f>AI129*VLOOKUP('Données projet'!$B$10,Paramètres!$A$1:$I$89,3,0)*VLOOKUP('Données projet'!$B$10,Paramètres!$A$1:$I$89,5,0)</f>
        <v>-1.9065282685915009E-13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544.48194192356823</v>
      </c>
      <c r="AO129" s="59">
        <f t="shared" si="90"/>
        <v>668.20427590250733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1.0967132364823122</v>
      </c>
      <c r="AV129" s="21">
        <f>EXP(-LN(2)/25)*AV128+(1-EXP(-LN(2)/25))/(LN(2)/25)*Calculateur!AQ129*Calculateur!AS129*VLOOKUP('Données projet'!$B$10,Paramètres!$A$1:$I$89,3,0)*0.475*44/12</f>
        <v>2.9756305834800476</v>
      </c>
      <c r="AW129" s="21">
        <f>EXP(-LN(2)/2)*AW128+(1-EXP(-LN(2)/2))/(LN(2)/2)*AQ129*AT129*VLOOKUP('Données projet'!$B$10,Paramètres!$A$1:$I$89,3,0)*0.475*44/12</f>
        <v>5.1222875771151314E-14</v>
      </c>
      <c r="AX129" s="21">
        <f t="shared" si="60"/>
        <v>4.0723438199624109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>
        <f>BD129*VLOOKUP('Données projet'!$B$11,Paramètres!$A$1:$I$89,3,0)*VLOOKUP('Données projet'!$B$11,Paramètres!$A$1:$I$89,5,0)</f>
        <v>0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405.7176439604217</v>
      </c>
      <c r="BJ129" s="59">
        <f t="shared" si="92"/>
        <v>278.21741231699929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1.0917989752570669</v>
      </c>
      <c r="BQ129" s="21">
        <f>EXP(-LN(2)/25)*BQ128+(1-EXP(-LN(2)/25))/(LN(2)/25)*Calculateur!BL129*Calculateur!BN129*VLOOKUP('Données projet'!$B$11,Paramètres!$A$1:$I$89,3,0)*0.475*44/12</f>
        <v>0.65394579658247165</v>
      </c>
      <c r="BR129" s="21">
        <f>EXP(-LN(2)/2)*BR128+(1-EXP(-LN(2)/2))/(LN(2)/2)*BL129*BO129*VLOOKUP('Données projet'!$B$11,Paramètres!$A$1:$I$89,3,0)*0.475*44/12</f>
        <v>3.0321816486412365E-14</v>
      </c>
      <c r="BS129" s="22">
        <f t="shared" si="63"/>
        <v>1.7457447718395691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259.99999999999983</v>
      </c>
      <c r="BZ129" s="13">
        <f>BY129*VLOOKUP('Données projet'!$B$12,Paramètres!$A$1:$I$89,3,0)*VLOOKUP('Données projet'!$B$12,Paramètres!$A$1:$I$89,5,0)</f>
        <v>227.13599999999985</v>
      </c>
      <c r="CA129" s="13">
        <f t="shared" si="93"/>
        <v>55.662966886685133</v>
      </c>
      <c r="CB129" s="20">
        <f t="shared" si="64"/>
        <v>492.5415339943097</v>
      </c>
      <c r="CC129" s="59">
        <f t="shared" si="65"/>
        <v>785.87486732764296</v>
      </c>
      <c r="CD129" s="59">
        <f ca="1">AVERAGE(OFFSET($CC$3,0,0,'Données projet'!$E$12+1,1))-AVERAGE(OFFSET($H$3,0,0,'Données projet'!$E$12+1,1))</f>
        <v>381.72225529388083</v>
      </c>
      <c r="CE129" s="59">
        <f t="shared" si="94"/>
        <v>360.05900046417361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0.71879703272770079</v>
      </c>
      <c r="CL129" s="21">
        <f>EXP(-LN(2)/25)*CL128+(1-EXP(-LN(2)/25))/(LN(2)/25)*Calculateur!CG129*Calculateur!CI129*VLOOKUP('Données projet'!$B$12,Paramètres!$A$1:$I$89,3,0)*0.475*44/12</f>
        <v>0.78769860901479904</v>
      </c>
      <c r="CM129" s="21">
        <f>EXP(-LN(2)/2)*CM128+(1-EXP(-LN(2)/2))/(LN(2)/2)*CG129*CJ129*VLOOKUP('Données projet'!$B$12,Paramètres!$A$1:$I$89,3,0)*0.475*44/12</f>
        <v>2.4860134621107455E-14</v>
      </c>
      <c r="CN129" s="22">
        <f t="shared" si="66"/>
        <v>1.5064956417425246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-1.7053025658242404E-13</v>
      </c>
      <c r="CU129" s="17">
        <f>CT129*VLOOKUP('Données projet'!$B$13,Paramètres!$A$1:$I$89,3,0)*VLOOKUP('Données projet'!$B$13,Paramètres!$A$1:$I$89,5,0)</f>
        <v>-1.3567387213697657E-13</v>
      </c>
      <c r="CV129" s="13" t="e">
        <f t="shared" si="95"/>
        <v>#NUM!</v>
      </c>
      <c r="CW129" s="20" t="e">
        <f t="shared" si="67"/>
        <v>#NUM!</v>
      </c>
      <c r="CX129" s="59" t="e">
        <f t="shared" si="68"/>
        <v>#NUM!</v>
      </c>
      <c r="CY129" s="59">
        <f ca="1">AVERAGE(OFFSET($CX$3,0,0,'Données projet'!$E$13+1,1))-AVERAGE(OFFSET($H$3,0,0,'Données projet'!$E$13+1,1))</f>
        <v>299.10536994156814</v>
      </c>
      <c r="CZ129" s="59">
        <f t="shared" si="96"/>
        <v>292.57799203101769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1.2580439574571221</v>
      </c>
      <c r="DG129" s="21">
        <f>EXP(-LN(2)/25)*DG128+(1-EXP(-LN(2)/25))/(LN(2)/25)*Calculateur!DB129*Calculateur!DD129*VLOOKUP('Données projet'!$B$13,Paramètres!$A$1:$I$89,3,0)*0.475*44/12</f>
        <v>0.75505932597244552</v>
      </c>
      <c r="DH129" s="21">
        <f>EXP(-LN(2)/2)*DH128+(1-EXP(-LN(2)/2))/(LN(2)/2)*DB129*DE129*VLOOKUP('Données projet'!$B$13,Paramètres!$A$1:$I$89,3,0)*0.475*44/12</f>
        <v>3.1877251312639904E-14</v>
      </c>
      <c r="DI129" s="22">
        <f t="shared" si="69"/>
        <v>2.0131032834295994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2.2737367544323206E-13</v>
      </c>
      <c r="DP129" s="17">
        <f>DO129*VLOOKUP('Données projet'!$B$14,Paramètres!$A$1:$I$89,3,0)*VLOOKUP('Données projet'!$B$14,Paramètres!$A$1:$I$89,5,0)</f>
        <v>1.4897523215040565E-13</v>
      </c>
      <c r="DQ129" s="13">
        <f t="shared" si="97"/>
        <v>2.136562777003313E-12</v>
      </c>
      <c r="DR129" s="20">
        <f t="shared" si="70"/>
        <v>3.9806453659427267E-12</v>
      </c>
      <c r="DS129" s="59">
        <f t="shared" si="71"/>
        <v>293.33333333333729</v>
      </c>
      <c r="DT129" s="59">
        <f ca="1">AVERAGE(OFFSET($DS$3,0,0,'Données projet'!$E$14+1,1))-AVERAGE(OFFSET($H$3,0,0,'Données projet'!$E$14+1,1))</f>
        <v>295.92103934364718</v>
      </c>
      <c r="DU129" s="59">
        <f t="shared" si="98"/>
        <v>304.84379909635476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0.66632622378234041</v>
      </c>
      <c r="EB129" s="21">
        <f>EXP(-LN(2)/25)*EB128+(1-EXP(-LN(2)/25))/(LN(2)/25)*Calculateur!DW129*Calculateur!DY129*VLOOKUP('Données projet'!$B$14,Paramètres!$A$1:$I$89,3,0)*0.475*44/12</f>
        <v>0.49943790740409477</v>
      </c>
      <c r="EC129" s="21">
        <f>EXP(-LN(2)/2)*EC128+(1-EXP(-LN(2)/2))/(LN(2)/2)*DW129*DZ129*VLOOKUP('Données projet'!$B$14,Paramètres!$A$1:$I$89,3,0)*0.475*44/12</f>
        <v>2.0444852926975496E-14</v>
      </c>
      <c r="ED129" s="22">
        <f t="shared" si="72"/>
        <v>1.1657641311864557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-1.1368683772161603E-13</v>
      </c>
      <c r="O130" s="13">
        <f>N130*VLOOKUP('Données projet'!$B$9,Paramètres!$A$1:$I$89,3,0)*VLOOKUP('Données projet'!$B$9,Paramètres!$A$1:$I$89,5,0)</f>
        <v>-5.3205440053716299E-14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319.22903094674564</v>
      </c>
      <c r="T130" s="59">
        <f t="shared" si="88"/>
        <v>254.58690973142848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1.3292888252840416</v>
      </c>
      <c r="AA130" s="21">
        <f>EXP(-LN(2)/25)*AA129+(1-EXP(-LN(2)/25))/(LN(2)/25)*Calculateur!V130*Calculateur!X130*VLOOKUP('Données projet'!$B$9,Paramètres!$A$1:$I$89,3,0)*0.475*44/12</f>
        <v>0.75740802766678694</v>
      </c>
      <c r="AB130" s="21">
        <f>EXP(-LN(2)/2)*AB129+(1-EXP(-LN(2)/2))/(LN(2)/2)*V130*Y130*VLOOKUP('Données projet'!$B$9,Paramètres!$A$1:$I$89,3,0)*0.475*44/12</f>
        <v>2.7741972805741903E-14</v>
      </c>
      <c r="AC130" s="22">
        <f t="shared" si="57"/>
        <v>2.0866968529508561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-3.4106051316484809E-13</v>
      </c>
      <c r="AJ130" s="13">
        <f>AI130*VLOOKUP('Données projet'!$B$10,Paramètres!$A$1:$I$89,3,0)*VLOOKUP('Données projet'!$B$10,Paramètres!$A$1:$I$89,5,0)</f>
        <v>-1.9065282685915009E-13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544.48194192356823</v>
      </c>
      <c r="AO130" s="59">
        <f t="shared" si="90"/>
        <v>668.20427590250733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1.075207358843917</v>
      </c>
      <c r="AV130" s="21">
        <f>EXP(-LN(2)/25)*AV129+(1-EXP(-LN(2)/25))/(LN(2)/25)*Calculateur!AQ130*Calculateur!AS130*VLOOKUP('Données projet'!$B$10,Paramètres!$A$1:$I$89,3,0)*0.475*44/12</f>
        <v>2.8942618086931744</v>
      </c>
      <c r="AW130" s="21">
        <f>EXP(-LN(2)/2)*AW129+(1-EXP(-LN(2)/2))/(LN(2)/2)*AQ130*AT130*VLOOKUP('Données projet'!$B$10,Paramètres!$A$1:$I$89,3,0)*0.475*44/12</f>
        <v>3.6220042809657198E-14</v>
      </c>
      <c r="AX130" s="21">
        <f t="shared" si="60"/>
        <v>3.9694691675371279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>
        <f>BD130*VLOOKUP('Données projet'!$B$11,Paramètres!$A$1:$I$89,3,0)*VLOOKUP('Données projet'!$B$11,Paramètres!$A$1:$I$89,5,0)</f>
        <v>0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405.7176439604217</v>
      </c>
      <c r="BJ130" s="59">
        <f t="shared" si="92"/>
        <v>278.21741231699929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1.0703894632838955</v>
      </c>
      <c r="BQ130" s="21">
        <f>EXP(-LN(2)/25)*BQ129+(1-EXP(-LN(2)/25))/(LN(2)/25)*Calculateur!BL130*Calculateur!BN130*VLOOKUP('Données projet'!$B$11,Paramètres!$A$1:$I$89,3,0)*0.475*44/12</f>
        <v>0.63606361438540915</v>
      </c>
      <c r="BR130" s="21">
        <f>EXP(-LN(2)/2)*BR129+(1-EXP(-LN(2)/2))/(LN(2)/2)*BL130*BO130*VLOOKUP('Données projet'!$B$11,Paramètres!$A$1:$I$89,3,0)*0.475*44/12</f>
        <v>2.1440762055436237E-14</v>
      </c>
      <c r="BS130" s="22">
        <f t="shared" si="63"/>
        <v>1.7064530776693261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259.99999999999983</v>
      </c>
      <c r="BZ130" s="13">
        <f>BY130*VLOOKUP('Données projet'!$B$12,Paramètres!$A$1:$I$89,3,0)*VLOOKUP('Données projet'!$B$12,Paramètres!$A$1:$I$89,5,0)</f>
        <v>227.13599999999985</v>
      </c>
      <c r="CA130" s="13">
        <f t="shared" si="93"/>
        <v>55.662966886685133</v>
      </c>
      <c r="CB130" s="20">
        <f t="shared" si="64"/>
        <v>492.5415339943097</v>
      </c>
      <c r="CC130" s="59">
        <f t="shared" si="65"/>
        <v>785.87486732764296</v>
      </c>
      <c r="CD130" s="59">
        <f ca="1">AVERAGE(OFFSET($CC$3,0,0,'Données projet'!$E$12+1,1))-AVERAGE(OFFSET($H$3,0,0,'Données projet'!$E$12+1,1))</f>
        <v>381.72225529388083</v>
      </c>
      <c r="CE130" s="59">
        <f t="shared" si="94"/>
        <v>360.05900046417361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0.70470186133880985</v>
      </c>
      <c r="CL130" s="21">
        <f>EXP(-LN(2)/25)*CL129+(1-EXP(-LN(2)/25))/(LN(2)/25)*Calculateur!CG130*Calculateur!CI130*VLOOKUP('Données projet'!$B$12,Paramètres!$A$1:$I$89,3,0)*0.475*44/12</f>
        <v>0.76615894912801985</v>
      </c>
      <c r="CM130" s="21">
        <f>EXP(-LN(2)/2)*CM129+(1-EXP(-LN(2)/2))/(LN(2)/2)*CG130*CJ130*VLOOKUP('Données projet'!$B$12,Paramètres!$A$1:$I$89,3,0)*0.475*44/12</f>
        <v>1.7578769771795544E-14</v>
      </c>
      <c r="CN130" s="22">
        <f t="shared" si="66"/>
        <v>1.4708608104668472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-1.7053025658242404E-13</v>
      </c>
      <c r="CU130" s="17">
        <f>CT130*VLOOKUP('Données projet'!$B$13,Paramètres!$A$1:$I$89,3,0)*VLOOKUP('Données projet'!$B$13,Paramètres!$A$1:$I$89,5,0)</f>
        <v>-1.3567387213697657E-13</v>
      </c>
      <c r="CV130" s="13" t="e">
        <f t="shared" si="95"/>
        <v>#NUM!</v>
      </c>
      <c r="CW130" s="20" t="e">
        <f t="shared" si="67"/>
        <v>#NUM!</v>
      </c>
      <c r="CX130" s="59" t="e">
        <f t="shared" si="68"/>
        <v>#NUM!</v>
      </c>
      <c r="CY130" s="59">
        <f ca="1">AVERAGE(OFFSET($CX$3,0,0,'Données projet'!$E$13+1,1))-AVERAGE(OFFSET($H$3,0,0,'Données projet'!$E$13+1,1))</f>
        <v>299.10536994156814</v>
      </c>
      <c r="CZ130" s="59">
        <f t="shared" si="96"/>
        <v>292.57799203101769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1.2333744827824342</v>
      </c>
      <c r="DG130" s="21">
        <f>EXP(-LN(2)/25)*DG129+(1-EXP(-LN(2)/25))/(LN(2)/25)*Calculateur!DB130*Calculateur!DD130*VLOOKUP('Données projet'!$B$13,Paramètres!$A$1:$I$89,3,0)*0.475*44/12</f>
        <v>0.73441218899688476</v>
      </c>
      <c r="DH130" s="21">
        <f>EXP(-LN(2)/2)*DH129+(1-EXP(-LN(2)/2))/(LN(2)/2)*DB130*DE130*VLOOKUP('Données projet'!$B$13,Paramètres!$A$1:$I$89,3,0)*0.475*44/12</f>
        <v>2.254062056875545E-14</v>
      </c>
      <c r="DI130" s="22">
        <f t="shared" si="69"/>
        <v>1.9677866717793417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2.2737367544323206E-13</v>
      </c>
      <c r="DP130" s="17">
        <f>DO130*VLOOKUP('Données projet'!$B$14,Paramètres!$A$1:$I$89,3,0)*VLOOKUP('Données projet'!$B$14,Paramètres!$A$1:$I$89,5,0)</f>
        <v>1.4897523215040565E-13</v>
      </c>
      <c r="DQ130" s="13">
        <f t="shared" si="97"/>
        <v>2.136562777003313E-12</v>
      </c>
      <c r="DR130" s="20">
        <f t="shared" si="70"/>
        <v>3.9806453659427267E-12</v>
      </c>
      <c r="DS130" s="59">
        <f t="shared" si="71"/>
        <v>293.33333333333729</v>
      </c>
      <c r="DT130" s="59">
        <f ca="1">AVERAGE(OFFSET($DS$3,0,0,'Données projet'!$E$14+1,1))-AVERAGE(OFFSET($H$3,0,0,'Données projet'!$E$14+1,1))</f>
        <v>295.92103934364718</v>
      </c>
      <c r="DU130" s="59">
        <f t="shared" si="98"/>
        <v>304.84379909635476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0.65325997295283467</v>
      </c>
      <c r="EB130" s="21">
        <f>EXP(-LN(2)/25)*EB129+(1-EXP(-LN(2)/25))/(LN(2)/25)*Calculateur!DW130*Calculateur!DY130*VLOOKUP('Données projet'!$B$14,Paramètres!$A$1:$I$89,3,0)*0.475*44/12</f>
        <v>0.48578075156183176</v>
      </c>
      <c r="EC130" s="21">
        <f>EXP(-LN(2)/2)*EC129+(1-EXP(-LN(2)/2))/(LN(2)/2)*DW130*DZ130*VLOOKUP('Données projet'!$B$14,Paramètres!$A$1:$I$89,3,0)*0.475*44/12</f>
        <v>1.4456694145026007E-14</v>
      </c>
      <c r="ED130" s="22">
        <f t="shared" si="72"/>
        <v>1.139040724514681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-1.1368683772161603E-13</v>
      </c>
      <c r="O131" s="13">
        <f>N131*VLOOKUP('Données projet'!$B$9,Paramètres!$A$1:$I$89,3,0)*VLOOKUP('Données projet'!$B$9,Paramètres!$A$1:$I$89,5,0)</f>
        <v>-5.3205440053716299E-14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319.22903094674564</v>
      </c>
      <c r="T131" s="59">
        <f t="shared" si="88"/>
        <v>254.58690973142848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1.3032222822063464</v>
      </c>
      <c r="AA131" s="21">
        <f>EXP(-LN(2)/25)*AA130+(1-EXP(-LN(2)/25))/(LN(2)/25)*Calculateur!V131*Calculateur!X131*VLOOKUP('Données projet'!$B$9,Paramètres!$A$1:$I$89,3,0)*0.475*44/12</f>
        <v>0.73669666531988154</v>
      </c>
      <c r="AB131" s="21">
        <f>EXP(-LN(2)/2)*AB130+(1-EXP(-LN(2)/2))/(LN(2)/2)*V131*Y131*VLOOKUP('Données projet'!$B$9,Paramètres!$A$1:$I$89,3,0)*0.475*44/12</f>
        <v>1.9616537094432893E-14</v>
      </c>
      <c r="AC131" s="22">
        <f t="shared" si="57"/>
        <v>2.0399189475262474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-3.4106051316484809E-13</v>
      </c>
      <c r="AJ131" s="13">
        <f>AI131*VLOOKUP('Données projet'!$B$10,Paramètres!$A$1:$I$89,3,0)*VLOOKUP('Données projet'!$B$10,Paramètres!$A$1:$I$89,5,0)</f>
        <v>-1.9065282685915009E-13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544.48194192356823</v>
      </c>
      <c r="AO131" s="59">
        <f t="shared" si="90"/>
        <v>668.20427590250733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1.0541231983487207</v>
      </c>
      <c r="AV131" s="21">
        <f>EXP(-LN(2)/25)*AV130+(1-EXP(-LN(2)/25))/(LN(2)/25)*Calculateur!AQ131*Calculateur!AS131*VLOOKUP('Données projet'!$B$10,Paramètres!$A$1:$I$89,3,0)*0.475*44/12</f>
        <v>2.8151180673318459</v>
      </c>
      <c r="AW131" s="21">
        <f>EXP(-LN(2)/2)*AW130+(1-EXP(-LN(2)/2))/(LN(2)/2)*AQ131*AT131*VLOOKUP('Données projet'!$B$10,Paramètres!$A$1:$I$89,3,0)*0.475*44/12</f>
        <v>2.5611437885575657E-14</v>
      </c>
      <c r="AX131" s="21">
        <f t="shared" si="60"/>
        <v>3.8692412656805923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>
        <f>BD131*VLOOKUP('Données projet'!$B$11,Paramètres!$A$1:$I$89,3,0)*VLOOKUP('Données projet'!$B$11,Paramètres!$A$1:$I$89,5,0)</f>
        <v>0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405.7176439604217</v>
      </c>
      <c r="BJ131" s="59">
        <f t="shared" si="92"/>
        <v>278.21741231699929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1.0493997787820051</v>
      </c>
      <c r="BQ131" s="21">
        <f>EXP(-LN(2)/25)*BQ130+(1-EXP(-LN(2)/25))/(LN(2)/25)*Calculateur!BL131*Calculateur!BN131*VLOOKUP('Données projet'!$B$11,Paramètres!$A$1:$I$89,3,0)*0.475*44/12</f>
        <v>0.61867042140090844</v>
      </c>
      <c r="BR131" s="21">
        <f>EXP(-LN(2)/2)*BR130+(1-EXP(-LN(2)/2))/(LN(2)/2)*BL131*BO131*VLOOKUP('Données projet'!$B$11,Paramètres!$A$1:$I$89,3,0)*0.475*44/12</f>
        <v>1.5160908243206182E-14</v>
      </c>
      <c r="BS131" s="22">
        <f t="shared" si="63"/>
        <v>1.6680702001829286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259.99999999999983</v>
      </c>
      <c r="BZ131" s="13">
        <f>BY131*VLOOKUP('Données projet'!$B$12,Paramètres!$A$1:$I$89,3,0)*VLOOKUP('Données projet'!$B$12,Paramètres!$A$1:$I$89,5,0)</f>
        <v>227.13599999999985</v>
      </c>
      <c r="CA131" s="13">
        <f t="shared" si="93"/>
        <v>55.662966886685133</v>
      </c>
      <c r="CB131" s="20">
        <f t="shared" si="64"/>
        <v>492.5415339943097</v>
      </c>
      <c r="CC131" s="59">
        <f t="shared" si="65"/>
        <v>785.87486732764296</v>
      </c>
      <c r="CD131" s="59">
        <f ca="1">AVERAGE(OFFSET($CC$3,0,0,'Données projet'!$E$12+1,1))-AVERAGE(OFFSET($H$3,0,0,'Données projet'!$E$12+1,1))</f>
        <v>381.72225529388083</v>
      </c>
      <c r="CE131" s="59">
        <f t="shared" si="94"/>
        <v>360.05900046417361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0.69088308766364948</v>
      </c>
      <c r="CL131" s="21">
        <f>EXP(-LN(2)/25)*CL130+(1-EXP(-LN(2)/25))/(LN(2)/25)*Calculateur!CG131*Calculateur!CI131*VLOOKUP('Données projet'!$B$12,Paramètres!$A$1:$I$89,3,0)*0.475*44/12</f>
        <v>0.74520829237356612</v>
      </c>
      <c r="CM131" s="21">
        <f>EXP(-LN(2)/2)*CM130+(1-EXP(-LN(2)/2))/(LN(2)/2)*CG131*CJ131*VLOOKUP('Données projet'!$B$12,Paramètres!$A$1:$I$89,3,0)*0.475*44/12</f>
        <v>1.2430067310553728E-14</v>
      </c>
      <c r="CN131" s="22">
        <f t="shared" si="66"/>
        <v>1.4360913800372281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-1.7053025658242404E-13</v>
      </c>
      <c r="CU131" s="17">
        <f>CT131*VLOOKUP('Données projet'!$B$13,Paramètres!$A$1:$I$89,3,0)*VLOOKUP('Données projet'!$B$13,Paramètres!$A$1:$I$89,5,0)</f>
        <v>-1.3567387213697657E-13</v>
      </c>
      <c r="CV131" s="13" t="e">
        <f t="shared" si="95"/>
        <v>#NUM!</v>
      </c>
      <c r="CW131" s="20" t="e">
        <f t="shared" si="67"/>
        <v>#NUM!</v>
      </c>
      <c r="CX131" s="59" t="e">
        <f t="shared" si="68"/>
        <v>#NUM!</v>
      </c>
      <c r="CY131" s="59">
        <f ca="1">AVERAGE(OFFSET($CX$3,0,0,'Données projet'!$E$13+1,1))-AVERAGE(OFFSET($H$3,0,0,'Données projet'!$E$13+1,1))</f>
        <v>299.10536994156814</v>
      </c>
      <c r="CZ131" s="59">
        <f t="shared" si="96"/>
        <v>292.57799203101769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1.2091887614592234</v>
      </c>
      <c r="DG131" s="21">
        <f>EXP(-LN(2)/25)*DG130+(1-EXP(-LN(2)/25))/(LN(2)/25)*Calculateur!DB131*Calculateur!DD131*VLOOKUP('Données projet'!$B$13,Paramètres!$A$1:$I$89,3,0)*0.475*44/12</f>
        <v>0.71432964906770646</v>
      </c>
      <c r="DH131" s="21">
        <f>EXP(-LN(2)/2)*DH130+(1-EXP(-LN(2)/2))/(LN(2)/2)*DB131*DE131*VLOOKUP('Données projet'!$B$13,Paramètres!$A$1:$I$89,3,0)*0.475*44/12</f>
        <v>1.5938625656319952E-14</v>
      </c>
      <c r="DI131" s="22">
        <f t="shared" si="69"/>
        <v>1.9235184105269458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2.2737367544323206E-13</v>
      </c>
      <c r="DP131" s="17">
        <f>DO131*VLOOKUP('Données projet'!$B$14,Paramètres!$A$1:$I$89,3,0)*VLOOKUP('Données projet'!$B$14,Paramètres!$A$1:$I$89,5,0)</f>
        <v>1.4897523215040565E-13</v>
      </c>
      <c r="DQ131" s="13">
        <f t="shared" si="97"/>
        <v>2.136562777003313E-12</v>
      </c>
      <c r="DR131" s="20">
        <f t="shared" si="70"/>
        <v>3.9806453659427267E-12</v>
      </c>
      <c r="DS131" s="59">
        <f t="shared" si="71"/>
        <v>293.33333333333729</v>
      </c>
      <c r="DT131" s="59">
        <f ca="1">AVERAGE(OFFSET($DS$3,0,0,'Données projet'!$E$14+1,1))-AVERAGE(OFFSET($H$3,0,0,'Données projet'!$E$14+1,1))</f>
        <v>295.92103934364718</v>
      </c>
      <c r="DU131" s="59">
        <f t="shared" si="98"/>
        <v>304.84379909635476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0.64044994333246952</v>
      </c>
      <c r="EB131" s="21">
        <f>EXP(-LN(2)/25)*EB130+(1-EXP(-LN(2)/25))/(LN(2)/25)*Calculateur!DW131*Calculateur!DY131*VLOOKUP('Données projet'!$B$14,Paramètres!$A$1:$I$89,3,0)*0.475*44/12</f>
        <v>0.472497051364274</v>
      </c>
      <c r="EC131" s="21">
        <f>EXP(-LN(2)/2)*EC130+(1-EXP(-LN(2)/2))/(LN(2)/2)*DW131*DZ131*VLOOKUP('Données projet'!$B$14,Paramètres!$A$1:$I$89,3,0)*0.475*44/12</f>
        <v>1.0222426463487748E-14</v>
      </c>
      <c r="ED131" s="22">
        <f t="shared" si="72"/>
        <v>1.1129469946967538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-1.1368683772161603E-13</v>
      </c>
      <c r="O132" s="13">
        <f>N132*VLOOKUP('Données projet'!$B$9,Paramètres!$A$1:$I$89,3,0)*VLOOKUP('Données projet'!$B$9,Paramètres!$A$1:$I$89,5,0)</f>
        <v>-5.3205440053716299E-14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319.22903094674564</v>
      </c>
      <c r="T132" s="59">
        <f t="shared" si="88"/>
        <v>254.58690973142848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1.2776668881393836</v>
      </c>
      <c r="AA132" s="21">
        <f>EXP(-LN(2)/25)*AA131+(1-EXP(-LN(2)/25))/(LN(2)/25)*Calculateur!V132*Calculateur!X132*VLOOKUP('Données projet'!$B$9,Paramètres!$A$1:$I$89,3,0)*0.475*44/12</f>
        <v>0.71655165626551554</v>
      </c>
      <c r="AB132" s="21">
        <f>EXP(-LN(2)/2)*AB131+(1-EXP(-LN(2)/2))/(LN(2)/2)*V132*Y132*VLOOKUP('Données projet'!$B$9,Paramètres!$A$1:$I$89,3,0)*0.475*44/12</f>
        <v>1.3870986402870953E-14</v>
      </c>
      <c r="AC132" s="22">
        <f t="shared" ref="AC132:AC153" si="111">SUM(Z132:AB132)</f>
        <v>1.9942185444049128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-3.4106051316484809E-13</v>
      </c>
      <c r="AJ132" s="13">
        <f>AI132*VLOOKUP('Données projet'!$B$10,Paramètres!$A$1:$I$89,3,0)*VLOOKUP('Données projet'!$B$10,Paramètres!$A$1:$I$89,5,0)</f>
        <v>-1.9065282685915009E-13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544.48194192356823</v>
      </c>
      <c r="AO132" s="59">
        <f t="shared" si="90"/>
        <v>668.20427590250733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1.0334524853807672</v>
      </c>
      <c r="AV132" s="21">
        <f>EXP(-LN(2)/25)*AV131+(1-EXP(-LN(2)/25))/(LN(2)/25)*Calculateur!AQ132*Calculateur!AS132*VLOOKUP('Données projet'!$B$10,Paramètres!$A$1:$I$89,3,0)*0.475*44/12</f>
        <v>2.7381385157400313</v>
      </c>
      <c r="AW132" s="21">
        <f>EXP(-LN(2)/2)*AW131+(1-EXP(-LN(2)/2))/(LN(2)/2)*AQ132*AT132*VLOOKUP('Données projet'!$B$10,Paramètres!$A$1:$I$89,3,0)*0.475*44/12</f>
        <v>1.8110021404828599E-14</v>
      </c>
      <c r="AX132" s="21">
        <f t="shared" ref="AX132:AX153" si="114">SUM(AU132:AW132)</f>
        <v>3.7715910011208167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>
        <f>BD132*VLOOKUP('Données projet'!$B$11,Paramètres!$A$1:$I$89,3,0)*VLOOKUP('Données projet'!$B$11,Paramètres!$A$1:$I$89,5,0)</f>
        <v>0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405.7176439604217</v>
      </c>
      <c r="BJ132" s="59">
        <f t="shared" si="92"/>
        <v>278.21741231699929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1.0288216891907533</v>
      </c>
      <c r="BQ132" s="21">
        <f>EXP(-LN(2)/25)*BQ131+(1-EXP(-LN(2)/25))/(LN(2)/25)*Calculateur!BL132*Calculateur!BN132*VLOOKUP('Données projet'!$B$11,Paramètres!$A$1:$I$89,3,0)*0.475*44/12</f>
        <v>0.6017528461932371</v>
      </c>
      <c r="BR132" s="21">
        <f>EXP(-LN(2)/2)*BR131+(1-EXP(-LN(2)/2))/(LN(2)/2)*BL132*BO132*VLOOKUP('Données projet'!$B$11,Paramètres!$A$1:$I$89,3,0)*0.475*44/12</f>
        <v>1.0720381027718119E-14</v>
      </c>
      <c r="BS132" s="22">
        <f t="shared" ref="BS132:BS153" si="117">SUM(BP132:BR132)</f>
        <v>1.6305745353840011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259.99999999999983</v>
      </c>
      <c r="BZ132" s="13">
        <f>BY132*VLOOKUP('Données projet'!$B$12,Paramètres!$A$1:$I$89,3,0)*VLOOKUP('Données projet'!$B$12,Paramètres!$A$1:$I$89,5,0)</f>
        <v>227.13599999999985</v>
      </c>
      <c r="CA132" s="13">
        <f t="shared" si="93"/>
        <v>55.662966886685133</v>
      </c>
      <c r="CB132" s="20">
        <f t="shared" ref="CB132:CB153" si="118">(BZ132+CA132)*0.475*44/12</f>
        <v>492.5415339943097</v>
      </c>
      <c r="CC132" s="59">
        <f t="shared" ref="CC132:CC195" si="119">CB132+(BT132+BU132)*44/12</f>
        <v>785.87486732764296</v>
      </c>
      <c r="CD132" s="59">
        <f ca="1">AVERAGE(OFFSET($CC$3,0,0,'Données projet'!$E$12+1,1))-AVERAGE(OFFSET($H$3,0,0,'Données projet'!$E$12+1,1))</f>
        <v>381.72225529388083</v>
      </c>
      <c r="CE132" s="59">
        <f t="shared" si="94"/>
        <v>360.05900046417361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0.67733529171163931</v>
      </c>
      <c r="CL132" s="21">
        <f>EXP(-LN(2)/25)*CL131+(1-EXP(-LN(2)/25))/(LN(2)/25)*Calculateur!CG132*Calculateur!CI132*VLOOKUP('Données projet'!$B$12,Paramètres!$A$1:$I$89,3,0)*0.475*44/12</f>
        <v>0.7248305324298101</v>
      </c>
      <c r="CM132" s="21">
        <f>EXP(-LN(2)/2)*CM131+(1-EXP(-LN(2)/2))/(LN(2)/2)*CG132*CJ132*VLOOKUP('Données projet'!$B$12,Paramètres!$A$1:$I$89,3,0)*0.475*44/12</f>
        <v>8.7893848858977718E-15</v>
      </c>
      <c r="CN132" s="22">
        <f t="shared" ref="CN132:CN153" si="120">SUM(CK132:CM132)</f>
        <v>1.4021658241414583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-1.7053025658242404E-13</v>
      </c>
      <c r="CU132" s="17">
        <f>CT132*VLOOKUP('Données projet'!$B$13,Paramètres!$A$1:$I$89,3,0)*VLOOKUP('Données projet'!$B$13,Paramètres!$A$1:$I$89,5,0)</f>
        <v>-1.3567387213697657E-13</v>
      </c>
      <c r="CV132" s="13" t="e">
        <f t="shared" si="95"/>
        <v>#NUM!</v>
      </c>
      <c r="CW132" s="20" t="e">
        <f t="shared" ref="CW132:CW153" si="121">(CU132+CV132)*0.475*44/12</f>
        <v>#NUM!</v>
      </c>
      <c r="CX132" s="59" t="e">
        <f t="shared" ref="CX132:CX195" si="122">CW132+(CO132+CP132)*44/12</f>
        <v>#NUM!</v>
      </c>
      <c r="CY132" s="59">
        <f ca="1">AVERAGE(OFFSET($CX$3,0,0,'Données projet'!$E$13+1,1))-AVERAGE(OFFSET($H$3,0,0,'Données projet'!$E$13+1,1))</f>
        <v>299.10536994156814</v>
      </c>
      <c r="CZ132" s="59">
        <f t="shared" si="96"/>
        <v>292.57799203101769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1.1854773073793272</v>
      </c>
      <c r="DG132" s="21">
        <f>EXP(-LN(2)/25)*DG131+(1-EXP(-LN(2)/25))/(LN(2)/25)*Calculateur!DB132*Calculateur!DD132*VLOOKUP('Données projet'!$B$13,Paramètres!$A$1:$I$89,3,0)*0.475*44/12</f>
        <v>0.69479626724898635</v>
      </c>
      <c r="DH132" s="21">
        <f>EXP(-LN(2)/2)*DH131+(1-EXP(-LN(2)/2))/(LN(2)/2)*DB132*DE132*VLOOKUP('Données projet'!$B$13,Paramètres!$A$1:$I$89,3,0)*0.475*44/12</f>
        <v>1.1270310284377725E-14</v>
      </c>
      <c r="DI132" s="22">
        <f t="shared" ref="DI132:DI153" si="123">SUM(DF132:DH132)</f>
        <v>1.880273574628325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2.2737367544323206E-13</v>
      </c>
      <c r="DP132" s="17">
        <f>DO132*VLOOKUP('Données projet'!$B$14,Paramètres!$A$1:$I$89,3,0)*VLOOKUP('Données projet'!$B$14,Paramètres!$A$1:$I$89,5,0)</f>
        <v>1.4897523215040565E-13</v>
      </c>
      <c r="DQ132" s="13">
        <f t="shared" si="97"/>
        <v>2.136562777003313E-12</v>
      </c>
      <c r="DR132" s="20">
        <f t="shared" ref="DR132:DR153" si="124">(DP132+DQ132)*0.475*44/12</f>
        <v>3.9806453659427267E-12</v>
      </c>
      <c r="DS132" s="59">
        <f t="shared" ref="DS132:DS195" si="125">DR132+(DJ132+DK132)*44/12</f>
        <v>293.33333333333729</v>
      </c>
      <c r="DT132" s="59">
        <f ca="1">AVERAGE(OFFSET($DS$3,0,0,'Données projet'!$E$14+1,1))-AVERAGE(OFFSET($H$3,0,0,'Données projet'!$E$14+1,1))</f>
        <v>295.92103934364718</v>
      </c>
      <c r="DU132" s="59">
        <f t="shared" si="98"/>
        <v>304.84379909635476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0.62789111057961311</v>
      </c>
      <c r="EB132" s="21">
        <f>EXP(-LN(2)/25)*EB131+(1-EXP(-LN(2)/25))/(LN(2)/25)*Calculateur!DW132*Calculateur!DY132*VLOOKUP('Données projet'!$B$14,Paramètres!$A$1:$I$89,3,0)*0.475*44/12</f>
        <v>0.45957659464717793</v>
      </c>
      <c r="EC132" s="21">
        <f>EXP(-LN(2)/2)*EC131+(1-EXP(-LN(2)/2))/(LN(2)/2)*DW132*DZ132*VLOOKUP('Données projet'!$B$14,Paramètres!$A$1:$I$89,3,0)*0.475*44/12</f>
        <v>7.2283470725130037E-15</v>
      </c>
      <c r="ED132" s="22">
        <f t="shared" ref="ED132:ED153" si="126">SUM(EA132:EC132)</f>
        <v>1.0874677052267983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-1.1368683772161603E-13</v>
      </c>
      <c r="O133" s="13">
        <f>N133*VLOOKUP('Données projet'!$B$9,Paramètres!$A$1:$I$89,3,0)*VLOOKUP('Données projet'!$B$9,Paramètres!$A$1:$I$89,5,0)</f>
        <v>-5.3205440053716299E-14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319.22903094674564</v>
      </c>
      <c r="T133" s="59">
        <f t="shared" ref="T133:T196" si="142">$T$3</f>
        <v>254.58690973142848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1.2526126197628225</v>
      </c>
      <c r="AA133" s="21">
        <f>EXP(-LN(2)/25)*AA132+(1-EXP(-LN(2)/25))/(LN(2)/25)*Calculateur!V133*Calculateur!X133*VLOOKUP('Données projet'!$B$9,Paramètres!$A$1:$I$89,3,0)*0.475*44/12</f>
        <v>0.69695751354312108</v>
      </c>
      <c r="AB133" s="21">
        <f>EXP(-LN(2)/2)*AB132+(1-EXP(-LN(2)/2))/(LN(2)/2)*V133*Y133*VLOOKUP('Données projet'!$B$9,Paramètres!$A$1:$I$89,3,0)*0.475*44/12</f>
        <v>9.8082685472164481E-15</v>
      </c>
      <c r="AC133" s="22">
        <f t="shared" si="111"/>
        <v>1.9495701333059534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-3.4106051316484809E-13</v>
      </c>
      <c r="AJ133" s="13">
        <f>AI133*VLOOKUP('Données projet'!$B$10,Paramètres!$A$1:$I$89,3,0)*VLOOKUP('Données projet'!$B$10,Paramètres!$A$1:$I$89,5,0)</f>
        <v>-1.9065282685915009E-13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544.48194192356823</v>
      </c>
      <c r="AO133" s="59">
        <f t="shared" ref="AO133:AO196" si="144">$AO$3</f>
        <v>668.20427590250733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1.0131871124862251</v>
      </c>
      <c r="AV133" s="21">
        <f>EXP(-LN(2)/25)*AV132+(1-EXP(-LN(2)/25))/(LN(2)/25)*Calculateur!AQ133*Calculateur!AS133*VLOOKUP('Données projet'!$B$10,Paramètres!$A$1:$I$89,3,0)*0.475*44/12</f>
        <v>2.6632639740346735</v>
      </c>
      <c r="AW133" s="21">
        <f>EXP(-LN(2)/2)*AW132+(1-EXP(-LN(2)/2))/(LN(2)/2)*AQ133*AT133*VLOOKUP('Données projet'!$B$10,Paramètres!$A$1:$I$89,3,0)*0.475*44/12</f>
        <v>1.2805718942787828E-14</v>
      </c>
      <c r="AX133" s="21">
        <f t="shared" si="114"/>
        <v>3.6764510865209115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>
        <f>BD133*VLOOKUP('Données projet'!$B$11,Paramètres!$A$1:$I$89,3,0)*VLOOKUP('Données projet'!$B$11,Paramètres!$A$1:$I$89,5,0)</f>
        <v>0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405.7176439604217</v>
      </c>
      <c r="BJ133" s="59">
        <f t="shared" ref="BJ133:BJ196" si="146">$BJ$3</f>
        <v>278.21741231699929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1.0086471233849907</v>
      </c>
      <c r="BQ133" s="21">
        <f>EXP(-LN(2)/25)*BQ132+(1-EXP(-LN(2)/25))/(LN(2)/25)*Calculateur!BL133*Calculateur!BN133*VLOOKUP('Données projet'!$B$11,Paramètres!$A$1:$I$89,3,0)*0.475*44/12</f>
        <v>0.58529788296927621</v>
      </c>
      <c r="BR133" s="21">
        <f>EXP(-LN(2)/2)*BR132+(1-EXP(-LN(2)/2))/(LN(2)/2)*BL133*BO133*VLOOKUP('Données projet'!$B$11,Paramètres!$A$1:$I$89,3,0)*0.475*44/12</f>
        <v>7.5804541216030912E-15</v>
      </c>
      <c r="BS133" s="22">
        <f t="shared" si="117"/>
        <v>1.5939450063542746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259.99999999999983</v>
      </c>
      <c r="BZ133" s="13">
        <f>BY133*VLOOKUP('Données projet'!$B$12,Paramètres!$A$1:$I$89,3,0)*VLOOKUP('Données projet'!$B$12,Paramètres!$A$1:$I$89,5,0)</f>
        <v>227.13599999999985</v>
      </c>
      <c r="CA133" s="13">
        <f t="shared" ref="CA133:CA153" si="147">EXP(-1.0587+0.8836*LN(BZ133)+0.284)</f>
        <v>55.662966886685133</v>
      </c>
      <c r="CB133" s="20">
        <f t="shared" si="118"/>
        <v>492.5415339943097</v>
      </c>
      <c r="CC133" s="59">
        <f t="shared" si="119"/>
        <v>785.87486732764296</v>
      </c>
      <c r="CD133" s="59">
        <f ca="1">AVERAGE(OFFSET($CC$3,0,0,'Données projet'!$E$12+1,1))-AVERAGE(OFFSET($H$3,0,0,'Données projet'!$E$12+1,1))</f>
        <v>381.72225529388083</v>
      </c>
      <c r="CE133" s="59">
        <f t="shared" ref="CE133:CE196" si="148">$CE$3</f>
        <v>360.05900046417361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0.66405315977490842</v>
      </c>
      <c r="CL133" s="21">
        <f>EXP(-LN(2)/25)*CL132+(1-EXP(-LN(2)/25))/(LN(2)/25)*Calculateur!CG133*Calculateur!CI133*VLOOKUP('Données projet'!$B$12,Paramètres!$A$1:$I$89,3,0)*0.475*44/12</f>
        <v>0.70501000340333586</v>
      </c>
      <c r="CM133" s="21">
        <f>EXP(-LN(2)/2)*CM132+(1-EXP(-LN(2)/2))/(LN(2)/2)*CG133*CJ133*VLOOKUP('Données projet'!$B$12,Paramètres!$A$1:$I$89,3,0)*0.475*44/12</f>
        <v>6.2150336552768638E-15</v>
      </c>
      <c r="CN133" s="22">
        <f t="shared" si="120"/>
        <v>1.3690631631782506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-1.7053025658242404E-13</v>
      </c>
      <c r="CU133" s="17">
        <f>CT133*VLOOKUP('Données projet'!$B$13,Paramètres!$A$1:$I$89,3,0)*VLOOKUP('Données projet'!$B$13,Paramètres!$A$1:$I$89,5,0)</f>
        <v>-1.3567387213697657E-13</v>
      </c>
      <c r="CV133" s="13" t="e">
        <f t="shared" ref="CV133:CV153" si="149">EXP(-1.0587+0.8836*LN(CU133)+0.284)</f>
        <v>#NUM!</v>
      </c>
      <c r="CW133" s="20" t="e">
        <f t="shared" si="121"/>
        <v>#NUM!</v>
      </c>
      <c r="CX133" s="59" t="e">
        <f t="shared" si="122"/>
        <v>#NUM!</v>
      </c>
      <c r="CY133" s="59">
        <f ca="1">AVERAGE(OFFSET($CX$3,0,0,'Données projet'!$E$13+1,1))-AVERAGE(OFFSET($H$3,0,0,'Données projet'!$E$13+1,1))</f>
        <v>299.10536994156814</v>
      </c>
      <c r="CZ133" s="59">
        <f t="shared" ref="CZ133:CZ196" si="150">$CZ$3</f>
        <v>292.57799203101769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1.1622308204513789</v>
      </c>
      <c r="DG133" s="21">
        <f>EXP(-LN(2)/25)*DG132+(1-EXP(-LN(2)/25))/(LN(2)/25)*Calculateur!DB133*Calculateur!DD133*VLOOKUP('Données projet'!$B$13,Paramètres!$A$1:$I$89,3,0)*0.475*44/12</f>
        <v>0.6757970267833151</v>
      </c>
      <c r="DH133" s="21">
        <f>EXP(-LN(2)/2)*DH132+(1-EXP(-LN(2)/2))/(LN(2)/2)*DB133*DE133*VLOOKUP('Données projet'!$B$13,Paramètres!$A$1:$I$89,3,0)*0.475*44/12</f>
        <v>7.969312828159976E-15</v>
      </c>
      <c r="DI133" s="22">
        <f t="shared" si="123"/>
        <v>1.838027847234702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2.2737367544323206E-13</v>
      </c>
      <c r="DP133" s="17">
        <f>DO133*VLOOKUP('Données projet'!$B$14,Paramètres!$A$1:$I$89,3,0)*VLOOKUP('Données projet'!$B$14,Paramètres!$A$1:$I$89,5,0)</f>
        <v>1.4897523215040565E-13</v>
      </c>
      <c r="DQ133" s="13">
        <f t="shared" ref="DQ133:DQ153" si="151">EXP(-1.0587+0.8836*LN(DP133)+0.284)</f>
        <v>2.136562777003313E-12</v>
      </c>
      <c r="DR133" s="20">
        <f t="shared" si="124"/>
        <v>3.9806453659427267E-12</v>
      </c>
      <c r="DS133" s="59">
        <f t="shared" si="125"/>
        <v>293.33333333333729</v>
      </c>
      <c r="DT133" s="59">
        <f ca="1">AVERAGE(OFFSET($DS$3,0,0,'Données projet'!$E$14+1,1))-AVERAGE(OFFSET($H$3,0,0,'Données projet'!$E$14+1,1))</f>
        <v>295.92103934364718</v>
      </c>
      <c r="DU133" s="59">
        <f t="shared" ref="DU133:DU196" si="152">$DU$3</f>
        <v>304.84379909635476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0.61557854887690866</v>
      </c>
      <c r="EB133" s="21">
        <f>EXP(-LN(2)/25)*EB132+(1-EXP(-LN(2)/25))/(LN(2)/25)*Calculateur!DW133*Calculateur!DY133*VLOOKUP('Données projet'!$B$14,Paramètres!$A$1:$I$89,3,0)*0.475*44/12</f>
        <v>0.44700944849846813</v>
      </c>
      <c r="EC133" s="21">
        <f>EXP(-LN(2)/2)*EC132+(1-EXP(-LN(2)/2))/(LN(2)/2)*DW133*DZ133*VLOOKUP('Données projet'!$B$14,Paramètres!$A$1:$I$89,3,0)*0.475*44/12</f>
        <v>5.111213231743874E-15</v>
      </c>
      <c r="ED133" s="22">
        <f t="shared" si="126"/>
        <v>1.0625879973753818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-1.1368683772161603E-13</v>
      </c>
      <c r="O134" s="13">
        <f>N134*VLOOKUP('Données projet'!$B$9,Paramètres!$A$1:$I$89,3,0)*VLOOKUP('Données projet'!$B$9,Paramètres!$A$1:$I$89,5,0)</f>
        <v>-5.3205440053716299E-14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319.22903094674564</v>
      </c>
      <c r="T134" s="59">
        <f t="shared" si="142"/>
        <v>254.58690973142848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1.2280496503075311</v>
      </c>
      <c r="AA134" s="21">
        <f>EXP(-LN(2)/25)*AA133+(1-EXP(-LN(2)/25))/(LN(2)/25)*Calculateur!V134*Calculateur!X134*VLOOKUP('Données projet'!$B$9,Paramètres!$A$1:$I$89,3,0)*0.475*44/12</f>
        <v>0.67789917368388175</v>
      </c>
      <c r="AB134" s="21">
        <f>EXP(-LN(2)/2)*AB133+(1-EXP(-LN(2)/2))/(LN(2)/2)*V134*Y134*VLOOKUP('Données projet'!$B$9,Paramètres!$A$1:$I$89,3,0)*0.475*44/12</f>
        <v>6.935493201435478E-15</v>
      </c>
      <c r="AC134" s="22">
        <f t="shared" si="111"/>
        <v>1.9059488239914197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-3.4106051316484809E-13</v>
      </c>
      <c r="AJ134" s="13">
        <f>AI134*VLOOKUP('Données projet'!$B$10,Paramètres!$A$1:$I$89,3,0)*VLOOKUP('Données projet'!$B$10,Paramètres!$A$1:$I$89,5,0)</f>
        <v>-1.9065282685915009E-13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544.48194192356823</v>
      </c>
      <c r="AO134" s="59">
        <f t="shared" si="144"/>
        <v>668.20427590250733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0.99331913119348803</v>
      </c>
      <c r="AV134" s="21">
        <f>EXP(-LN(2)/25)*AV133+(1-EXP(-LN(2)/25))/(LN(2)/25)*Calculateur!AQ134*Calculateur!AS134*VLOOKUP('Données projet'!$B$10,Paramètres!$A$1:$I$89,3,0)*0.475*44/12</f>
        <v>2.59043688060973</v>
      </c>
      <c r="AW134" s="21">
        <f>EXP(-LN(2)/2)*AW133+(1-EXP(-LN(2)/2))/(LN(2)/2)*AQ134*AT134*VLOOKUP('Données projet'!$B$10,Paramètres!$A$1:$I$89,3,0)*0.475*44/12</f>
        <v>9.0550107024142996E-15</v>
      </c>
      <c r="AX134" s="21">
        <f t="shared" si="114"/>
        <v>3.583756011803227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>
        <f>BD134*VLOOKUP('Données projet'!$B$11,Paramètres!$A$1:$I$89,3,0)*VLOOKUP('Données projet'!$B$11,Paramètres!$A$1:$I$89,5,0)</f>
        <v>0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405.7176439604217</v>
      </c>
      <c r="BJ134" s="59">
        <f t="shared" si="146"/>
        <v>278.21741231699929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0.98886816850940895</v>
      </c>
      <c r="BQ134" s="21">
        <f>EXP(-LN(2)/25)*BQ133+(1-EXP(-LN(2)/25))/(LN(2)/25)*Calculateur!BL134*Calculateur!BN134*VLOOKUP('Données projet'!$B$11,Paramètres!$A$1:$I$89,3,0)*0.475*44/12</f>
        <v>0.56929288158000335</v>
      </c>
      <c r="BR134" s="21">
        <f>EXP(-LN(2)/2)*BR133+(1-EXP(-LN(2)/2))/(LN(2)/2)*BL134*BO134*VLOOKUP('Données projet'!$B$11,Paramètres!$A$1:$I$89,3,0)*0.475*44/12</f>
        <v>5.3601905138590594E-15</v>
      </c>
      <c r="BS134" s="22">
        <f t="shared" si="117"/>
        <v>1.5581610500894176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259.99999999999983</v>
      </c>
      <c r="BZ134" s="13">
        <f>BY134*VLOOKUP('Données projet'!$B$12,Paramètres!$A$1:$I$89,3,0)*VLOOKUP('Données projet'!$B$12,Paramètres!$A$1:$I$89,5,0)</f>
        <v>227.13599999999985</v>
      </c>
      <c r="CA134" s="13">
        <f t="shared" si="147"/>
        <v>55.662966886685133</v>
      </c>
      <c r="CB134" s="20">
        <f t="shared" si="118"/>
        <v>492.5415339943097</v>
      </c>
      <c r="CC134" s="59">
        <f t="shared" si="119"/>
        <v>785.87486732764296</v>
      </c>
      <c r="CD134" s="59">
        <f ca="1">AVERAGE(OFFSET($CC$3,0,0,'Données projet'!$E$12+1,1))-AVERAGE(OFFSET($H$3,0,0,'Données projet'!$E$12+1,1))</f>
        <v>381.72225529388083</v>
      </c>
      <c r="CE134" s="59">
        <f t="shared" si="148"/>
        <v>360.05900046417361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0.65103148234415631</v>
      </c>
      <c r="CL134" s="21">
        <f>EXP(-LN(2)/25)*CL133+(1-EXP(-LN(2)/25))/(LN(2)/25)*Calculateur!CG134*Calculateur!CI134*VLOOKUP('Données projet'!$B$12,Paramètres!$A$1:$I$89,3,0)*0.475*44/12</f>
        <v>0.68573146778540683</v>
      </c>
      <c r="CM134" s="21">
        <f>EXP(-LN(2)/2)*CM133+(1-EXP(-LN(2)/2))/(LN(2)/2)*CG134*CJ134*VLOOKUP('Données projet'!$B$12,Paramètres!$A$1:$I$89,3,0)*0.475*44/12</f>
        <v>4.3946924429488859E-15</v>
      </c>
      <c r="CN134" s="22">
        <f t="shared" si="120"/>
        <v>1.3367629501295677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-1.7053025658242404E-13</v>
      </c>
      <c r="CU134" s="17">
        <f>CT134*VLOOKUP('Données projet'!$B$13,Paramètres!$A$1:$I$89,3,0)*VLOOKUP('Données projet'!$B$13,Paramètres!$A$1:$I$89,5,0)</f>
        <v>-1.3567387213697657E-13</v>
      </c>
      <c r="CV134" s="13" t="e">
        <f t="shared" si="149"/>
        <v>#NUM!</v>
      </c>
      <c r="CW134" s="20" t="e">
        <f t="shared" si="121"/>
        <v>#NUM!</v>
      </c>
      <c r="CX134" s="59" t="e">
        <f t="shared" si="122"/>
        <v>#NUM!</v>
      </c>
      <c r="CY134" s="59">
        <f ca="1">AVERAGE(OFFSET($CX$3,0,0,'Données projet'!$E$13+1,1))-AVERAGE(OFFSET($H$3,0,0,'Données projet'!$E$13+1,1))</f>
        <v>299.10536994156814</v>
      </c>
      <c r="CZ134" s="59">
        <f t="shared" si="150"/>
        <v>292.57799203101769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1.1394401829531307</v>
      </c>
      <c r="DG134" s="21">
        <f>EXP(-LN(2)/25)*DG133+(1-EXP(-LN(2)/25))/(LN(2)/25)*Calculateur!DB134*Calculateur!DD134*VLOOKUP('Données projet'!$B$13,Paramètres!$A$1:$I$89,3,0)*0.475*44/12</f>
        <v>0.65731732154730427</v>
      </c>
      <c r="DH134" s="21">
        <f>EXP(-LN(2)/2)*DH133+(1-EXP(-LN(2)/2))/(LN(2)/2)*DB134*DE134*VLOOKUP('Données projet'!$B$13,Paramètres!$A$1:$I$89,3,0)*0.475*44/12</f>
        <v>5.6351551421888625E-15</v>
      </c>
      <c r="DI134" s="22">
        <f t="shared" si="123"/>
        <v>1.7967575045004405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2.2737367544323206E-13</v>
      </c>
      <c r="DP134" s="17">
        <f>DO134*VLOOKUP('Données projet'!$B$14,Paramètres!$A$1:$I$89,3,0)*VLOOKUP('Données projet'!$B$14,Paramètres!$A$1:$I$89,5,0)</f>
        <v>1.4897523215040565E-13</v>
      </c>
      <c r="DQ134" s="13">
        <f t="shared" si="151"/>
        <v>2.136562777003313E-12</v>
      </c>
      <c r="DR134" s="20">
        <f t="shared" si="124"/>
        <v>3.9806453659427267E-12</v>
      </c>
      <c r="DS134" s="59">
        <f t="shared" si="125"/>
        <v>293.33333333333729</v>
      </c>
      <c r="DT134" s="59">
        <f ca="1">AVERAGE(OFFSET($DS$3,0,0,'Données projet'!$E$14+1,1))-AVERAGE(OFFSET($H$3,0,0,'Données projet'!$E$14+1,1))</f>
        <v>295.92103934364718</v>
      </c>
      <c r="DU134" s="59">
        <f t="shared" si="152"/>
        <v>304.84379909635476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0.60350742899927312</v>
      </c>
      <c r="EB134" s="21">
        <f>EXP(-LN(2)/25)*EB133+(1-EXP(-LN(2)/25))/(LN(2)/25)*Calculateur!DW134*Calculateur!DY134*VLOOKUP('Données projet'!$B$14,Paramètres!$A$1:$I$89,3,0)*0.475*44/12</f>
        <v>0.43478595162207229</v>
      </c>
      <c r="EC134" s="21">
        <f>EXP(-LN(2)/2)*EC133+(1-EXP(-LN(2)/2))/(LN(2)/2)*DW134*DZ134*VLOOKUP('Données projet'!$B$14,Paramètres!$A$1:$I$89,3,0)*0.475*44/12</f>
        <v>3.6141735362565019E-15</v>
      </c>
      <c r="ED134" s="22">
        <f t="shared" si="126"/>
        <v>1.038293380621349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-1.1368683772161603E-13</v>
      </c>
      <c r="O135" s="13">
        <f>N135*VLOOKUP('Données projet'!$B$9,Paramètres!$A$1:$I$89,3,0)*VLOOKUP('Données projet'!$B$9,Paramètres!$A$1:$I$89,5,0)</f>
        <v>-5.3205440053716299E-14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319.22903094674564</v>
      </c>
      <c r="T135" s="59">
        <f t="shared" si="142"/>
        <v>254.58690973142848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1.2039683457013259</v>
      </c>
      <c r="AA135" s="21">
        <f>EXP(-LN(2)/25)*AA134+(1-EXP(-LN(2)/25))/(LN(2)/25)*Calculateur!V135*Calculateur!X135*VLOOKUP('Données projet'!$B$9,Paramètres!$A$1:$I$89,3,0)*0.475*44/12</f>
        <v>0.65936198513032784</v>
      </c>
      <c r="AB135" s="21">
        <f>EXP(-LN(2)/2)*AB134+(1-EXP(-LN(2)/2))/(LN(2)/2)*V135*Y135*VLOOKUP('Données projet'!$B$9,Paramètres!$A$1:$I$89,3,0)*0.475*44/12</f>
        <v>4.9041342736082248E-15</v>
      </c>
      <c r="AC135" s="22">
        <f t="shared" si="111"/>
        <v>1.8633303308316587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-3.4106051316484809E-13</v>
      </c>
      <c r="AJ135" s="13">
        <f>AI135*VLOOKUP('Données projet'!$B$10,Paramètres!$A$1:$I$89,3,0)*VLOOKUP('Données projet'!$B$10,Paramètres!$A$1:$I$89,5,0)</f>
        <v>-1.9065282685915009E-13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544.48194192356823</v>
      </c>
      <c r="AO135" s="59">
        <f t="shared" si="144"/>
        <v>668.20427590250733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0.97384074889562955</v>
      </c>
      <c r="AV135" s="21">
        <f>EXP(-LN(2)/25)*AV134+(1-EXP(-LN(2)/25))/(LN(2)/25)*Calculateur!AQ135*Calculateur!AS135*VLOOKUP('Données projet'!$B$10,Paramètres!$A$1:$I$89,3,0)*0.475*44/12</f>
        <v>2.5196012478843017</v>
      </c>
      <c r="AW135" s="21">
        <f>EXP(-LN(2)/2)*AW134+(1-EXP(-LN(2)/2))/(LN(2)/2)*AQ135*AT135*VLOOKUP('Données projet'!$B$10,Paramètres!$A$1:$I$89,3,0)*0.475*44/12</f>
        <v>6.4028594713939142E-15</v>
      </c>
      <c r="AX135" s="21">
        <f t="shared" si="114"/>
        <v>3.4934419967799375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>
        <f>BD135*VLOOKUP('Données projet'!$B$11,Paramètres!$A$1:$I$89,3,0)*VLOOKUP('Données projet'!$B$11,Paramètres!$A$1:$I$89,5,0)</f>
        <v>0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405.7176439604217</v>
      </c>
      <c r="BJ135" s="59">
        <f t="shared" si="146"/>
        <v>278.21741231699929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0.96947706687496615</v>
      </c>
      <c r="BQ135" s="21">
        <f>EXP(-LN(2)/25)*BQ134+(1-EXP(-LN(2)/25))/(LN(2)/25)*Calculateur!BL135*Calculateur!BN135*VLOOKUP('Données projet'!$B$11,Paramètres!$A$1:$I$89,3,0)*0.475*44/12</f>
        <v>0.55372553779538669</v>
      </c>
      <c r="BR135" s="21">
        <f>EXP(-LN(2)/2)*BR134+(1-EXP(-LN(2)/2))/(LN(2)/2)*BL135*BO135*VLOOKUP('Données projet'!$B$11,Paramètres!$A$1:$I$89,3,0)*0.475*44/12</f>
        <v>3.7902270608015456E-15</v>
      </c>
      <c r="BS135" s="22">
        <f t="shared" si="117"/>
        <v>1.5232026046703566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259.99999999999983</v>
      </c>
      <c r="BZ135" s="13">
        <f>BY135*VLOOKUP('Données projet'!$B$12,Paramètres!$A$1:$I$89,3,0)*VLOOKUP('Données projet'!$B$12,Paramètres!$A$1:$I$89,5,0)</f>
        <v>227.13599999999985</v>
      </c>
      <c r="CA135" s="13">
        <f t="shared" si="147"/>
        <v>55.662966886685133</v>
      </c>
      <c r="CB135" s="20">
        <f t="shared" si="118"/>
        <v>492.5415339943097</v>
      </c>
      <c r="CC135" s="59">
        <f t="shared" si="119"/>
        <v>785.87486732764296</v>
      </c>
      <c r="CD135" s="59">
        <f ca="1">AVERAGE(OFFSET($CC$3,0,0,'Données projet'!$E$12+1,1))-AVERAGE(OFFSET($H$3,0,0,'Données projet'!$E$12+1,1))</f>
        <v>381.72225529388083</v>
      </c>
      <c r="CE135" s="59">
        <f t="shared" si="148"/>
        <v>360.05900046417361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0.63826515206538226</v>
      </c>
      <c r="CL135" s="21">
        <f>EXP(-LN(2)/25)*CL134+(1-EXP(-LN(2)/25))/(LN(2)/25)*Calculateur!CG135*Calculateur!CI135*VLOOKUP('Données projet'!$B$12,Paramètres!$A$1:$I$89,3,0)*0.475*44/12</f>
        <v>0.66698010473776426</v>
      </c>
      <c r="CM135" s="21">
        <f>EXP(-LN(2)/2)*CM134+(1-EXP(-LN(2)/2))/(LN(2)/2)*CG135*CJ135*VLOOKUP('Données projet'!$B$12,Paramètres!$A$1:$I$89,3,0)*0.475*44/12</f>
        <v>3.1075168276384319E-15</v>
      </c>
      <c r="CN135" s="22">
        <f t="shared" si="120"/>
        <v>1.3052452568031496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-1.7053025658242404E-13</v>
      </c>
      <c r="CU135" s="17">
        <f>CT135*VLOOKUP('Données projet'!$B$13,Paramètres!$A$1:$I$89,3,0)*VLOOKUP('Données projet'!$B$13,Paramètres!$A$1:$I$89,5,0)</f>
        <v>-1.3567387213697657E-13</v>
      </c>
      <c r="CV135" s="13" t="e">
        <f t="shared" si="149"/>
        <v>#NUM!</v>
      </c>
      <c r="CW135" s="20" t="e">
        <f t="shared" si="121"/>
        <v>#NUM!</v>
      </c>
      <c r="CX135" s="59" t="e">
        <f t="shared" si="122"/>
        <v>#NUM!</v>
      </c>
      <c r="CY135" s="59">
        <f ca="1">AVERAGE(OFFSET($CX$3,0,0,'Données projet'!$E$13+1,1))-AVERAGE(OFFSET($H$3,0,0,'Données projet'!$E$13+1,1))</f>
        <v>299.10536994156814</v>
      </c>
      <c r="CZ135" s="59">
        <f t="shared" si="150"/>
        <v>292.57799203101769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1.1170964559553067</v>
      </c>
      <c r="DG135" s="21">
        <f>EXP(-LN(2)/25)*DG134+(1-EXP(-LN(2)/25))/(LN(2)/25)*Calculateur!DB135*Calculateur!DD135*VLOOKUP('Données projet'!$B$13,Paramètres!$A$1:$I$89,3,0)*0.475*44/12</f>
        <v>0.63934294482277765</v>
      </c>
      <c r="DH135" s="21">
        <f>EXP(-LN(2)/2)*DH134+(1-EXP(-LN(2)/2))/(LN(2)/2)*DB135*DE135*VLOOKUP('Données projet'!$B$13,Paramètres!$A$1:$I$89,3,0)*0.475*44/12</f>
        <v>3.984656414079988E-15</v>
      </c>
      <c r="DI135" s="22">
        <f t="shared" si="123"/>
        <v>1.7564394007780884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2.2737367544323206E-13</v>
      </c>
      <c r="DP135" s="17">
        <f>DO135*VLOOKUP('Données projet'!$B$14,Paramètres!$A$1:$I$89,3,0)*VLOOKUP('Données projet'!$B$14,Paramètres!$A$1:$I$89,5,0)</f>
        <v>1.4897523215040565E-13</v>
      </c>
      <c r="DQ135" s="13">
        <f t="shared" si="151"/>
        <v>2.136562777003313E-12</v>
      </c>
      <c r="DR135" s="20">
        <f t="shared" si="124"/>
        <v>3.9806453659427267E-12</v>
      </c>
      <c r="DS135" s="59">
        <f t="shared" si="125"/>
        <v>293.33333333333729</v>
      </c>
      <c r="DT135" s="59">
        <f ca="1">AVERAGE(OFFSET($DS$3,0,0,'Données projet'!$E$14+1,1))-AVERAGE(OFFSET($H$3,0,0,'Données projet'!$E$14+1,1))</f>
        <v>295.92103934364718</v>
      </c>
      <c r="DU135" s="59">
        <f t="shared" si="152"/>
        <v>304.84379909635476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0.59167301641978187</v>
      </c>
      <c r="EB135" s="21">
        <f>EXP(-LN(2)/25)*EB134+(1-EXP(-LN(2)/25))/(LN(2)/25)*Calculateur!DW135*Calculateur!DY135*VLOOKUP('Données projet'!$B$14,Paramètres!$A$1:$I$89,3,0)*0.475*44/12</f>
        <v>0.42289670691056724</v>
      </c>
      <c r="EC135" s="21">
        <f>EXP(-LN(2)/2)*EC134+(1-EXP(-LN(2)/2))/(LN(2)/2)*DW135*DZ135*VLOOKUP('Données projet'!$B$14,Paramètres!$A$1:$I$89,3,0)*0.475*44/12</f>
        <v>2.555606615871937E-15</v>
      </c>
      <c r="ED135" s="22">
        <f t="shared" si="126"/>
        <v>1.0145697233303519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-1.1368683772161603E-13</v>
      </c>
      <c r="O136" s="13">
        <f>N136*VLOOKUP('Données projet'!$B$9,Paramètres!$A$1:$I$89,3,0)*VLOOKUP('Données projet'!$B$9,Paramètres!$A$1:$I$89,5,0)</f>
        <v>-5.3205440053716299E-14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319.22903094674564</v>
      </c>
      <c r="T136" s="59">
        <f t="shared" si="142"/>
        <v>254.58690973142848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1.1803592607903028</v>
      </c>
      <c r="AA136" s="21">
        <f>EXP(-LN(2)/25)*AA135+(1-EXP(-LN(2)/25))/(LN(2)/25)*Calculateur!V136*Calculateur!X136*VLOOKUP('Données projet'!$B$9,Paramètres!$A$1:$I$89,3,0)*0.475*44/12</f>
        <v>0.64133169697259917</v>
      </c>
      <c r="AB136" s="21">
        <f>EXP(-LN(2)/2)*AB135+(1-EXP(-LN(2)/2))/(LN(2)/2)*V136*Y136*VLOOKUP('Données projet'!$B$9,Paramètres!$A$1:$I$89,3,0)*0.475*44/12</f>
        <v>3.4677466007177394E-15</v>
      </c>
      <c r="AC136" s="22">
        <f t="shared" si="111"/>
        <v>1.8216909577629057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-3.4106051316484809E-13</v>
      </c>
      <c r="AJ136" s="13">
        <f>AI136*VLOOKUP('Données projet'!$B$10,Paramètres!$A$1:$I$89,3,0)*VLOOKUP('Données projet'!$B$10,Paramètres!$A$1:$I$89,5,0)</f>
        <v>-1.9065282685915009E-13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544.48194192356823</v>
      </c>
      <c r="AO136" s="59">
        <f t="shared" si="144"/>
        <v>668.20427590250733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0.95474432579399204</v>
      </c>
      <c r="AV136" s="21">
        <f>EXP(-LN(2)/25)*AV135+(1-EXP(-LN(2)/25))/(LN(2)/25)*Calculateur!AQ136*Calculateur!AS136*VLOOKUP('Données projet'!$B$10,Paramètres!$A$1:$I$89,3,0)*0.475*44/12</f>
        <v>2.4507026192608343</v>
      </c>
      <c r="AW136" s="21">
        <f>EXP(-LN(2)/2)*AW135+(1-EXP(-LN(2)/2))/(LN(2)/2)*AQ136*AT136*VLOOKUP('Données projet'!$B$10,Paramètres!$A$1:$I$89,3,0)*0.475*44/12</f>
        <v>4.5275053512071498E-15</v>
      </c>
      <c r="AX136" s="21">
        <f t="shared" si="114"/>
        <v>3.4054469450548308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>
        <f>BD136*VLOOKUP('Données projet'!$B$11,Paramètres!$A$1:$I$89,3,0)*VLOOKUP('Données projet'!$B$11,Paramètres!$A$1:$I$89,5,0)</f>
        <v>0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405.7176439604217</v>
      </c>
      <c r="BJ136" s="59">
        <f t="shared" si="146"/>
        <v>278.21741231699929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0.95046621291617062</v>
      </c>
      <c r="BQ136" s="21">
        <f>EXP(-LN(2)/25)*BQ135+(1-EXP(-LN(2)/25))/(LN(2)/25)*Calculateur!BL136*Calculateur!BN136*VLOOKUP('Données projet'!$B$11,Paramètres!$A$1:$I$89,3,0)*0.475*44/12</f>
        <v>0.53858388384521139</v>
      </c>
      <c r="BR136" s="21">
        <f>EXP(-LN(2)/2)*BR135+(1-EXP(-LN(2)/2))/(LN(2)/2)*BL136*BO136*VLOOKUP('Données projet'!$B$11,Paramètres!$A$1:$I$89,3,0)*0.475*44/12</f>
        <v>2.6800952569295297E-15</v>
      </c>
      <c r="BS136" s="22">
        <f t="shared" si="117"/>
        <v>1.4890500967613847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259.99999999999983</v>
      </c>
      <c r="BZ136" s="13">
        <f>BY136*VLOOKUP('Données projet'!$B$12,Paramètres!$A$1:$I$89,3,0)*VLOOKUP('Données projet'!$B$12,Paramètres!$A$1:$I$89,5,0)</f>
        <v>227.13599999999985</v>
      </c>
      <c r="CA136" s="13">
        <f t="shared" si="147"/>
        <v>55.662966886685133</v>
      </c>
      <c r="CB136" s="20">
        <f t="shared" si="118"/>
        <v>492.5415339943097</v>
      </c>
      <c r="CC136" s="59">
        <f t="shared" si="119"/>
        <v>785.87486732764296</v>
      </c>
      <c r="CD136" s="59">
        <f ca="1">AVERAGE(OFFSET($CC$3,0,0,'Données projet'!$E$12+1,1))-AVERAGE(OFFSET($H$3,0,0,'Données projet'!$E$12+1,1))</f>
        <v>381.72225529388083</v>
      </c>
      <c r="CE136" s="59">
        <f t="shared" si="148"/>
        <v>360.05900046417361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0.62574916173668238</v>
      </c>
      <c r="CL136" s="21">
        <f>EXP(-LN(2)/25)*CL135+(1-EXP(-LN(2)/25))/(LN(2)/25)*Calculateur!CG136*Calculateur!CI136*VLOOKUP('Données projet'!$B$12,Paramètres!$A$1:$I$89,3,0)*0.475*44/12</f>
        <v>0.64874149869875075</v>
      </c>
      <c r="CM136" s="21">
        <f>EXP(-LN(2)/2)*CM135+(1-EXP(-LN(2)/2))/(LN(2)/2)*CG136*CJ136*VLOOKUP('Données projet'!$B$12,Paramètres!$A$1:$I$89,3,0)*0.475*44/12</f>
        <v>2.1973462214744429E-15</v>
      </c>
      <c r="CN136" s="22">
        <f t="shared" si="120"/>
        <v>1.2744906604354354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-1.7053025658242404E-13</v>
      </c>
      <c r="CU136" s="17">
        <f>CT136*VLOOKUP('Données projet'!$B$13,Paramètres!$A$1:$I$89,3,0)*VLOOKUP('Données projet'!$B$13,Paramètres!$A$1:$I$89,5,0)</f>
        <v>-1.3567387213697657E-13</v>
      </c>
      <c r="CV136" s="13" t="e">
        <f t="shared" si="149"/>
        <v>#NUM!</v>
      </c>
      <c r="CW136" s="20" t="e">
        <f t="shared" si="121"/>
        <v>#NUM!</v>
      </c>
      <c r="CX136" s="59" t="e">
        <f t="shared" si="122"/>
        <v>#NUM!</v>
      </c>
      <c r="CY136" s="59">
        <f ca="1">AVERAGE(OFFSET($CX$3,0,0,'Données projet'!$E$13+1,1))-AVERAGE(OFFSET($H$3,0,0,'Données projet'!$E$13+1,1))</f>
        <v>299.10536994156814</v>
      </c>
      <c r="CZ136" s="59">
        <f t="shared" si="150"/>
        <v>292.57799203101769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1.0951908758155824</v>
      </c>
      <c r="DG136" s="21">
        <f>EXP(-LN(2)/25)*DG135+(1-EXP(-LN(2)/25))/(LN(2)/25)*Calculateur!DB136*Calculateur!DD136*VLOOKUP('Données projet'!$B$13,Paramètres!$A$1:$I$89,3,0)*0.475*44/12</f>
        <v>0.62186007837501456</v>
      </c>
      <c r="DH136" s="21">
        <f>EXP(-LN(2)/2)*DH135+(1-EXP(-LN(2)/2))/(LN(2)/2)*DB136*DE136*VLOOKUP('Données projet'!$B$13,Paramètres!$A$1:$I$89,3,0)*0.475*44/12</f>
        <v>2.8175775710944313E-15</v>
      </c>
      <c r="DI136" s="22">
        <f t="shared" si="123"/>
        <v>1.7170509541905998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2.2737367544323206E-13</v>
      </c>
      <c r="DP136" s="17">
        <f>DO136*VLOOKUP('Données projet'!$B$14,Paramètres!$A$1:$I$89,3,0)*VLOOKUP('Données projet'!$B$14,Paramètres!$A$1:$I$89,5,0)</f>
        <v>1.4897523215040565E-13</v>
      </c>
      <c r="DQ136" s="13">
        <f t="shared" si="151"/>
        <v>2.136562777003313E-12</v>
      </c>
      <c r="DR136" s="20">
        <f t="shared" si="124"/>
        <v>3.9806453659427267E-12</v>
      </c>
      <c r="DS136" s="59">
        <f t="shared" si="125"/>
        <v>293.33333333333729</v>
      </c>
      <c r="DT136" s="59">
        <f ca="1">AVERAGE(OFFSET($DS$3,0,0,'Données projet'!$E$14+1,1))-AVERAGE(OFFSET($H$3,0,0,'Données projet'!$E$14+1,1))</f>
        <v>295.92103934364718</v>
      </c>
      <c r="DU136" s="59">
        <f t="shared" si="152"/>
        <v>304.84379909635476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0.58007066945269559</v>
      </c>
      <c r="EB136" s="21">
        <f>EXP(-LN(2)/25)*EB135+(1-EXP(-LN(2)/25))/(LN(2)/25)*Calculateur!DW136*Calculateur!DY136*VLOOKUP('Données projet'!$B$14,Paramètres!$A$1:$I$89,3,0)*0.475*44/12</f>
        <v>0.41133257422092651</v>
      </c>
      <c r="EC136" s="21">
        <f>EXP(-LN(2)/2)*EC135+(1-EXP(-LN(2)/2))/(LN(2)/2)*DW136*DZ136*VLOOKUP('Données projet'!$B$14,Paramètres!$A$1:$I$89,3,0)*0.475*44/12</f>
        <v>1.8070867681282509E-15</v>
      </c>
      <c r="ED136" s="22">
        <f t="shared" si="126"/>
        <v>0.99140324367362387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-1.1368683772161603E-13</v>
      </c>
      <c r="O137" s="13">
        <f>N137*VLOOKUP('Données projet'!$B$9,Paramètres!$A$1:$I$89,3,0)*VLOOKUP('Données projet'!$B$9,Paramètres!$A$1:$I$89,5,0)</f>
        <v>-5.3205440053716299E-14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319.22903094674564</v>
      </c>
      <c r="T137" s="59">
        <f t="shared" si="142"/>
        <v>254.58690973142848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1.1572131356342652</v>
      </c>
      <c r="AA137" s="21">
        <f>EXP(-LN(2)/25)*AA136+(1-EXP(-LN(2)/25))/(LN(2)/25)*Calculateur!V137*Calculateur!X137*VLOOKUP('Données projet'!$B$9,Paramètres!$A$1:$I$89,3,0)*0.475*44/12</f>
        <v>0.62379444799271533</v>
      </c>
      <c r="AB137" s="21">
        <f>EXP(-LN(2)/2)*AB136+(1-EXP(-LN(2)/2))/(LN(2)/2)*V137*Y137*VLOOKUP('Données projet'!$B$9,Paramètres!$A$1:$I$89,3,0)*0.475*44/12</f>
        <v>2.4520671368041128E-15</v>
      </c>
      <c r="AC137" s="22">
        <f t="shared" si="111"/>
        <v>1.781007583626983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-3.4106051316484809E-13</v>
      </c>
      <c r="AJ137" s="13">
        <f>AI137*VLOOKUP('Données projet'!$B$10,Paramètres!$A$1:$I$89,3,0)*VLOOKUP('Données projet'!$B$10,Paramètres!$A$1:$I$89,5,0)</f>
        <v>-1.9065282685915009E-13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544.48194192356823</v>
      </c>
      <c r="AO137" s="59">
        <f t="shared" si="144"/>
        <v>668.20427590250733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0.93602237190170967</v>
      </c>
      <c r="AV137" s="21">
        <f>EXP(-LN(2)/25)*AV136+(1-EXP(-LN(2)/25))/(LN(2)/25)*Calculateur!AQ137*Calculateur!AS137*VLOOKUP('Données projet'!$B$10,Paramètres!$A$1:$I$89,3,0)*0.475*44/12</f>
        <v>2.3836880272602974</v>
      </c>
      <c r="AW137" s="21">
        <f>EXP(-LN(2)/2)*AW136+(1-EXP(-LN(2)/2))/(LN(2)/2)*AQ137*AT137*VLOOKUP('Données projet'!$B$10,Paramètres!$A$1:$I$89,3,0)*0.475*44/12</f>
        <v>3.2014297356969571E-15</v>
      </c>
      <c r="AX137" s="21">
        <f t="shared" si="114"/>
        <v>3.3197103991620103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>
        <f>BD137*VLOOKUP('Données projet'!$B$11,Paramètres!$A$1:$I$89,3,0)*VLOOKUP('Données projet'!$B$11,Paramètres!$A$1:$I$89,5,0)</f>
        <v>0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405.7176439604217</v>
      </c>
      <c r="BJ137" s="59">
        <f t="shared" si="146"/>
        <v>278.21741231699929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0.93182815020803111</v>
      </c>
      <c r="BQ137" s="21">
        <f>EXP(-LN(2)/25)*BQ136+(1-EXP(-LN(2)/25))/(LN(2)/25)*Calculateur!BL137*Calculateur!BN137*VLOOKUP('Données projet'!$B$11,Paramètres!$A$1:$I$89,3,0)*0.475*44/12</f>
        <v>0.52385627921856859</v>
      </c>
      <c r="BR137" s="21">
        <f>EXP(-LN(2)/2)*BR136+(1-EXP(-LN(2)/2))/(LN(2)/2)*BL137*BO137*VLOOKUP('Données projet'!$B$11,Paramètres!$A$1:$I$89,3,0)*0.475*44/12</f>
        <v>1.8951135304007728E-15</v>
      </c>
      <c r="BS137" s="22">
        <f t="shared" si="117"/>
        <v>1.4556844294266018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259.99999999999983</v>
      </c>
      <c r="BZ137" s="13">
        <f>BY137*VLOOKUP('Données projet'!$B$12,Paramètres!$A$1:$I$89,3,0)*VLOOKUP('Données projet'!$B$12,Paramètres!$A$1:$I$89,5,0)</f>
        <v>227.13599999999985</v>
      </c>
      <c r="CA137" s="13">
        <f t="shared" si="147"/>
        <v>55.662966886685133</v>
      </c>
      <c r="CB137" s="20">
        <f t="shared" si="118"/>
        <v>492.5415339943097</v>
      </c>
      <c r="CC137" s="59">
        <f t="shared" si="119"/>
        <v>785.87486732764296</v>
      </c>
      <c r="CD137" s="59">
        <f ca="1">AVERAGE(OFFSET($CC$3,0,0,'Données projet'!$E$12+1,1))-AVERAGE(OFFSET($H$3,0,0,'Données projet'!$E$12+1,1))</f>
        <v>381.72225529388083</v>
      </c>
      <c r="CE137" s="59">
        <f t="shared" si="148"/>
        <v>360.05900046417361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0.61347860234432794</v>
      </c>
      <c r="CL137" s="21">
        <f>EXP(-LN(2)/25)*CL136+(1-EXP(-LN(2)/25))/(LN(2)/25)*Calculateur!CG137*Calculateur!CI137*VLOOKUP('Données projet'!$B$12,Paramètres!$A$1:$I$89,3,0)*0.475*44/12</f>
        <v>0.63100162830100071</v>
      </c>
      <c r="CM137" s="21">
        <f>EXP(-LN(2)/2)*CM136+(1-EXP(-LN(2)/2))/(LN(2)/2)*CG137*CJ137*VLOOKUP('Données projet'!$B$12,Paramètres!$A$1:$I$89,3,0)*0.475*44/12</f>
        <v>1.553758413819216E-15</v>
      </c>
      <c r="CN137" s="22">
        <f t="shared" si="120"/>
        <v>1.2444802306453302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-1.7053025658242404E-13</v>
      </c>
      <c r="CU137" s="17">
        <f>CT137*VLOOKUP('Données projet'!$B$13,Paramètres!$A$1:$I$89,3,0)*VLOOKUP('Données projet'!$B$13,Paramètres!$A$1:$I$89,5,0)</f>
        <v>-1.3567387213697657E-13</v>
      </c>
      <c r="CV137" s="13" t="e">
        <f t="shared" si="149"/>
        <v>#NUM!</v>
      </c>
      <c r="CW137" s="20" t="e">
        <f t="shared" si="121"/>
        <v>#NUM!</v>
      </c>
      <c r="CX137" s="59" t="e">
        <f t="shared" si="122"/>
        <v>#NUM!</v>
      </c>
      <c r="CY137" s="59">
        <f ca="1">AVERAGE(OFFSET($CX$3,0,0,'Données projet'!$E$13+1,1))-AVERAGE(OFFSET($H$3,0,0,'Données projet'!$E$13+1,1))</f>
        <v>299.10536994156814</v>
      </c>
      <c r="CZ137" s="59">
        <f t="shared" si="150"/>
        <v>292.57799203101769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1.0737148507413135</v>
      </c>
      <c r="DG137" s="21">
        <f>EXP(-LN(2)/25)*DG136+(1-EXP(-LN(2)/25))/(LN(2)/25)*Calculateur!DB137*Calculateur!DD137*VLOOKUP('Données projet'!$B$13,Paramètres!$A$1:$I$89,3,0)*0.475*44/12</f>
        <v>0.60485528182964954</v>
      </c>
      <c r="DH137" s="21">
        <f>EXP(-LN(2)/2)*DH136+(1-EXP(-LN(2)/2))/(LN(2)/2)*DB137*DE137*VLOOKUP('Données projet'!$B$13,Paramètres!$A$1:$I$89,3,0)*0.475*44/12</f>
        <v>1.992328207039994E-15</v>
      </c>
      <c r="DI137" s="22">
        <f t="shared" si="123"/>
        <v>1.678570132570965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2.2737367544323206E-13</v>
      </c>
      <c r="DP137" s="17">
        <f>DO137*VLOOKUP('Données projet'!$B$14,Paramètres!$A$1:$I$89,3,0)*VLOOKUP('Données projet'!$B$14,Paramètres!$A$1:$I$89,5,0)</f>
        <v>1.4897523215040565E-13</v>
      </c>
      <c r="DQ137" s="13">
        <f t="shared" si="151"/>
        <v>2.136562777003313E-12</v>
      </c>
      <c r="DR137" s="20">
        <f t="shared" si="124"/>
        <v>3.9806453659427267E-12</v>
      </c>
      <c r="DS137" s="59">
        <f t="shared" si="125"/>
        <v>293.33333333333729</v>
      </c>
      <c r="DT137" s="59">
        <f ca="1">AVERAGE(OFFSET($DS$3,0,0,'Données projet'!$E$14+1,1))-AVERAGE(OFFSET($H$3,0,0,'Données projet'!$E$14+1,1))</f>
        <v>295.92103934364718</v>
      </c>
      <c r="DU137" s="59">
        <f t="shared" si="152"/>
        <v>304.84379909635476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0.56869583743290097</v>
      </c>
      <c r="EB137" s="21">
        <f>EXP(-LN(2)/25)*EB136+(1-EXP(-LN(2)/25))/(LN(2)/25)*Calculateur!DW137*Calculateur!DY137*VLOOKUP('Données projet'!$B$14,Paramètres!$A$1:$I$89,3,0)*0.475*44/12</f>
        <v>0.40008466334781528</v>
      </c>
      <c r="EC137" s="21">
        <f>EXP(-LN(2)/2)*EC136+(1-EXP(-LN(2)/2))/(LN(2)/2)*DW137*DZ137*VLOOKUP('Données projet'!$B$14,Paramètres!$A$1:$I$89,3,0)*0.475*44/12</f>
        <v>1.2778033079359685E-15</v>
      </c>
      <c r="ED137" s="22">
        <f t="shared" si="126"/>
        <v>0.96878050078071754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-1.1368683772161603E-13</v>
      </c>
      <c r="O138" s="13">
        <f>N138*VLOOKUP('Données projet'!$B$9,Paramètres!$A$1:$I$89,3,0)*VLOOKUP('Données projet'!$B$9,Paramètres!$A$1:$I$89,5,0)</f>
        <v>-5.3205440053716299E-14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319.22903094674564</v>
      </c>
      <c r="T138" s="59">
        <f t="shared" si="142"/>
        <v>254.58690973142848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1.1345208918747951</v>
      </c>
      <c r="AA138" s="21">
        <f>EXP(-LN(2)/25)*AA137+(1-EXP(-LN(2)/25))/(LN(2)/25)*Calculateur!V138*Calculateur!X138*VLOOKUP('Données projet'!$B$9,Paramètres!$A$1:$I$89,3,0)*0.475*44/12</f>
        <v>0.60673675600843024</v>
      </c>
      <c r="AB138" s="21">
        <f>EXP(-LN(2)/2)*AB137+(1-EXP(-LN(2)/2))/(LN(2)/2)*V138*Y138*VLOOKUP('Données projet'!$B$9,Paramètres!$A$1:$I$89,3,0)*0.475*44/12</f>
        <v>1.7338733003588701E-15</v>
      </c>
      <c r="AC138" s="22">
        <f t="shared" si="111"/>
        <v>1.7412576478832271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-3.4106051316484809E-13</v>
      </c>
      <c r="AJ138" s="13">
        <f>AI138*VLOOKUP('Données projet'!$B$10,Paramètres!$A$1:$I$89,3,0)*VLOOKUP('Données projet'!$B$10,Paramètres!$A$1:$I$89,5,0)</f>
        <v>-1.9065282685915009E-13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544.48194192356823</v>
      </c>
      <c r="AO138" s="59">
        <f t="shared" si="144"/>
        <v>668.20427590250733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0.91766754410599061</v>
      </c>
      <c r="AV138" s="21">
        <f>EXP(-LN(2)/25)*AV137+(1-EXP(-LN(2)/25))/(LN(2)/25)*Calculateur!AQ138*Calculateur!AS138*VLOOKUP('Données projet'!$B$10,Paramètres!$A$1:$I$89,3,0)*0.475*44/12</f>
        <v>2.318505952802159</v>
      </c>
      <c r="AW138" s="21">
        <f>EXP(-LN(2)/2)*AW137+(1-EXP(-LN(2)/2))/(LN(2)/2)*AQ138*AT138*VLOOKUP('Données projet'!$B$10,Paramètres!$A$1:$I$89,3,0)*0.475*44/12</f>
        <v>2.2637526756035749E-15</v>
      </c>
      <c r="AX138" s="21">
        <f t="shared" si="114"/>
        <v>3.2361734969081519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>
        <f>BD138*VLOOKUP('Données projet'!$B$11,Paramètres!$A$1:$I$89,3,0)*VLOOKUP('Données projet'!$B$11,Paramètres!$A$1:$I$89,5,0)</f>
        <v>0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405.7176439604217</v>
      </c>
      <c r="BJ138" s="59">
        <f t="shared" si="146"/>
        <v>278.21741231699929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0.91355556854150244</v>
      </c>
      <c r="BQ138" s="21">
        <f>EXP(-LN(2)/25)*BQ137+(1-EXP(-LN(2)/25))/(LN(2)/25)*Calculateur!BL138*Calculateur!BN138*VLOOKUP('Données projet'!$B$11,Paramètres!$A$1:$I$89,3,0)*0.475*44/12</f>
        <v>0.50953140171493239</v>
      </c>
      <c r="BR138" s="21">
        <f>EXP(-LN(2)/2)*BR137+(1-EXP(-LN(2)/2))/(LN(2)/2)*BL138*BO138*VLOOKUP('Données projet'!$B$11,Paramètres!$A$1:$I$89,3,0)*0.475*44/12</f>
        <v>1.3400476284647648E-15</v>
      </c>
      <c r="BS138" s="22">
        <f t="shared" si="117"/>
        <v>1.4230869702564362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259.99999999999983</v>
      </c>
      <c r="BZ138" s="13">
        <f>BY138*VLOOKUP('Données projet'!$B$12,Paramètres!$A$1:$I$89,3,0)*VLOOKUP('Données projet'!$B$12,Paramètres!$A$1:$I$89,5,0)</f>
        <v>227.13599999999985</v>
      </c>
      <c r="CA138" s="13">
        <f t="shared" si="147"/>
        <v>55.662966886685133</v>
      </c>
      <c r="CB138" s="20">
        <f t="shared" si="118"/>
        <v>492.5415339943097</v>
      </c>
      <c r="CC138" s="59">
        <f t="shared" si="119"/>
        <v>785.87486732764296</v>
      </c>
      <c r="CD138" s="59">
        <f ca="1">AVERAGE(OFFSET($CC$3,0,0,'Données projet'!$E$12+1,1))-AVERAGE(OFFSET($H$3,0,0,'Données projet'!$E$12+1,1))</f>
        <v>381.72225529388083</v>
      </c>
      <c r="CE138" s="59">
        <f t="shared" si="148"/>
        <v>360.05900046417361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0.6014486611373554</v>
      </c>
      <c r="CL138" s="21">
        <f>EXP(-LN(2)/25)*CL137+(1-EXP(-LN(2)/25))/(LN(2)/25)*Calculateur!CG138*Calculateur!CI138*VLOOKUP('Données projet'!$B$12,Paramètres!$A$1:$I$89,3,0)*0.475*44/12</f>
        <v>0.61374685559217634</v>
      </c>
      <c r="CM138" s="21">
        <f>EXP(-LN(2)/2)*CM137+(1-EXP(-LN(2)/2))/(LN(2)/2)*CG138*CJ138*VLOOKUP('Données projet'!$B$12,Paramètres!$A$1:$I$89,3,0)*0.475*44/12</f>
        <v>1.0986731107372215E-15</v>
      </c>
      <c r="CN138" s="22">
        <f t="shared" si="120"/>
        <v>1.2151955167295327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-1.7053025658242404E-13</v>
      </c>
      <c r="CU138" s="17">
        <f>CT138*VLOOKUP('Données projet'!$B$13,Paramètres!$A$1:$I$89,3,0)*VLOOKUP('Données projet'!$B$13,Paramètres!$A$1:$I$89,5,0)</f>
        <v>-1.3567387213697657E-13</v>
      </c>
      <c r="CV138" s="13" t="e">
        <f t="shared" si="149"/>
        <v>#NUM!</v>
      </c>
      <c r="CW138" s="20" t="e">
        <f t="shared" si="121"/>
        <v>#NUM!</v>
      </c>
      <c r="CX138" s="59" t="e">
        <f t="shared" si="122"/>
        <v>#NUM!</v>
      </c>
      <c r="CY138" s="59">
        <f ca="1">AVERAGE(OFFSET($CX$3,0,0,'Données projet'!$E$13+1,1))-AVERAGE(OFFSET($H$3,0,0,'Données projet'!$E$13+1,1))</f>
        <v>299.10536994156814</v>
      </c>
      <c r="CZ138" s="59">
        <f t="shared" si="150"/>
        <v>292.57799203101769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1.0526599574196691</v>
      </c>
      <c r="DG138" s="21">
        <f>EXP(-LN(2)/25)*DG137+(1-EXP(-LN(2)/25))/(LN(2)/25)*Calculateur!DB138*Calculateur!DD138*VLOOKUP('Données projet'!$B$13,Paramètres!$A$1:$I$89,3,0)*0.475*44/12</f>
        <v>0.58831548234006092</v>
      </c>
      <c r="DH138" s="21">
        <f>EXP(-LN(2)/2)*DH137+(1-EXP(-LN(2)/2))/(LN(2)/2)*DB138*DE138*VLOOKUP('Données projet'!$B$13,Paramètres!$A$1:$I$89,3,0)*0.475*44/12</f>
        <v>1.4087887855472156E-15</v>
      </c>
      <c r="DI138" s="22">
        <f t="shared" si="123"/>
        <v>1.6409754397597314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2.2737367544323206E-13</v>
      </c>
      <c r="DP138" s="17">
        <f>DO138*VLOOKUP('Données projet'!$B$14,Paramètres!$A$1:$I$89,3,0)*VLOOKUP('Données projet'!$B$14,Paramètres!$A$1:$I$89,5,0)</f>
        <v>1.4897523215040565E-13</v>
      </c>
      <c r="DQ138" s="13">
        <f t="shared" si="151"/>
        <v>2.136562777003313E-12</v>
      </c>
      <c r="DR138" s="20">
        <f t="shared" si="124"/>
        <v>3.9806453659427267E-12</v>
      </c>
      <c r="DS138" s="59">
        <f t="shared" si="125"/>
        <v>293.33333333333729</v>
      </c>
      <c r="DT138" s="59">
        <f ca="1">AVERAGE(OFFSET($DS$3,0,0,'Données projet'!$E$14+1,1))-AVERAGE(OFFSET($H$3,0,0,'Données projet'!$E$14+1,1))</f>
        <v>295.92103934364718</v>
      </c>
      <c r="DU138" s="59">
        <f t="shared" si="152"/>
        <v>304.84379909635476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0.55754405893105208</v>
      </c>
      <c r="EB138" s="21">
        <f>EXP(-LN(2)/25)*EB137+(1-EXP(-LN(2)/25))/(LN(2)/25)*Calculateur!DW138*Calculateur!DY138*VLOOKUP('Données projet'!$B$14,Paramètres!$A$1:$I$89,3,0)*0.475*44/12</f>
        <v>0.38914432718903125</v>
      </c>
      <c r="EC138" s="21">
        <f>EXP(-LN(2)/2)*EC137+(1-EXP(-LN(2)/2))/(LN(2)/2)*DW138*DZ138*VLOOKUP('Données projet'!$B$14,Paramètres!$A$1:$I$89,3,0)*0.475*44/12</f>
        <v>9.0354338406412547E-16</v>
      </c>
      <c r="ED138" s="22">
        <f t="shared" si="126"/>
        <v>0.94668838612008421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-1.1368683772161603E-13</v>
      </c>
      <c r="O139" s="13">
        <f>N139*VLOOKUP('Données projet'!$B$9,Paramètres!$A$1:$I$89,3,0)*VLOOKUP('Données projet'!$B$9,Paramètres!$A$1:$I$89,5,0)</f>
        <v>-5.3205440053716299E-14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319.22903094674564</v>
      </c>
      <c r="T139" s="59">
        <f t="shared" si="142"/>
        <v>254.58690973142848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1.1122736291745461</v>
      </c>
      <c r="AA139" s="21">
        <f>EXP(-LN(2)/25)*AA138+(1-EXP(-LN(2)/25))/(LN(2)/25)*Calculateur!V139*Calculateur!X139*VLOOKUP('Données projet'!$B$9,Paramètres!$A$1:$I$89,3,0)*0.475*44/12</f>
        <v>0.59014550750848038</v>
      </c>
      <c r="AB139" s="21">
        <f>EXP(-LN(2)/2)*AB138+(1-EXP(-LN(2)/2))/(LN(2)/2)*V139*Y139*VLOOKUP('Données projet'!$B$9,Paramètres!$A$1:$I$89,3,0)*0.475*44/12</f>
        <v>1.2260335684020566E-15</v>
      </c>
      <c r="AC139" s="22">
        <f t="shared" si="111"/>
        <v>1.7024191366830279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-3.4106051316484809E-13</v>
      </c>
      <c r="AJ139" s="13">
        <f>AI139*VLOOKUP('Données projet'!$B$10,Paramètres!$A$1:$I$89,3,0)*VLOOKUP('Données projet'!$B$10,Paramètres!$A$1:$I$89,5,0)</f>
        <v>-1.9065282685915009E-13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544.48194192356823</v>
      </c>
      <c r="AO139" s="59">
        <f t="shared" si="144"/>
        <v>668.20427590250733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0.89967264328800611</v>
      </c>
      <c r="AV139" s="21">
        <f>EXP(-LN(2)/25)*AV138+(1-EXP(-LN(2)/25))/(LN(2)/25)*Calculateur!AQ139*Calculateur!AS139*VLOOKUP('Données projet'!$B$10,Paramètres!$A$1:$I$89,3,0)*0.475*44/12</f>
        <v>2.2551062855978548</v>
      </c>
      <c r="AW139" s="21">
        <f>EXP(-LN(2)/2)*AW138+(1-EXP(-LN(2)/2))/(LN(2)/2)*AQ139*AT139*VLOOKUP('Données projet'!$B$10,Paramètres!$A$1:$I$89,3,0)*0.475*44/12</f>
        <v>1.6007148678484786E-15</v>
      </c>
      <c r="AX139" s="21">
        <f t="shared" si="114"/>
        <v>3.1547789288858628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>
        <f>BD139*VLOOKUP('Données projet'!$B$11,Paramètres!$A$1:$I$89,3,0)*VLOOKUP('Données projet'!$B$11,Paramètres!$A$1:$I$89,5,0)</f>
        <v>0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405.7176439604217</v>
      </c>
      <c r="BJ139" s="59">
        <f t="shared" si="146"/>
        <v>278.21741231699929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0.89564130105628004</v>
      </c>
      <c r="BQ139" s="21">
        <f>EXP(-LN(2)/25)*BQ138+(1-EXP(-LN(2)/25))/(LN(2)/25)*Calculateur!BL139*Calculateur!BN139*VLOOKUP('Données projet'!$B$11,Paramètres!$A$1:$I$89,3,0)*0.475*44/12</f>
        <v>0.49559823873994568</v>
      </c>
      <c r="BR139" s="21">
        <f>EXP(-LN(2)/2)*BR138+(1-EXP(-LN(2)/2))/(LN(2)/2)*BL139*BO139*VLOOKUP('Données projet'!$B$11,Paramètres!$A$1:$I$89,3,0)*0.475*44/12</f>
        <v>9.475567652003864E-16</v>
      </c>
      <c r="BS139" s="22">
        <f t="shared" si="117"/>
        <v>1.3912395397962265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259.99999999999983</v>
      </c>
      <c r="BZ139" s="13">
        <f>BY139*VLOOKUP('Données projet'!$B$12,Paramètres!$A$1:$I$89,3,0)*VLOOKUP('Données projet'!$B$12,Paramètres!$A$1:$I$89,5,0)</f>
        <v>227.13599999999985</v>
      </c>
      <c r="CA139" s="13">
        <f t="shared" si="147"/>
        <v>55.662966886685133</v>
      </c>
      <c r="CB139" s="20">
        <f t="shared" si="118"/>
        <v>492.5415339943097</v>
      </c>
      <c r="CC139" s="59">
        <f t="shared" si="119"/>
        <v>785.87486732764296</v>
      </c>
      <c r="CD139" s="59">
        <f ca="1">AVERAGE(OFFSET($CC$3,0,0,'Données projet'!$E$12+1,1))-AVERAGE(OFFSET($H$3,0,0,'Données projet'!$E$12+1,1))</f>
        <v>381.72225529388083</v>
      </c>
      <c r="CE139" s="59">
        <f t="shared" si="148"/>
        <v>360.05900046417361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0.58965461973991196</v>
      </c>
      <c r="CL139" s="21">
        <f>EXP(-LN(2)/25)*CL138+(1-EXP(-LN(2)/25))/(LN(2)/25)*Calculateur!CG139*Calculateur!CI139*VLOOKUP('Données projet'!$B$12,Paramètres!$A$1:$I$89,3,0)*0.475*44/12</f>
        <v>0.59696391555046391</v>
      </c>
      <c r="CM139" s="21">
        <f>EXP(-LN(2)/2)*CM138+(1-EXP(-LN(2)/2))/(LN(2)/2)*CG139*CJ139*VLOOKUP('Données projet'!$B$12,Paramètres!$A$1:$I$89,3,0)*0.475*44/12</f>
        <v>7.7687920690960798E-16</v>
      </c>
      <c r="CN139" s="22">
        <f t="shared" si="120"/>
        <v>1.1866185352903764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-1.7053025658242404E-13</v>
      </c>
      <c r="CU139" s="17">
        <f>CT139*VLOOKUP('Données projet'!$B$13,Paramètres!$A$1:$I$89,3,0)*VLOOKUP('Données projet'!$B$13,Paramètres!$A$1:$I$89,5,0)</f>
        <v>-1.3567387213697657E-13</v>
      </c>
      <c r="CV139" s="13" t="e">
        <f t="shared" si="149"/>
        <v>#NUM!</v>
      </c>
      <c r="CW139" s="20" t="e">
        <f t="shared" si="121"/>
        <v>#NUM!</v>
      </c>
      <c r="CX139" s="59" t="e">
        <f t="shared" si="122"/>
        <v>#NUM!</v>
      </c>
      <c r="CY139" s="59">
        <f ca="1">AVERAGE(OFFSET($CX$3,0,0,'Données projet'!$E$13+1,1))-AVERAGE(OFFSET($H$3,0,0,'Données projet'!$E$13+1,1))</f>
        <v>299.10536994156814</v>
      </c>
      <c r="CZ139" s="59">
        <f t="shared" si="150"/>
        <v>292.57799203101769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1.0320179377138454</v>
      </c>
      <c r="DG139" s="21">
        <f>EXP(-LN(2)/25)*DG138+(1-EXP(-LN(2)/25))/(LN(2)/25)*Calculateur!DB139*Calculateur!DD139*VLOOKUP('Données projet'!$B$13,Paramètres!$A$1:$I$89,3,0)*0.475*44/12</f>
        <v>0.5722279645373054</v>
      </c>
      <c r="DH139" s="21">
        <f>EXP(-LN(2)/2)*DH138+(1-EXP(-LN(2)/2))/(LN(2)/2)*DB139*DE139*VLOOKUP('Données projet'!$B$13,Paramètres!$A$1:$I$89,3,0)*0.475*44/12</f>
        <v>9.96164103519997E-16</v>
      </c>
      <c r="DI139" s="22">
        <f t="shared" si="123"/>
        <v>1.6042459022511517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2.2737367544323206E-13</v>
      </c>
      <c r="DP139" s="17">
        <f>DO139*VLOOKUP('Données projet'!$B$14,Paramètres!$A$1:$I$89,3,0)*VLOOKUP('Données projet'!$B$14,Paramètres!$A$1:$I$89,5,0)</f>
        <v>1.4897523215040565E-13</v>
      </c>
      <c r="DQ139" s="13">
        <f t="shared" si="151"/>
        <v>2.136562777003313E-12</v>
      </c>
      <c r="DR139" s="20">
        <f t="shared" si="124"/>
        <v>3.9806453659427267E-12</v>
      </c>
      <c r="DS139" s="59">
        <f t="shared" si="125"/>
        <v>293.33333333333729</v>
      </c>
      <c r="DT139" s="59">
        <f ca="1">AVERAGE(OFFSET($DS$3,0,0,'Données projet'!$E$14+1,1))-AVERAGE(OFFSET($H$3,0,0,'Données projet'!$E$14+1,1))</f>
        <v>295.92103934364718</v>
      </c>
      <c r="DU139" s="59">
        <f t="shared" si="152"/>
        <v>304.84379909635476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0.54661096000371112</v>
      </c>
      <c r="EB139" s="21">
        <f>EXP(-LN(2)/25)*EB138+(1-EXP(-LN(2)/25))/(LN(2)/25)*Calculateur!DW139*Calculateur!DY139*VLOOKUP('Données projet'!$B$14,Paramètres!$A$1:$I$89,3,0)*0.475*44/12</f>
        <v>0.37850315509783644</v>
      </c>
      <c r="EC139" s="21">
        <f>EXP(-LN(2)/2)*EC138+(1-EXP(-LN(2)/2))/(LN(2)/2)*DW139*DZ139*VLOOKUP('Données projet'!$B$14,Paramètres!$A$1:$I$89,3,0)*0.475*44/12</f>
        <v>6.3890165396798424E-16</v>
      </c>
      <c r="ED139" s="22">
        <f t="shared" si="126"/>
        <v>0.92511411510154828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-1.1368683772161603E-13</v>
      </c>
      <c r="O140" s="13">
        <f>N140*VLOOKUP('Données projet'!$B$9,Paramètres!$A$1:$I$89,3,0)*VLOOKUP('Données projet'!$B$9,Paramètres!$A$1:$I$89,5,0)</f>
        <v>-5.3205440053716299E-14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319.22903094674564</v>
      </c>
      <c r="T140" s="59">
        <f t="shared" si="142"/>
        <v>254.58690973142848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1.0904626217263587</v>
      </c>
      <c r="AA140" s="21">
        <f>EXP(-LN(2)/25)*AA139+(1-EXP(-LN(2)/25))/(LN(2)/25)*Calculateur!V140*Calculateur!X140*VLOOKUP('Données projet'!$B$9,Paramètres!$A$1:$I$89,3,0)*0.475*44/12</f>
        <v>0.5740079475712575</v>
      </c>
      <c r="AB140" s="21">
        <f>EXP(-LN(2)/2)*AB139+(1-EXP(-LN(2)/2))/(LN(2)/2)*V140*Y140*VLOOKUP('Données projet'!$B$9,Paramètres!$A$1:$I$89,3,0)*0.475*44/12</f>
        <v>8.6693665017943514E-16</v>
      </c>
      <c r="AC140" s="22">
        <f t="shared" si="111"/>
        <v>1.6644705692976172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-3.4106051316484809E-13</v>
      </c>
      <c r="AJ140" s="13">
        <f>AI140*VLOOKUP('Données projet'!$B$10,Paramètres!$A$1:$I$89,3,0)*VLOOKUP('Données projet'!$B$10,Paramètres!$A$1:$I$89,5,0)</f>
        <v>-1.9065282685915009E-13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544.48194192356823</v>
      </c>
      <c r="AO140" s="59">
        <f t="shared" si="144"/>
        <v>668.20427590250733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0.88203061149925654</v>
      </c>
      <c r="AV140" s="21">
        <f>EXP(-LN(2)/25)*AV139+(1-EXP(-LN(2)/25))/(LN(2)/25)*Calculateur!AQ140*Calculateur!AS140*VLOOKUP('Données projet'!$B$10,Paramètres!$A$1:$I$89,3,0)*0.475*44/12</f>
        <v>2.1934402856272959</v>
      </c>
      <c r="AW140" s="21">
        <f>EXP(-LN(2)/2)*AW139+(1-EXP(-LN(2)/2))/(LN(2)/2)*AQ140*AT140*VLOOKUP('Données projet'!$B$10,Paramètres!$A$1:$I$89,3,0)*0.475*44/12</f>
        <v>1.1318763378017874E-15</v>
      </c>
      <c r="AX140" s="21">
        <f t="shared" si="114"/>
        <v>3.0754708971265536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>
        <f>BD140*VLOOKUP('Données projet'!$B$11,Paramètres!$A$1:$I$89,3,0)*VLOOKUP('Données projet'!$B$11,Paramètres!$A$1:$I$89,5,0)</f>
        <v>0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405.7176439604217</v>
      </c>
      <c r="BJ140" s="59">
        <f t="shared" si="146"/>
        <v>278.21741231699929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0.87807832142981868</v>
      </c>
      <c r="BQ140" s="21">
        <f>EXP(-LN(2)/25)*BQ139+(1-EXP(-LN(2)/25))/(LN(2)/25)*Calculateur!BL140*Calculateur!BN140*VLOOKUP('Données projet'!$B$11,Paramètres!$A$1:$I$89,3,0)*0.475*44/12</f>
        <v>0.48204607883922318</v>
      </c>
      <c r="BR140" s="21">
        <f>EXP(-LN(2)/2)*BR139+(1-EXP(-LN(2)/2))/(LN(2)/2)*BL140*BO140*VLOOKUP('Données projet'!$B$11,Paramètres!$A$1:$I$89,3,0)*0.475*44/12</f>
        <v>6.7002381423238242E-16</v>
      </c>
      <c r="BS140" s="22">
        <f t="shared" si="117"/>
        <v>1.3601244002690425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259.99999999999983</v>
      </c>
      <c r="BZ140" s="13">
        <f>BY140*VLOOKUP('Données projet'!$B$12,Paramètres!$A$1:$I$89,3,0)*VLOOKUP('Données projet'!$B$12,Paramètres!$A$1:$I$89,5,0)</f>
        <v>227.13599999999985</v>
      </c>
      <c r="CA140" s="13">
        <f t="shared" si="147"/>
        <v>55.662966886685133</v>
      </c>
      <c r="CB140" s="20">
        <f t="shared" si="118"/>
        <v>492.5415339943097</v>
      </c>
      <c r="CC140" s="59">
        <f t="shared" si="119"/>
        <v>785.87486732764296</v>
      </c>
      <c r="CD140" s="59">
        <f ca="1">AVERAGE(OFFSET($CC$3,0,0,'Données projet'!$E$12+1,1))-AVERAGE(OFFSET($H$3,0,0,'Données projet'!$E$12+1,1))</f>
        <v>381.72225529388083</v>
      </c>
      <c r="CE140" s="59">
        <f t="shared" si="148"/>
        <v>360.05900046417361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0.57809185230061744</v>
      </c>
      <c r="CL140" s="21">
        <f>EXP(-LN(2)/25)*CL139+(1-EXP(-LN(2)/25))/(LN(2)/25)*Calculateur!CG140*Calculateur!CI140*VLOOKUP('Données projet'!$B$12,Paramètres!$A$1:$I$89,3,0)*0.475*44/12</f>
        <v>0.5806399058867685</v>
      </c>
      <c r="CM140" s="21">
        <f>EXP(-LN(2)/2)*CM139+(1-EXP(-LN(2)/2))/(LN(2)/2)*CG140*CJ140*VLOOKUP('Données projet'!$B$12,Paramètres!$A$1:$I$89,3,0)*0.475*44/12</f>
        <v>5.4933655536861074E-16</v>
      </c>
      <c r="CN140" s="22">
        <f t="shared" si="120"/>
        <v>1.1587317581873864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-1.7053025658242404E-13</v>
      </c>
      <c r="CU140" s="17">
        <f>CT140*VLOOKUP('Données projet'!$B$13,Paramètres!$A$1:$I$89,3,0)*VLOOKUP('Données projet'!$B$13,Paramètres!$A$1:$I$89,5,0)</f>
        <v>-1.3567387213697657E-13</v>
      </c>
      <c r="CV140" s="13" t="e">
        <f t="shared" si="149"/>
        <v>#NUM!</v>
      </c>
      <c r="CW140" s="20" t="e">
        <f t="shared" si="121"/>
        <v>#NUM!</v>
      </c>
      <c r="CX140" s="59" t="e">
        <f t="shared" si="122"/>
        <v>#NUM!</v>
      </c>
      <c r="CY140" s="59">
        <f ca="1">AVERAGE(OFFSET($CX$3,0,0,'Données projet'!$E$13+1,1))-AVERAGE(OFFSET($H$3,0,0,'Données projet'!$E$13+1,1))</f>
        <v>299.10536994156814</v>
      </c>
      <c r="CZ140" s="59">
        <f t="shared" si="150"/>
        <v>292.57799203101769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1.011780695424064</v>
      </c>
      <c r="DG140" s="21">
        <f>EXP(-LN(2)/25)*DG139+(1-EXP(-LN(2)/25))/(LN(2)/25)*Calculateur!DB140*Calculateur!DD140*VLOOKUP('Données projet'!$B$13,Paramètres!$A$1:$I$89,3,0)*0.475*44/12</f>
        <v>0.55658036075487194</v>
      </c>
      <c r="DH140" s="21">
        <f>EXP(-LN(2)/2)*DH139+(1-EXP(-LN(2)/2))/(LN(2)/2)*DB140*DE140*VLOOKUP('Données projet'!$B$13,Paramètres!$A$1:$I$89,3,0)*0.475*44/12</f>
        <v>7.0439439277360782E-16</v>
      </c>
      <c r="DI140" s="22">
        <f t="shared" si="123"/>
        <v>1.5683610561789367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2.2737367544323206E-13</v>
      </c>
      <c r="DP140" s="17">
        <f>DO140*VLOOKUP('Données projet'!$B$14,Paramètres!$A$1:$I$89,3,0)*VLOOKUP('Données projet'!$B$14,Paramètres!$A$1:$I$89,5,0)</f>
        <v>1.4897523215040565E-13</v>
      </c>
      <c r="DQ140" s="13">
        <f t="shared" si="151"/>
        <v>2.136562777003313E-12</v>
      </c>
      <c r="DR140" s="20">
        <f t="shared" si="124"/>
        <v>3.9806453659427267E-12</v>
      </c>
      <c r="DS140" s="59">
        <f t="shared" si="125"/>
        <v>293.33333333333729</v>
      </c>
      <c r="DT140" s="59">
        <f ca="1">AVERAGE(OFFSET($DS$3,0,0,'Données projet'!$E$14+1,1))-AVERAGE(OFFSET($H$3,0,0,'Données projet'!$E$14+1,1))</f>
        <v>295.92103934364718</v>
      </c>
      <c r="DU140" s="59">
        <f t="shared" si="152"/>
        <v>304.84379909635476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0.53589225247780348</v>
      </c>
      <c r="EB140" s="21">
        <f>EXP(-LN(2)/25)*EB139+(1-EXP(-LN(2)/25))/(LN(2)/25)*Calculateur!DW140*Calculateur!DY140*VLOOKUP('Données projet'!$B$14,Paramètres!$A$1:$I$89,3,0)*0.475*44/12</f>
        <v>0.36815296641707024</v>
      </c>
      <c r="EC140" s="21">
        <f>EXP(-LN(2)/2)*EC139+(1-EXP(-LN(2)/2))/(LN(2)/2)*DW140*DZ140*VLOOKUP('Données projet'!$B$14,Paramètres!$A$1:$I$89,3,0)*0.475*44/12</f>
        <v>4.5177169203206273E-16</v>
      </c>
      <c r="ED140" s="22">
        <f t="shared" si="126"/>
        <v>0.90404521889487421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-1.1368683772161603E-13</v>
      </c>
      <c r="O141" s="13">
        <f>N141*VLOOKUP('Données projet'!$B$9,Paramètres!$A$1:$I$89,3,0)*VLOOKUP('Données projet'!$B$9,Paramètres!$A$1:$I$89,5,0)</f>
        <v>-5.3205440053716299E-14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319.22903094674564</v>
      </c>
      <c r="T141" s="59">
        <f t="shared" si="142"/>
        <v>254.58690973142848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1.0690793148308293</v>
      </c>
      <c r="AA141" s="21">
        <f>EXP(-LN(2)/25)*AA140+(1-EXP(-LN(2)/25))/(LN(2)/25)*Calculateur!V141*Calculateur!X141*VLOOKUP('Données projet'!$B$9,Paramètres!$A$1:$I$89,3,0)*0.475*44/12</f>
        <v>0.55831167005915538</v>
      </c>
      <c r="AB141" s="21">
        <f>EXP(-LN(2)/2)*AB140+(1-EXP(-LN(2)/2))/(LN(2)/2)*V141*Y141*VLOOKUP('Données projet'!$B$9,Paramètres!$A$1:$I$89,3,0)*0.475*44/12</f>
        <v>6.130167842010284E-16</v>
      </c>
      <c r="AC141" s="22">
        <f t="shared" si="111"/>
        <v>1.6273909848899855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-3.4106051316484809E-13</v>
      </c>
      <c r="AJ141" s="13">
        <f>AI141*VLOOKUP('Données projet'!$B$10,Paramètres!$A$1:$I$89,3,0)*VLOOKUP('Données projet'!$B$10,Paramètres!$A$1:$I$89,5,0)</f>
        <v>-1.9065282685915009E-13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544.48194192356823</v>
      </c>
      <c r="AO141" s="59">
        <f t="shared" si="144"/>
        <v>668.20427590250733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0.86473452919330751</v>
      </c>
      <c r="AV141" s="21">
        <f>EXP(-LN(2)/25)*AV140+(1-EXP(-LN(2)/25))/(LN(2)/25)*Calculateur!AQ141*Calculateur!AS141*VLOOKUP('Données projet'!$B$10,Paramètres!$A$1:$I$89,3,0)*0.475*44/12</f>
        <v>2.1334605456688061</v>
      </c>
      <c r="AW141" s="21">
        <f>EXP(-LN(2)/2)*AW140+(1-EXP(-LN(2)/2))/(LN(2)/2)*AQ141*AT141*VLOOKUP('Données projet'!$B$10,Paramètres!$A$1:$I$89,3,0)*0.475*44/12</f>
        <v>8.0035743392423928E-16</v>
      </c>
      <c r="AX141" s="21">
        <f t="shared" si="114"/>
        <v>2.9981950748621147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>
        <f>BD141*VLOOKUP('Données projet'!$B$11,Paramètres!$A$1:$I$89,3,0)*VLOOKUP('Données projet'!$B$11,Paramètres!$A$1:$I$89,5,0)</f>
        <v>0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405.7176439604217</v>
      </c>
      <c r="BJ141" s="59">
        <f t="shared" si="146"/>
        <v>278.21741231699929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0.86085974112147234</v>
      </c>
      <c r="BQ141" s="21">
        <f>EXP(-LN(2)/25)*BQ140+(1-EXP(-LN(2)/25))/(LN(2)/25)*Calculateur!BL141*Calculateur!BN141*VLOOKUP('Données projet'!$B$11,Paramètres!$A$1:$I$89,3,0)*0.475*44/12</f>
        <v>0.46886450346366304</v>
      </c>
      <c r="BR141" s="21">
        <f>EXP(-LN(2)/2)*BR140+(1-EXP(-LN(2)/2))/(LN(2)/2)*BL141*BO141*VLOOKUP('Données projet'!$B$11,Paramètres!$A$1:$I$89,3,0)*0.475*44/12</f>
        <v>4.737783826001932E-16</v>
      </c>
      <c r="BS141" s="22">
        <f t="shared" si="117"/>
        <v>1.3297242445851358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259.99999999999983</v>
      </c>
      <c r="BZ141" s="13">
        <f>BY141*VLOOKUP('Données projet'!$B$12,Paramètres!$A$1:$I$89,3,0)*VLOOKUP('Données projet'!$B$12,Paramètres!$A$1:$I$89,5,0)</f>
        <v>227.13599999999985</v>
      </c>
      <c r="CA141" s="13">
        <f t="shared" si="147"/>
        <v>55.662966886685133</v>
      </c>
      <c r="CB141" s="20">
        <f t="shared" si="118"/>
        <v>492.5415339943097</v>
      </c>
      <c r="CC141" s="59">
        <f t="shared" si="119"/>
        <v>785.87486732764296</v>
      </c>
      <c r="CD141" s="59">
        <f ca="1">AVERAGE(OFFSET($CC$3,0,0,'Données projet'!$E$12+1,1))-AVERAGE(OFFSET($H$3,0,0,'Données projet'!$E$12+1,1))</f>
        <v>381.72225529388083</v>
      </c>
      <c r="CE141" s="59">
        <f t="shared" si="148"/>
        <v>360.05900046417361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0.56675582367821575</v>
      </c>
      <c r="CL141" s="21">
        <f>EXP(-LN(2)/25)*CL140+(1-EXP(-LN(2)/25))/(LN(2)/25)*Calculateur!CG141*Calculateur!CI141*VLOOKUP('Données projet'!$B$12,Paramètres!$A$1:$I$89,3,0)*0.475*44/12</f>
        <v>0.56476227712576921</v>
      </c>
      <c r="CM141" s="21">
        <f>EXP(-LN(2)/2)*CM140+(1-EXP(-LN(2)/2))/(LN(2)/2)*CG141*CJ141*VLOOKUP('Données projet'!$B$12,Paramètres!$A$1:$I$89,3,0)*0.475*44/12</f>
        <v>3.8843960345480399E-16</v>
      </c>
      <c r="CN141" s="22">
        <f t="shared" si="120"/>
        <v>1.1315181008039854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-1.7053025658242404E-13</v>
      </c>
      <c r="CU141" s="17">
        <f>CT141*VLOOKUP('Données projet'!$B$13,Paramètres!$A$1:$I$89,3,0)*VLOOKUP('Données projet'!$B$13,Paramètres!$A$1:$I$89,5,0)</f>
        <v>-1.3567387213697657E-13</v>
      </c>
      <c r="CV141" s="13" t="e">
        <f t="shared" si="149"/>
        <v>#NUM!</v>
      </c>
      <c r="CW141" s="20" t="e">
        <f t="shared" si="121"/>
        <v>#NUM!</v>
      </c>
      <c r="CX141" s="59" t="e">
        <f t="shared" si="122"/>
        <v>#NUM!</v>
      </c>
      <c r="CY141" s="59">
        <f ca="1">AVERAGE(OFFSET($CX$3,0,0,'Données projet'!$E$13+1,1))-AVERAGE(OFFSET($H$3,0,0,'Données projet'!$E$13+1,1))</f>
        <v>299.10536994156814</v>
      </c>
      <c r="CZ141" s="59">
        <f t="shared" si="150"/>
        <v>292.57799203101769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0.99194029311208631</v>
      </c>
      <c r="DG141" s="21">
        <f>EXP(-LN(2)/25)*DG140+(1-EXP(-LN(2)/25))/(LN(2)/25)*Calculateur!DB141*Calculateur!DD141*VLOOKUP('Données projet'!$B$13,Paramètres!$A$1:$I$89,3,0)*0.475*44/12</f>
        <v>0.54136064152074093</v>
      </c>
      <c r="DH141" s="21">
        <f>EXP(-LN(2)/2)*DH140+(1-EXP(-LN(2)/2))/(LN(2)/2)*DB141*DE141*VLOOKUP('Données projet'!$B$13,Paramètres!$A$1:$I$89,3,0)*0.475*44/12</f>
        <v>4.980820517599985E-16</v>
      </c>
      <c r="DI141" s="22">
        <f t="shared" si="123"/>
        <v>1.5333009346328277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2.2737367544323206E-13</v>
      </c>
      <c r="DP141" s="17">
        <f>DO141*VLOOKUP('Données projet'!$B$14,Paramètres!$A$1:$I$89,3,0)*VLOOKUP('Données projet'!$B$14,Paramètres!$A$1:$I$89,5,0)</f>
        <v>1.4897523215040565E-13</v>
      </c>
      <c r="DQ141" s="13">
        <f t="shared" si="151"/>
        <v>2.136562777003313E-12</v>
      </c>
      <c r="DR141" s="20">
        <f t="shared" si="124"/>
        <v>3.9806453659427267E-12</v>
      </c>
      <c r="DS141" s="59">
        <f t="shared" si="125"/>
        <v>293.33333333333729</v>
      </c>
      <c r="DT141" s="59">
        <f ca="1">AVERAGE(OFFSET($DS$3,0,0,'Données projet'!$E$14+1,1))-AVERAGE(OFFSET($H$3,0,0,'Données projet'!$E$14+1,1))</f>
        <v>295.92103934364718</v>
      </c>
      <c r="DU141" s="59">
        <f t="shared" si="152"/>
        <v>304.84379909635476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0.52538373226871282</v>
      </c>
      <c r="EB141" s="21">
        <f>EXP(-LN(2)/25)*EB140+(1-EXP(-LN(2)/25))/(LN(2)/25)*Calculateur!DW141*Calculateur!DY141*VLOOKUP('Données projet'!$B$14,Paramètres!$A$1:$I$89,3,0)*0.475*44/12</f>
        <v>0.35808580419007235</v>
      </c>
      <c r="EC141" s="21">
        <f>EXP(-LN(2)/2)*EC140+(1-EXP(-LN(2)/2))/(LN(2)/2)*DW141*DZ141*VLOOKUP('Données projet'!$B$14,Paramètres!$A$1:$I$89,3,0)*0.475*44/12</f>
        <v>3.1945082698399212E-16</v>
      </c>
      <c r="ED141" s="22">
        <f t="shared" si="126"/>
        <v>0.88346953645878556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-1.1368683772161603E-13</v>
      </c>
      <c r="O142" s="13">
        <f>N142*VLOOKUP('Données projet'!$B$9,Paramètres!$A$1:$I$89,3,0)*VLOOKUP('Données projet'!$B$9,Paramètres!$A$1:$I$89,5,0)</f>
        <v>-5.3205440053716299E-14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319.22903094674564</v>
      </c>
      <c r="T142" s="59">
        <f t="shared" si="142"/>
        <v>254.58690973142848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1.0481153215409917</v>
      </c>
      <c r="AA142" s="21">
        <f>EXP(-LN(2)/25)*AA141+(1-EXP(-LN(2)/25))/(LN(2)/25)*Calculateur!V142*Calculateur!X142*VLOOKUP('Données projet'!$B$9,Paramètres!$A$1:$I$89,3,0)*0.475*44/12</f>
        <v>0.54304460808105304</v>
      </c>
      <c r="AB142" s="21">
        <f>EXP(-LN(2)/2)*AB141+(1-EXP(-LN(2)/2))/(LN(2)/2)*V142*Y142*VLOOKUP('Données projet'!$B$9,Paramètres!$A$1:$I$89,3,0)*0.475*44/12</f>
        <v>4.3346832508971762E-16</v>
      </c>
      <c r="AC142" s="22">
        <f t="shared" si="111"/>
        <v>1.5911599296220453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-3.4106051316484809E-13</v>
      </c>
      <c r="AJ142" s="13">
        <f>AI142*VLOOKUP('Données projet'!$B$10,Paramètres!$A$1:$I$89,3,0)*VLOOKUP('Données projet'!$B$10,Paramètres!$A$1:$I$89,5,0)</f>
        <v>-1.9065282685915009E-13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544.48194192356823</v>
      </c>
      <c r="AO142" s="59">
        <f t="shared" si="144"/>
        <v>668.20427590250733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0.84777761251180961</v>
      </c>
      <c r="AV142" s="21">
        <f>EXP(-LN(2)/25)*AV141+(1-EXP(-LN(2)/25))/(LN(2)/25)*Calculateur!AQ142*Calculateur!AS142*VLOOKUP('Données projet'!$B$10,Paramètres!$A$1:$I$89,3,0)*0.475*44/12</f>
        <v>2.0751209548536784</v>
      </c>
      <c r="AW142" s="21">
        <f>EXP(-LN(2)/2)*AW141+(1-EXP(-LN(2)/2))/(LN(2)/2)*AQ142*AT142*VLOOKUP('Données projet'!$B$10,Paramètres!$A$1:$I$89,3,0)*0.475*44/12</f>
        <v>5.6593816890089372E-16</v>
      </c>
      <c r="AX142" s="21">
        <f t="shared" si="114"/>
        <v>2.9228985673654884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>
        <f>BD142*VLOOKUP('Données projet'!$B$11,Paramètres!$A$1:$I$89,3,0)*VLOOKUP('Données projet'!$B$11,Paramètres!$A$1:$I$89,5,0)</f>
        <v>0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405.7176439604217</v>
      </c>
      <c r="BJ142" s="59">
        <f t="shared" si="146"/>
        <v>278.21741231699929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0.84397880667067571</v>
      </c>
      <c r="BQ142" s="21">
        <f>EXP(-LN(2)/25)*BQ141+(1-EXP(-LN(2)/25))/(LN(2)/25)*Calculateur!BL142*Calculateur!BN142*VLOOKUP('Données projet'!$B$11,Paramètres!$A$1:$I$89,3,0)*0.475*44/12</f>
        <v>0.45604337895993652</v>
      </c>
      <c r="BR142" s="21">
        <f>EXP(-LN(2)/2)*BR141+(1-EXP(-LN(2)/2))/(LN(2)/2)*BL142*BO142*VLOOKUP('Données projet'!$B$11,Paramètres!$A$1:$I$89,3,0)*0.475*44/12</f>
        <v>3.3501190711619121E-16</v>
      </c>
      <c r="BS142" s="22">
        <f t="shared" si="117"/>
        <v>1.3000221856306127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259.99999999999983</v>
      </c>
      <c r="BZ142" s="13">
        <f>BY142*VLOOKUP('Données projet'!$B$12,Paramètres!$A$1:$I$89,3,0)*VLOOKUP('Données projet'!$B$12,Paramètres!$A$1:$I$89,5,0)</f>
        <v>227.13599999999985</v>
      </c>
      <c r="CA142" s="13">
        <f t="shared" si="147"/>
        <v>55.662966886685133</v>
      </c>
      <c r="CB142" s="20">
        <f t="shared" si="118"/>
        <v>492.5415339943097</v>
      </c>
      <c r="CC142" s="59">
        <f t="shared" si="119"/>
        <v>785.87486732764296</v>
      </c>
      <c r="CD142" s="59">
        <f ca="1">AVERAGE(OFFSET($CC$3,0,0,'Données projet'!$E$12+1,1))-AVERAGE(OFFSET($H$3,0,0,'Données projet'!$E$12+1,1))</f>
        <v>381.72225529388083</v>
      </c>
      <c r="CE142" s="59">
        <f t="shared" si="148"/>
        <v>360.05900046417361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0.55564208766280465</v>
      </c>
      <c r="CL142" s="21">
        <f>EXP(-LN(2)/25)*CL141+(1-EXP(-LN(2)/25))/(LN(2)/25)*Calculateur!CG142*Calculateur!CI142*VLOOKUP('Données projet'!$B$12,Paramètres!$A$1:$I$89,3,0)*0.475*44/12</f>
        <v>0.54931882295820766</v>
      </c>
      <c r="CM142" s="21">
        <f>EXP(-LN(2)/2)*CM141+(1-EXP(-LN(2)/2))/(LN(2)/2)*CG142*CJ142*VLOOKUP('Données projet'!$B$12,Paramètres!$A$1:$I$89,3,0)*0.475*44/12</f>
        <v>2.7466827768430537E-16</v>
      </c>
      <c r="CN142" s="22">
        <f t="shared" si="120"/>
        <v>1.1049609106210125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-1.7053025658242404E-13</v>
      </c>
      <c r="CU142" s="17">
        <f>CT142*VLOOKUP('Données projet'!$B$13,Paramètres!$A$1:$I$89,3,0)*VLOOKUP('Données projet'!$B$13,Paramètres!$A$1:$I$89,5,0)</f>
        <v>-1.3567387213697657E-13</v>
      </c>
      <c r="CV142" s="13" t="e">
        <f t="shared" si="149"/>
        <v>#NUM!</v>
      </c>
      <c r="CW142" s="20" t="e">
        <f t="shared" si="121"/>
        <v>#NUM!</v>
      </c>
      <c r="CX142" s="59" t="e">
        <f t="shared" si="122"/>
        <v>#NUM!</v>
      </c>
      <c r="CY142" s="59">
        <f ca="1">AVERAGE(OFFSET($CX$3,0,0,'Données projet'!$E$13+1,1))-AVERAGE(OFFSET($H$3,0,0,'Données projet'!$E$13+1,1))</f>
        <v>299.10536994156814</v>
      </c>
      <c r="CZ142" s="59">
        <f t="shared" si="150"/>
        <v>292.57799203101769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0.97248894898799598</v>
      </c>
      <c r="DG142" s="21">
        <f>EXP(-LN(2)/25)*DG141+(1-EXP(-LN(2)/25))/(LN(2)/25)*Calculateur!DB142*Calculateur!DD142*VLOOKUP('Données projet'!$B$13,Paramètres!$A$1:$I$89,3,0)*0.475*44/12</f>
        <v>0.52655710630943742</v>
      </c>
      <c r="DH142" s="21">
        <f>EXP(-LN(2)/2)*DH141+(1-EXP(-LN(2)/2))/(LN(2)/2)*DB142*DE142*VLOOKUP('Données projet'!$B$13,Paramètres!$A$1:$I$89,3,0)*0.475*44/12</f>
        <v>3.5219719638680391E-16</v>
      </c>
      <c r="DI142" s="22">
        <f t="shared" si="123"/>
        <v>1.4990460552974338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2.2737367544323206E-13</v>
      </c>
      <c r="DP142" s="17">
        <f>DO142*VLOOKUP('Données projet'!$B$14,Paramètres!$A$1:$I$89,3,0)*VLOOKUP('Données projet'!$B$14,Paramètres!$A$1:$I$89,5,0)</f>
        <v>1.4897523215040565E-13</v>
      </c>
      <c r="DQ142" s="13">
        <f t="shared" si="151"/>
        <v>2.136562777003313E-12</v>
      </c>
      <c r="DR142" s="20">
        <f t="shared" si="124"/>
        <v>3.9806453659427267E-12</v>
      </c>
      <c r="DS142" s="59">
        <f t="shared" si="125"/>
        <v>293.33333333333729</v>
      </c>
      <c r="DT142" s="59">
        <f ca="1">AVERAGE(OFFSET($DS$3,0,0,'Données projet'!$E$14+1,1))-AVERAGE(OFFSET($H$3,0,0,'Données projet'!$E$14+1,1))</f>
        <v>295.92103934364718</v>
      </c>
      <c r="DU142" s="59">
        <f t="shared" si="152"/>
        <v>304.84379909635476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0.51508127773135803</v>
      </c>
      <c r="EB142" s="21">
        <f>EXP(-LN(2)/25)*EB141+(1-EXP(-LN(2)/25))/(LN(2)/25)*Calculateur!DW142*Calculateur!DY142*VLOOKUP('Données projet'!$B$14,Paramètres!$A$1:$I$89,3,0)*0.475*44/12</f>
        <v>0.34829392904358081</v>
      </c>
      <c r="EC142" s="21">
        <f>EXP(-LN(2)/2)*EC141+(1-EXP(-LN(2)/2))/(LN(2)/2)*DW142*DZ142*VLOOKUP('Données projet'!$B$14,Paramètres!$A$1:$I$89,3,0)*0.475*44/12</f>
        <v>2.2588584601603137E-16</v>
      </c>
      <c r="ED142" s="22">
        <f t="shared" si="126"/>
        <v>0.86337520677493906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-1.1368683772161603E-13</v>
      </c>
      <c r="O143" s="13">
        <f>N143*VLOOKUP('Données projet'!$B$9,Paramètres!$A$1:$I$89,3,0)*VLOOKUP('Données projet'!$B$9,Paramètres!$A$1:$I$89,5,0)</f>
        <v>-5.3205440053716299E-14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319.22903094674564</v>
      </c>
      <c r="T143" s="59">
        <f t="shared" si="142"/>
        <v>254.58690973142848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1.0275624193727946</v>
      </c>
      <c r="AA143" s="21">
        <f>EXP(-LN(2)/25)*AA142+(1-EXP(-LN(2)/25))/(LN(2)/25)*Calculateur!V143*Calculateur!X143*VLOOKUP('Données projet'!$B$9,Paramètres!$A$1:$I$89,3,0)*0.475*44/12</f>
        <v>0.52819502471560187</v>
      </c>
      <c r="AB143" s="21">
        <f>EXP(-LN(2)/2)*AB142+(1-EXP(-LN(2)/2))/(LN(2)/2)*V143*Y143*VLOOKUP('Données projet'!$B$9,Paramètres!$A$1:$I$89,3,0)*0.475*44/12</f>
        <v>3.0650839210051425E-16</v>
      </c>
      <c r="AC143" s="22">
        <f t="shared" si="111"/>
        <v>1.5557574440883968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-3.4106051316484809E-13</v>
      </c>
      <c r="AJ143" s="13">
        <f>AI143*VLOOKUP('Données projet'!$B$10,Paramètres!$A$1:$I$89,3,0)*VLOOKUP('Données projet'!$B$10,Paramètres!$A$1:$I$89,5,0)</f>
        <v>-1.9065282685915009E-13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544.48194192356823</v>
      </c>
      <c r="AO143" s="59">
        <f t="shared" si="144"/>
        <v>668.20427590250733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0.83115321062373793</v>
      </c>
      <c r="AV143" s="21">
        <f>EXP(-LN(2)/25)*AV142+(1-EXP(-LN(2)/25))/(LN(2)/25)*Calculateur!AQ143*Calculateur!AS143*VLOOKUP('Données projet'!$B$10,Paramètres!$A$1:$I$89,3,0)*0.475*44/12</f>
        <v>2.0183766632173361</v>
      </c>
      <c r="AW143" s="21">
        <f>EXP(-LN(2)/2)*AW142+(1-EXP(-LN(2)/2))/(LN(2)/2)*AQ143*AT143*VLOOKUP('Données projet'!$B$10,Paramètres!$A$1:$I$89,3,0)*0.475*44/12</f>
        <v>4.0017871696211964E-16</v>
      </c>
      <c r="AX143" s="21">
        <f t="shared" si="114"/>
        <v>2.8495298738410746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>
        <f>BD143*VLOOKUP('Données projet'!$B$11,Paramètres!$A$1:$I$89,3,0)*VLOOKUP('Données projet'!$B$11,Paramètres!$A$1:$I$89,5,0)</f>
        <v>0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405.7176439604217</v>
      </c>
      <c r="BJ143" s="59">
        <f t="shared" si="146"/>
        <v>278.21741231699929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0.82742889704810585</v>
      </c>
      <c r="BQ143" s="21">
        <f>EXP(-LN(2)/25)*BQ142+(1-EXP(-LN(2)/25))/(LN(2)/25)*Calculateur!BL143*Calculateur!BN143*VLOOKUP('Données projet'!$B$11,Paramètres!$A$1:$I$89,3,0)*0.475*44/12</f>
        <v>0.44357284877999803</v>
      </c>
      <c r="BR143" s="21">
        <f>EXP(-LN(2)/2)*BR142+(1-EXP(-LN(2)/2))/(LN(2)/2)*BL143*BO143*VLOOKUP('Données projet'!$B$11,Paramètres!$A$1:$I$89,3,0)*0.475*44/12</f>
        <v>2.368891913000966E-16</v>
      </c>
      <c r="BS143" s="22">
        <f t="shared" si="117"/>
        <v>1.271001745828104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259.99999999999983</v>
      </c>
      <c r="BZ143" s="13">
        <f>BY143*VLOOKUP('Données projet'!$B$12,Paramètres!$A$1:$I$89,3,0)*VLOOKUP('Données projet'!$B$12,Paramètres!$A$1:$I$89,5,0)</f>
        <v>227.13599999999985</v>
      </c>
      <c r="CA143" s="13">
        <f t="shared" si="147"/>
        <v>55.662966886685133</v>
      </c>
      <c r="CB143" s="20">
        <f t="shared" si="118"/>
        <v>492.5415339943097</v>
      </c>
      <c r="CC143" s="59">
        <f t="shared" si="119"/>
        <v>785.87486732764296</v>
      </c>
      <c r="CD143" s="59">
        <f ca="1">AVERAGE(OFFSET($CC$3,0,0,'Données projet'!$E$12+1,1))-AVERAGE(OFFSET($H$3,0,0,'Données projet'!$E$12+1,1))</f>
        <v>381.72225529388083</v>
      </c>
      <c r="CE143" s="59">
        <f t="shared" si="148"/>
        <v>360.05900046417361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0.54474628523194613</v>
      </c>
      <c r="CL143" s="21">
        <f>EXP(-LN(2)/25)*CL142+(1-EXP(-LN(2)/25))/(LN(2)/25)*Calculateur!CG143*Calculateur!CI143*VLOOKUP('Données projet'!$B$12,Paramètres!$A$1:$I$89,3,0)*0.475*44/12</f>
        <v>0.53429767085699409</v>
      </c>
      <c r="CM143" s="21">
        <f>EXP(-LN(2)/2)*CM142+(1-EXP(-LN(2)/2))/(LN(2)/2)*CG143*CJ143*VLOOKUP('Données projet'!$B$12,Paramètres!$A$1:$I$89,3,0)*0.475*44/12</f>
        <v>1.9421980172740199E-16</v>
      </c>
      <c r="CN143" s="22">
        <f t="shared" si="120"/>
        <v>1.0790439560889404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-1.7053025658242404E-13</v>
      </c>
      <c r="CU143" s="17">
        <f>CT143*VLOOKUP('Données projet'!$B$13,Paramètres!$A$1:$I$89,3,0)*VLOOKUP('Données projet'!$B$13,Paramètres!$A$1:$I$89,5,0)</f>
        <v>-1.3567387213697657E-13</v>
      </c>
      <c r="CV143" s="13" t="e">
        <f t="shared" si="149"/>
        <v>#NUM!</v>
      </c>
      <c r="CW143" s="20" t="e">
        <f t="shared" si="121"/>
        <v>#NUM!</v>
      </c>
      <c r="CX143" s="59" t="e">
        <f t="shared" si="122"/>
        <v>#NUM!</v>
      </c>
      <c r="CY143" s="59">
        <f ca="1">AVERAGE(OFFSET($CX$3,0,0,'Données projet'!$E$13+1,1))-AVERAGE(OFFSET($H$3,0,0,'Données projet'!$E$13+1,1))</f>
        <v>299.10536994156814</v>
      </c>
      <c r="CZ143" s="59">
        <f t="shared" si="150"/>
        <v>292.57799203101769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0.95341903385803062</v>
      </c>
      <c r="DG143" s="21">
        <f>EXP(-LN(2)/25)*DG142+(1-EXP(-LN(2)/25))/(LN(2)/25)*Calculateur!DB143*Calculateur!DD143*VLOOKUP('Données projet'!$B$13,Paramètres!$A$1:$I$89,3,0)*0.475*44/12</f>
        <v>0.51215837454697111</v>
      </c>
      <c r="DH143" s="21">
        <f>EXP(-LN(2)/2)*DH142+(1-EXP(-LN(2)/2))/(LN(2)/2)*DB143*DE143*VLOOKUP('Données projet'!$B$13,Paramètres!$A$1:$I$89,3,0)*0.475*44/12</f>
        <v>2.4904102587999925E-16</v>
      </c>
      <c r="DI143" s="22">
        <f t="shared" si="123"/>
        <v>1.4655774084050019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2.2737367544323206E-13</v>
      </c>
      <c r="DP143" s="17">
        <f>DO143*VLOOKUP('Données projet'!$B$14,Paramètres!$A$1:$I$89,3,0)*VLOOKUP('Données projet'!$B$14,Paramètres!$A$1:$I$89,5,0)</f>
        <v>1.4897523215040565E-13</v>
      </c>
      <c r="DQ143" s="13">
        <f t="shared" si="151"/>
        <v>2.136562777003313E-12</v>
      </c>
      <c r="DR143" s="20">
        <f t="shared" si="124"/>
        <v>3.9806453659427267E-12</v>
      </c>
      <c r="DS143" s="59">
        <f t="shared" si="125"/>
        <v>293.33333333333729</v>
      </c>
      <c r="DT143" s="59">
        <f ca="1">AVERAGE(OFFSET($DS$3,0,0,'Données projet'!$E$14+1,1))-AVERAGE(OFFSET($H$3,0,0,'Données projet'!$E$14+1,1))</f>
        <v>295.92103934364718</v>
      </c>
      <c r="DU143" s="59">
        <f t="shared" si="152"/>
        <v>304.84379909635476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0.50498084804360399</v>
      </c>
      <c r="EB143" s="21">
        <f>EXP(-LN(2)/25)*EB142+(1-EXP(-LN(2)/25))/(LN(2)/25)*Calculateur!DW143*Calculateur!DY143*VLOOKUP('Données projet'!$B$14,Paramètres!$A$1:$I$89,3,0)*0.475*44/12</f>
        <v>0.3387698132379024</v>
      </c>
      <c r="EC143" s="21">
        <f>EXP(-LN(2)/2)*EC142+(1-EXP(-LN(2)/2))/(LN(2)/2)*DW143*DZ143*VLOOKUP('Données projet'!$B$14,Paramètres!$A$1:$I$89,3,0)*0.475*44/12</f>
        <v>1.5972541349199606E-16</v>
      </c>
      <c r="ED143" s="22">
        <f t="shared" si="126"/>
        <v>0.84375066128150655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-1.1368683772161603E-13</v>
      </c>
      <c r="O144" s="13">
        <f>N144*VLOOKUP('Données projet'!$B$9,Paramètres!$A$1:$I$89,3,0)*VLOOKUP('Données projet'!$B$9,Paramètres!$A$1:$I$89,5,0)</f>
        <v>-5.3205440053716299E-14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319.22903094674564</v>
      </c>
      <c r="T144" s="59">
        <f t="shared" si="142"/>
        <v>254.58690973142848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1.0074125470800834</v>
      </c>
      <c r="AA144" s="21">
        <f>EXP(-LN(2)/25)*AA143+(1-EXP(-LN(2)/25))/(LN(2)/25)*Calculateur!V144*Calculateur!X144*VLOOKUP('Données projet'!$B$9,Paramètres!$A$1:$I$89,3,0)*0.475*44/12</f>
        <v>0.51375150398818459</v>
      </c>
      <c r="AB144" s="21">
        <f>EXP(-LN(2)/2)*AB143+(1-EXP(-LN(2)/2))/(LN(2)/2)*V144*Y144*VLOOKUP('Données projet'!$B$9,Paramètres!$A$1:$I$89,3,0)*0.475*44/12</f>
        <v>2.1673416254485886E-16</v>
      </c>
      <c r="AC144" s="22">
        <f t="shared" si="111"/>
        <v>1.5211640510682682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-3.4106051316484809E-13</v>
      </c>
      <c r="AJ144" s="13">
        <f>AI144*VLOOKUP('Données projet'!$B$10,Paramètres!$A$1:$I$89,3,0)*VLOOKUP('Données projet'!$B$10,Paramètres!$A$1:$I$89,5,0)</f>
        <v>-1.9065282685915009E-13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544.48194192356823</v>
      </c>
      <c r="AO144" s="59">
        <f t="shared" si="144"/>
        <v>668.20427590250733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0.81485480311680747</v>
      </c>
      <c r="AV144" s="21">
        <f>EXP(-LN(2)/25)*AV143+(1-EXP(-LN(2)/25))/(LN(2)/25)*Calculateur!AQ144*Calculateur!AS144*VLOOKUP('Données projet'!$B$10,Paramètres!$A$1:$I$89,3,0)*0.475*44/12</f>
        <v>1.9631840472198423</v>
      </c>
      <c r="AW144" s="21">
        <f>EXP(-LN(2)/2)*AW143+(1-EXP(-LN(2)/2))/(LN(2)/2)*AQ144*AT144*VLOOKUP('Données projet'!$B$10,Paramètres!$A$1:$I$89,3,0)*0.475*44/12</f>
        <v>2.8296908445044686E-16</v>
      </c>
      <c r="AX144" s="21">
        <f t="shared" si="114"/>
        <v>2.77803885033665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>
        <f>BD144*VLOOKUP('Données projet'!$B$11,Paramètres!$A$1:$I$89,3,0)*VLOOKUP('Données projet'!$B$11,Paramètres!$A$1:$I$89,5,0)</f>
        <v>0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405.7176439604217</v>
      </c>
      <c r="BJ144" s="59">
        <f t="shared" si="146"/>
        <v>278.21741231699929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0.81120352105878646</v>
      </c>
      <c r="BQ144" s="21">
        <f>EXP(-LN(2)/25)*BQ143+(1-EXP(-LN(2)/25))/(LN(2)/25)*Calculateur!BL144*Calculateur!BN144*VLOOKUP('Données projet'!$B$11,Paramètres!$A$1:$I$89,3,0)*0.475*44/12</f>
        <v>0.43144332590362666</v>
      </c>
      <c r="BR144" s="21">
        <f>EXP(-LN(2)/2)*BR143+(1-EXP(-LN(2)/2))/(LN(2)/2)*BL144*BO144*VLOOKUP('Données projet'!$B$11,Paramètres!$A$1:$I$89,3,0)*0.475*44/12</f>
        <v>1.6750595355809561E-16</v>
      </c>
      <c r="BS144" s="22">
        <f t="shared" si="117"/>
        <v>1.2426468469624135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259.99999999999983</v>
      </c>
      <c r="BZ144" s="13">
        <f>BY144*VLOOKUP('Données projet'!$B$12,Paramètres!$A$1:$I$89,3,0)*VLOOKUP('Données projet'!$B$12,Paramètres!$A$1:$I$89,5,0)</f>
        <v>227.13599999999985</v>
      </c>
      <c r="CA144" s="13">
        <f t="shared" si="147"/>
        <v>55.662966886685133</v>
      </c>
      <c r="CB144" s="20">
        <f t="shared" si="118"/>
        <v>492.5415339943097</v>
      </c>
      <c r="CC144" s="59">
        <f t="shared" si="119"/>
        <v>785.87486732764296</v>
      </c>
      <c r="CD144" s="59">
        <f ca="1">AVERAGE(OFFSET($CC$3,0,0,'Données projet'!$E$12+1,1))-AVERAGE(OFFSET($H$3,0,0,'Données projet'!$E$12+1,1))</f>
        <v>381.72225529388083</v>
      </c>
      <c r="CE144" s="59">
        <f t="shared" si="148"/>
        <v>360.05900046417361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0.53406414284097348</v>
      </c>
      <c r="CL144" s="21">
        <f>EXP(-LN(2)/25)*CL143+(1-EXP(-LN(2)/25))/(LN(2)/25)*Calculateur!CG144*Calculateur!CI144*VLOOKUP('Données projet'!$B$12,Paramètres!$A$1:$I$89,3,0)*0.475*44/12</f>
        <v>0.51968727294991623</v>
      </c>
      <c r="CM144" s="21">
        <f>EXP(-LN(2)/2)*CM143+(1-EXP(-LN(2)/2))/(LN(2)/2)*CG144*CJ144*VLOOKUP('Données projet'!$B$12,Paramètres!$A$1:$I$89,3,0)*0.475*44/12</f>
        <v>1.3733413884215268E-16</v>
      </c>
      <c r="CN144" s="22">
        <f t="shared" si="120"/>
        <v>1.05375141579089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-1.7053025658242404E-13</v>
      </c>
      <c r="CU144" s="17">
        <f>CT144*VLOOKUP('Données projet'!$B$13,Paramètres!$A$1:$I$89,3,0)*VLOOKUP('Données projet'!$B$13,Paramètres!$A$1:$I$89,5,0)</f>
        <v>-1.3567387213697657E-13</v>
      </c>
      <c r="CV144" s="13" t="e">
        <f t="shared" si="149"/>
        <v>#NUM!</v>
      </c>
      <c r="CW144" s="20" t="e">
        <f t="shared" si="121"/>
        <v>#NUM!</v>
      </c>
      <c r="CX144" s="59" t="e">
        <f t="shared" si="122"/>
        <v>#NUM!</v>
      </c>
      <c r="CY144" s="59">
        <f ca="1">AVERAGE(OFFSET($CX$3,0,0,'Données projet'!$E$13+1,1))-AVERAGE(OFFSET($H$3,0,0,'Données projet'!$E$13+1,1))</f>
        <v>299.10536994156814</v>
      </c>
      <c r="CZ144" s="59">
        <f t="shared" si="150"/>
        <v>292.57799203101769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0.93472306813226413</v>
      </c>
      <c r="DG144" s="21">
        <f>EXP(-LN(2)/25)*DG143+(1-EXP(-LN(2)/25))/(LN(2)/25)*Calculateur!DB144*Calculateur!DD144*VLOOKUP('Données projet'!$B$13,Paramètres!$A$1:$I$89,3,0)*0.475*44/12</f>
        <v>0.49815337686174582</v>
      </c>
      <c r="DH144" s="21">
        <f>EXP(-LN(2)/2)*DH143+(1-EXP(-LN(2)/2))/(LN(2)/2)*DB144*DE144*VLOOKUP('Données projet'!$B$13,Paramètres!$A$1:$I$89,3,0)*0.475*44/12</f>
        <v>1.7609859819340195E-16</v>
      </c>
      <c r="DI144" s="22">
        <f t="shared" si="123"/>
        <v>1.4328764449940101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2.2737367544323206E-13</v>
      </c>
      <c r="DP144" s="17">
        <f>DO144*VLOOKUP('Données projet'!$B$14,Paramètres!$A$1:$I$89,3,0)*VLOOKUP('Données projet'!$B$14,Paramètres!$A$1:$I$89,5,0)</f>
        <v>1.4897523215040565E-13</v>
      </c>
      <c r="DQ144" s="13">
        <f t="shared" si="151"/>
        <v>2.136562777003313E-12</v>
      </c>
      <c r="DR144" s="20">
        <f t="shared" si="124"/>
        <v>3.9806453659427267E-12</v>
      </c>
      <c r="DS144" s="59">
        <f t="shared" si="125"/>
        <v>293.33333333333729</v>
      </c>
      <c r="DT144" s="59">
        <f ca="1">AVERAGE(OFFSET($DS$3,0,0,'Données projet'!$E$14+1,1))-AVERAGE(OFFSET($H$3,0,0,'Données projet'!$E$14+1,1))</f>
        <v>295.92103934364718</v>
      </c>
      <c r="DU144" s="59">
        <f t="shared" si="152"/>
        <v>304.84379909635476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0.49507848162137297</v>
      </c>
      <c r="EB144" s="21">
        <f>EXP(-LN(2)/25)*EB143+(1-EXP(-LN(2)/25))/(LN(2)/25)*Calculateur!DW144*Calculateur!DY144*VLOOKUP('Données projet'!$B$14,Paramètres!$A$1:$I$89,3,0)*0.475*44/12</f>
        <v>0.32950613487978175</v>
      </c>
      <c r="EC144" s="21">
        <f>EXP(-LN(2)/2)*EC143+(1-EXP(-LN(2)/2))/(LN(2)/2)*DW144*DZ144*VLOOKUP('Données projet'!$B$14,Paramètres!$A$1:$I$89,3,0)*0.475*44/12</f>
        <v>1.1294292300801568E-16</v>
      </c>
      <c r="ED144" s="22">
        <f t="shared" si="126"/>
        <v>0.82458461650115489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-1.1368683772161603E-13</v>
      </c>
      <c r="O145" s="13">
        <f>N145*VLOOKUP('Données projet'!$B$9,Paramètres!$A$1:$I$89,3,0)*VLOOKUP('Données projet'!$B$9,Paramètres!$A$1:$I$89,5,0)</f>
        <v>-5.3205440053716299E-14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319.22903094674564</v>
      </c>
      <c r="T145" s="59">
        <f t="shared" si="142"/>
        <v>254.58690973142848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0.98765780149282378</v>
      </c>
      <c r="AA145" s="21">
        <f>EXP(-LN(2)/25)*AA144+(1-EXP(-LN(2)/25))/(LN(2)/25)*Calculateur!V145*Calculateur!X145*VLOOKUP('Données projet'!$B$9,Paramètres!$A$1:$I$89,3,0)*0.475*44/12</f>
        <v>0.4997029420946103</v>
      </c>
      <c r="AB145" s="21">
        <f>EXP(-LN(2)/2)*AB144+(1-EXP(-LN(2)/2))/(LN(2)/2)*V145*Y145*VLOOKUP('Données projet'!$B$9,Paramètres!$A$1:$I$89,3,0)*0.475*44/12</f>
        <v>1.5325419605025715E-16</v>
      </c>
      <c r="AC145" s="22">
        <f t="shared" si="111"/>
        <v>1.4873607435874343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-3.4106051316484809E-13</v>
      </c>
      <c r="AJ145" s="13">
        <f>AI145*VLOOKUP('Données projet'!$B$10,Paramètres!$A$1:$I$89,3,0)*VLOOKUP('Données projet'!$B$10,Paramètres!$A$1:$I$89,5,0)</f>
        <v>-1.9065282685915009E-13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544.48194192356823</v>
      </c>
      <c r="AO145" s="59">
        <f t="shared" si="144"/>
        <v>668.20427590250733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0.7988759974400409</v>
      </c>
      <c r="AV145" s="21">
        <f>EXP(-LN(2)/25)*AV144+(1-EXP(-LN(2)/25))/(LN(2)/25)*Calculateur!AQ145*Calculateur!AS145*VLOOKUP('Données projet'!$B$10,Paramètres!$A$1:$I$89,3,0)*0.475*44/12</f>
        <v>1.9095006762092537</v>
      </c>
      <c r="AW145" s="21">
        <f>EXP(-LN(2)/2)*AW144+(1-EXP(-LN(2)/2))/(LN(2)/2)*AQ145*AT145*VLOOKUP('Données projet'!$B$10,Paramètres!$A$1:$I$89,3,0)*0.475*44/12</f>
        <v>2.0008935848105982E-16</v>
      </c>
      <c r="AX145" s="21">
        <f t="shared" si="114"/>
        <v>2.7083766736492945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>
        <f>BD145*VLOOKUP('Données projet'!$B$11,Paramètres!$A$1:$I$89,3,0)*VLOOKUP('Données projet'!$B$11,Paramètres!$A$1:$I$89,5,0)</f>
        <v>0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405.7176439604217</v>
      </c>
      <c r="BJ145" s="59">
        <f t="shared" si="146"/>
        <v>278.21741231699929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0.79529631479611551</v>
      </c>
      <c r="BQ145" s="21">
        <f>EXP(-LN(2)/25)*BQ144+(1-EXP(-LN(2)/25))/(LN(2)/25)*Calculateur!BL145*Calculateur!BN145*VLOOKUP('Données projet'!$B$11,Paramètres!$A$1:$I$89,3,0)*0.475*44/12</f>
        <v>0.41964548546817354</v>
      </c>
      <c r="BR145" s="21">
        <f>EXP(-LN(2)/2)*BR144+(1-EXP(-LN(2)/2))/(LN(2)/2)*BL145*BO145*VLOOKUP('Données projet'!$B$11,Paramètres!$A$1:$I$89,3,0)*0.475*44/12</f>
        <v>1.184445956500483E-16</v>
      </c>
      <c r="BS145" s="22">
        <f t="shared" si="117"/>
        <v>1.2149418002642893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259.99999999999983</v>
      </c>
      <c r="BZ145" s="13">
        <f>BY145*VLOOKUP('Données projet'!$B$12,Paramètres!$A$1:$I$89,3,0)*VLOOKUP('Données projet'!$B$12,Paramètres!$A$1:$I$89,5,0)</f>
        <v>227.13599999999985</v>
      </c>
      <c r="CA145" s="13">
        <f t="shared" si="147"/>
        <v>55.662966886685133</v>
      </c>
      <c r="CB145" s="20">
        <f t="shared" si="118"/>
        <v>492.5415339943097</v>
      </c>
      <c r="CC145" s="59">
        <f t="shared" si="119"/>
        <v>785.87486732764296</v>
      </c>
      <c r="CD145" s="59">
        <f ca="1">AVERAGE(OFFSET($CC$3,0,0,'Données projet'!$E$12+1,1))-AVERAGE(OFFSET($H$3,0,0,'Données projet'!$E$12+1,1))</f>
        <v>381.72225529388083</v>
      </c>
      <c r="CE145" s="59">
        <f t="shared" si="148"/>
        <v>360.05900046417361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0.52359147074682433</v>
      </c>
      <c r="CL145" s="21">
        <f>EXP(-LN(2)/25)*CL144+(1-EXP(-LN(2)/25))/(LN(2)/25)*Calculateur!CG145*Calculateur!CI145*VLOOKUP('Données projet'!$B$12,Paramètres!$A$1:$I$89,3,0)*0.475*44/12</f>
        <v>0.50547639714193482</v>
      </c>
      <c r="CM145" s="21">
        <f>EXP(-LN(2)/2)*CM144+(1-EXP(-LN(2)/2))/(LN(2)/2)*CG145*CJ145*VLOOKUP('Données projet'!$B$12,Paramètres!$A$1:$I$89,3,0)*0.475*44/12</f>
        <v>9.7109900863700997E-17</v>
      </c>
      <c r="CN145" s="22">
        <f t="shared" si="120"/>
        <v>1.029067867888759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-1.7053025658242404E-13</v>
      </c>
      <c r="CU145" s="17">
        <f>CT145*VLOOKUP('Données projet'!$B$13,Paramètres!$A$1:$I$89,3,0)*VLOOKUP('Données projet'!$B$13,Paramètres!$A$1:$I$89,5,0)</f>
        <v>-1.3567387213697657E-13</v>
      </c>
      <c r="CV145" s="13" t="e">
        <f t="shared" si="149"/>
        <v>#NUM!</v>
      </c>
      <c r="CW145" s="20" t="e">
        <f t="shared" si="121"/>
        <v>#NUM!</v>
      </c>
      <c r="CX145" s="59" t="e">
        <f t="shared" si="122"/>
        <v>#NUM!</v>
      </c>
      <c r="CY145" s="59">
        <f ca="1">AVERAGE(OFFSET($CX$3,0,0,'Données projet'!$E$13+1,1))-AVERAGE(OFFSET($H$3,0,0,'Données projet'!$E$13+1,1))</f>
        <v>299.10536994156814</v>
      </c>
      <c r="CZ145" s="59">
        <f t="shared" si="150"/>
        <v>292.57799203101769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0.91639371889096688</v>
      </c>
      <c r="DG145" s="21">
        <f>EXP(-LN(2)/25)*DG144+(1-EXP(-LN(2)/25))/(LN(2)/25)*Calculateur!DB145*Calculateur!DD145*VLOOKUP('Données projet'!$B$13,Paramètres!$A$1:$I$89,3,0)*0.475*44/12</f>
        <v>0.48453134657471386</v>
      </c>
      <c r="DH145" s="21">
        <f>EXP(-LN(2)/2)*DH144+(1-EXP(-LN(2)/2))/(LN(2)/2)*DB145*DE145*VLOOKUP('Données projet'!$B$13,Paramètres!$A$1:$I$89,3,0)*0.475*44/12</f>
        <v>1.2452051293999963E-16</v>
      </c>
      <c r="DI145" s="22">
        <f t="shared" si="123"/>
        <v>1.4009250654656811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2.2737367544323206E-13</v>
      </c>
      <c r="DP145" s="17">
        <f>DO145*VLOOKUP('Données projet'!$B$14,Paramètres!$A$1:$I$89,3,0)*VLOOKUP('Données projet'!$B$14,Paramètres!$A$1:$I$89,5,0)</f>
        <v>1.4897523215040565E-13</v>
      </c>
      <c r="DQ145" s="13">
        <f t="shared" si="151"/>
        <v>2.136562777003313E-12</v>
      </c>
      <c r="DR145" s="20">
        <f t="shared" si="124"/>
        <v>3.9806453659427267E-12</v>
      </c>
      <c r="DS145" s="59">
        <f t="shared" si="125"/>
        <v>293.33333333333729</v>
      </c>
      <c r="DT145" s="59">
        <f ca="1">AVERAGE(OFFSET($DS$3,0,0,'Données projet'!$E$14+1,1))-AVERAGE(OFFSET($H$3,0,0,'Données projet'!$E$14+1,1))</f>
        <v>295.92103934364718</v>
      </c>
      <c r="DU145" s="59">
        <f t="shared" si="152"/>
        <v>304.84379909635476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0.48537029456483477</v>
      </c>
      <c r="EB145" s="21">
        <f>EXP(-LN(2)/25)*EB144+(1-EXP(-LN(2)/25))/(LN(2)/25)*Calculateur!DW145*Calculateur!DY145*VLOOKUP('Données projet'!$B$14,Paramètres!$A$1:$I$89,3,0)*0.475*44/12</f>
        <v>0.32049577229351961</v>
      </c>
      <c r="EC145" s="21">
        <f>EXP(-LN(2)/2)*EC144+(1-EXP(-LN(2)/2))/(LN(2)/2)*DW145*DZ145*VLOOKUP('Données projet'!$B$14,Paramètres!$A$1:$I$89,3,0)*0.475*44/12</f>
        <v>7.9862706745998031E-17</v>
      </c>
      <c r="ED145" s="22">
        <f t="shared" si="126"/>
        <v>0.80586606685835449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-1.1368683772161603E-13</v>
      </c>
      <c r="O146" s="13">
        <f>N146*VLOOKUP('Données projet'!$B$9,Paramètres!$A$1:$I$89,3,0)*VLOOKUP('Données projet'!$B$9,Paramètres!$A$1:$I$89,5,0)</f>
        <v>-5.3205440053716299E-14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319.22903094674564</v>
      </c>
      <c r="T146" s="59">
        <f t="shared" si="142"/>
        <v>254.58690973142848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0.96829043441732521</v>
      </c>
      <c r="AA146" s="21">
        <f>EXP(-LN(2)/25)*AA145+(1-EXP(-LN(2)/25))/(LN(2)/25)*Calculateur!V146*Calculateur!X146*VLOOKUP('Données projet'!$B$9,Paramètres!$A$1:$I$89,3,0)*0.475*44/12</f>
        <v>0.48603853886479753</v>
      </c>
      <c r="AB146" s="21">
        <f>EXP(-LN(2)/2)*AB145+(1-EXP(-LN(2)/2))/(LN(2)/2)*V146*Y146*VLOOKUP('Données projet'!$B$9,Paramètres!$A$1:$I$89,3,0)*0.475*44/12</f>
        <v>1.0836708127242944E-16</v>
      </c>
      <c r="AC146" s="22">
        <f t="shared" si="111"/>
        <v>1.4543289732821227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-3.4106051316484809E-13</v>
      </c>
      <c r="AJ146" s="13">
        <f>AI146*VLOOKUP('Données projet'!$B$10,Paramètres!$A$1:$I$89,3,0)*VLOOKUP('Données projet'!$B$10,Paramètres!$A$1:$I$89,5,0)</f>
        <v>-1.9065282685915009E-13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544.48194192356823</v>
      </c>
      <c r="AO146" s="59">
        <f t="shared" si="144"/>
        <v>668.20427590250733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0.78321052639648658</v>
      </c>
      <c r="AV146" s="21">
        <f>EXP(-LN(2)/25)*AV145+(1-EXP(-LN(2)/25))/(LN(2)/25)*Calculateur!AQ146*Calculateur!AS146*VLOOKUP('Données projet'!$B$10,Paramètres!$A$1:$I$89,3,0)*0.475*44/12</f>
        <v>1.8572852798020354</v>
      </c>
      <c r="AW146" s="21">
        <f>EXP(-LN(2)/2)*AW145+(1-EXP(-LN(2)/2))/(LN(2)/2)*AQ146*AT146*VLOOKUP('Données projet'!$B$10,Paramètres!$A$1:$I$89,3,0)*0.475*44/12</f>
        <v>1.4148454222522343E-16</v>
      </c>
      <c r="AX146" s="21">
        <f t="shared" si="114"/>
        <v>2.6404958061985218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>
        <f>BD146*VLOOKUP('Données projet'!$B$11,Paramètres!$A$1:$I$89,3,0)*VLOOKUP('Données projet'!$B$11,Paramètres!$A$1:$I$89,5,0)</f>
        <v>0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405.7176439604217</v>
      </c>
      <c r="BJ146" s="59">
        <f t="shared" si="146"/>
        <v>278.21741231699929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0.77970103914581779</v>
      </c>
      <c r="BQ146" s="21">
        <f>EXP(-LN(2)/25)*BQ145+(1-EXP(-LN(2)/25))/(LN(2)/25)*Calculateur!BL146*Calculateur!BN146*VLOOKUP('Données projet'!$B$11,Paramètres!$A$1:$I$89,3,0)*0.475*44/12</f>
        <v>0.40817025759984937</v>
      </c>
      <c r="BR146" s="21">
        <f>EXP(-LN(2)/2)*BR145+(1-EXP(-LN(2)/2))/(LN(2)/2)*BL146*BO146*VLOOKUP('Données projet'!$B$11,Paramètres!$A$1:$I$89,3,0)*0.475*44/12</f>
        <v>8.3752976779047803E-17</v>
      </c>
      <c r="BS146" s="22">
        <f t="shared" si="117"/>
        <v>1.187871296745667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259.99999999999983</v>
      </c>
      <c r="BZ146" s="13">
        <f>BY146*VLOOKUP('Données projet'!$B$12,Paramètres!$A$1:$I$89,3,0)*VLOOKUP('Données projet'!$B$12,Paramètres!$A$1:$I$89,5,0)</f>
        <v>227.13599999999985</v>
      </c>
      <c r="CA146" s="13">
        <f t="shared" si="147"/>
        <v>55.662966886685133</v>
      </c>
      <c r="CB146" s="20">
        <f t="shared" si="118"/>
        <v>492.5415339943097</v>
      </c>
      <c r="CC146" s="59">
        <f t="shared" si="119"/>
        <v>785.87486732764296</v>
      </c>
      <c r="CD146" s="59">
        <f ca="1">AVERAGE(OFFSET($CC$3,0,0,'Données projet'!$E$12+1,1))-AVERAGE(OFFSET($H$3,0,0,'Données projet'!$E$12+1,1))</f>
        <v>381.72225529388083</v>
      </c>
      <c r="CE146" s="59">
        <f t="shared" si="148"/>
        <v>360.05900046417361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0.51332416136474213</v>
      </c>
      <c r="CL146" s="21">
        <f>EXP(-LN(2)/25)*CL145+(1-EXP(-LN(2)/25))/(LN(2)/25)*Calculateur!CG146*Calculateur!CI146*VLOOKUP('Données projet'!$B$12,Paramètres!$A$1:$I$89,3,0)*0.475*44/12</f>
        <v>0.49165411848024015</v>
      </c>
      <c r="CM146" s="21">
        <f>EXP(-LN(2)/2)*CM145+(1-EXP(-LN(2)/2))/(LN(2)/2)*CG146*CJ146*VLOOKUP('Données projet'!$B$12,Paramètres!$A$1:$I$89,3,0)*0.475*44/12</f>
        <v>6.8667069421076342E-17</v>
      </c>
      <c r="CN146" s="22">
        <f t="shared" si="120"/>
        <v>1.0049782798449822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-1.7053025658242404E-13</v>
      </c>
      <c r="CU146" s="17">
        <f>CT146*VLOOKUP('Données projet'!$B$13,Paramètres!$A$1:$I$89,3,0)*VLOOKUP('Données projet'!$B$13,Paramètres!$A$1:$I$89,5,0)</f>
        <v>-1.3567387213697657E-13</v>
      </c>
      <c r="CV146" s="13" t="e">
        <f t="shared" si="149"/>
        <v>#NUM!</v>
      </c>
      <c r="CW146" s="20" t="e">
        <f t="shared" si="121"/>
        <v>#NUM!</v>
      </c>
      <c r="CX146" s="59" t="e">
        <f t="shared" si="122"/>
        <v>#NUM!</v>
      </c>
      <c r="CY146" s="59">
        <f ca="1">AVERAGE(OFFSET($CX$3,0,0,'Données projet'!$E$13+1,1))-AVERAGE(OFFSET($H$3,0,0,'Données projet'!$E$13+1,1))</f>
        <v>299.10536994156814</v>
      </c>
      <c r="CZ146" s="59">
        <f t="shared" si="150"/>
        <v>292.57799203101769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0.89842379700849229</v>
      </c>
      <c r="DG146" s="21">
        <f>EXP(-LN(2)/25)*DG145+(1-EXP(-LN(2)/25))/(LN(2)/25)*Calculateur!DB146*Calculateur!DD146*VLOOKUP('Données projet'!$B$13,Paramètres!$A$1:$I$89,3,0)*0.475*44/12</f>
        <v>0.47128181142223219</v>
      </c>
      <c r="DH146" s="21">
        <f>EXP(-LN(2)/2)*DH145+(1-EXP(-LN(2)/2))/(LN(2)/2)*DB146*DE146*VLOOKUP('Données projet'!$B$13,Paramètres!$A$1:$I$89,3,0)*0.475*44/12</f>
        <v>8.8049299096700977E-17</v>
      </c>
      <c r="DI146" s="22">
        <f t="shared" si="123"/>
        <v>1.3697056084307244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2.2737367544323206E-13</v>
      </c>
      <c r="DP146" s="17">
        <f>DO146*VLOOKUP('Données projet'!$B$14,Paramètres!$A$1:$I$89,3,0)*VLOOKUP('Données projet'!$B$14,Paramètres!$A$1:$I$89,5,0)</f>
        <v>1.4897523215040565E-13</v>
      </c>
      <c r="DQ146" s="13">
        <f t="shared" si="151"/>
        <v>2.136562777003313E-12</v>
      </c>
      <c r="DR146" s="20">
        <f t="shared" si="124"/>
        <v>3.9806453659427267E-12</v>
      </c>
      <c r="DS146" s="59">
        <f t="shared" si="125"/>
        <v>293.33333333333729</v>
      </c>
      <c r="DT146" s="59">
        <f ca="1">AVERAGE(OFFSET($DS$3,0,0,'Données projet'!$E$14+1,1))-AVERAGE(OFFSET($H$3,0,0,'Données projet'!$E$14+1,1))</f>
        <v>295.92103934364718</v>
      </c>
      <c r="DU146" s="59">
        <f t="shared" si="152"/>
        <v>304.84379909635476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0.47585247913506584</v>
      </c>
      <c r="EB146" s="21">
        <f>EXP(-LN(2)/25)*EB145+(1-EXP(-LN(2)/25))/(LN(2)/25)*Calculateur!DW146*Calculateur!DY146*VLOOKUP('Données projet'!$B$14,Paramètres!$A$1:$I$89,3,0)*0.475*44/12</f>
        <v>0.31173179854601313</v>
      </c>
      <c r="EC146" s="21">
        <f>EXP(-LN(2)/2)*EC145+(1-EXP(-LN(2)/2))/(LN(2)/2)*DW146*DZ146*VLOOKUP('Données projet'!$B$14,Paramètres!$A$1:$I$89,3,0)*0.475*44/12</f>
        <v>5.6471461504007842E-17</v>
      </c>
      <c r="ED146" s="22">
        <f t="shared" si="126"/>
        <v>0.78758427768107908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-1.1368683772161603E-13</v>
      </c>
      <c r="O147" s="13">
        <f>N147*VLOOKUP('Données projet'!$B$9,Paramètres!$A$1:$I$89,3,0)*VLOOKUP('Données projet'!$B$9,Paramètres!$A$1:$I$89,5,0)</f>
        <v>-5.3205440053716299E-14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319.22903094674564</v>
      </c>
      <c r="T147" s="59">
        <f t="shared" si="142"/>
        <v>254.58690973142848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0.94930284959724964</v>
      </c>
      <c r="AA147" s="21">
        <f>EXP(-LN(2)/25)*AA146+(1-EXP(-LN(2)/25))/(LN(2)/25)*Calculateur!V147*Calculateur!X147*VLOOKUP('Données projet'!$B$9,Paramètres!$A$1:$I$89,3,0)*0.475*44/12</f>
        <v>0.47274778945988372</v>
      </c>
      <c r="AB147" s="21">
        <f>EXP(-LN(2)/2)*AB146+(1-EXP(-LN(2)/2))/(LN(2)/2)*V147*Y147*VLOOKUP('Données projet'!$B$9,Paramètres!$A$1:$I$89,3,0)*0.475*44/12</f>
        <v>7.6627098025128587E-17</v>
      </c>
      <c r="AC147" s="22">
        <f t="shared" si="111"/>
        <v>1.4220506390571335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-3.4106051316484809E-13</v>
      </c>
      <c r="AJ147" s="13">
        <f>AI147*VLOOKUP('Données projet'!$B$10,Paramètres!$A$1:$I$89,3,0)*VLOOKUP('Données projet'!$B$10,Paramètres!$A$1:$I$89,5,0)</f>
        <v>-1.9065282685915009E-13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544.48194192356823</v>
      </c>
      <c r="AO147" s="59">
        <f t="shared" si="144"/>
        <v>668.20427590250733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0.76785224568510246</v>
      </c>
      <c r="AV147" s="21">
        <f>EXP(-LN(2)/25)*AV146+(1-EXP(-LN(2)/25))/(LN(2)/25)*Calculateur!AQ147*Calculateur!AS147*VLOOKUP('Données projet'!$B$10,Paramètres!$A$1:$I$89,3,0)*0.475*44/12</f>
        <v>1.8064977161554607</v>
      </c>
      <c r="AW147" s="21">
        <f>EXP(-LN(2)/2)*AW146+(1-EXP(-LN(2)/2))/(LN(2)/2)*AQ147*AT147*VLOOKUP('Données projet'!$B$10,Paramètres!$A$1:$I$89,3,0)*0.475*44/12</f>
        <v>1.0004467924052991E-16</v>
      </c>
      <c r="AX147" s="21">
        <f t="shared" si="114"/>
        <v>2.5743499618405634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>
        <f>BD147*VLOOKUP('Données projet'!$B$11,Paramètres!$A$1:$I$89,3,0)*VLOOKUP('Données projet'!$B$11,Paramètres!$A$1:$I$89,5,0)</f>
        <v>0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405.7176439604217</v>
      </c>
      <c r="BJ147" s="59">
        <f t="shared" si="146"/>
        <v>278.21741231699929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0.76441157733884346</v>
      </c>
      <c r="BQ147" s="21">
        <f>EXP(-LN(2)/25)*BQ146+(1-EXP(-LN(2)/25))/(LN(2)/25)*Calculateur!BL147*Calculateur!BN147*VLOOKUP('Données projet'!$B$11,Paramètres!$A$1:$I$89,3,0)*0.475*44/12</f>
        <v>0.39700882044104052</v>
      </c>
      <c r="BR147" s="21">
        <f>EXP(-LN(2)/2)*BR146+(1-EXP(-LN(2)/2))/(LN(2)/2)*BL147*BO147*VLOOKUP('Données projet'!$B$11,Paramètres!$A$1:$I$89,3,0)*0.475*44/12</f>
        <v>5.922229782502415E-17</v>
      </c>
      <c r="BS147" s="22">
        <f t="shared" si="117"/>
        <v>1.161420397779884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259.99999999999983</v>
      </c>
      <c r="BZ147" s="13">
        <f>BY147*VLOOKUP('Données projet'!$B$12,Paramètres!$A$1:$I$89,3,0)*VLOOKUP('Données projet'!$B$12,Paramètres!$A$1:$I$89,5,0)</f>
        <v>227.13599999999985</v>
      </c>
      <c r="CA147" s="13">
        <f t="shared" si="147"/>
        <v>55.662966886685133</v>
      </c>
      <c r="CB147" s="20">
        <f t="shared" si="118"/>
        <v>492.5415339943097</v>
      </c>
      <c r="CC147" s="59">
        <f t="shared" si="119"/>
        <v>785.87486732764296</v>
      </c>
      <c r="CD147" s="59">
        <f ca="1">AVERAGE(OFFSET($CC$3,0,0,'Données projet'!$E$12+1,1))-AVERAGE(OFFSET($H$3,0,0,'Données projet'!$E$12+1,1))</f>
        <v>381.72225529388083</v>
      </c>
      <c r="CE147" s="59">
        <f t="shared" si="148"/>
        <v>360.05900046417361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0.50325818765720221</v>
      </c>
      <c r="CL147" s="21">
        <f>EXP(-LN(2)/25)*CL146+(1-EXP(-LN(2)/25))/(LN(2)/25)*Calculateur!CG147*Calculateur!CI147*VLOOKUP('Données projet'!$B$12,Paramètres!$A$1:$I$89,3,0)*0.475*44/12</f>
        <v>0.47820981075543156</v>
      </c>
      <c r="CM147" s="21">
        <f>EXP(-LN(2)/2)*CM146+(1-EXP(-LN(2)/2))/(LN(2)/2)*CG147*CJ147*VLOOKUP('Données projet'!$B$12,Paramètres!$A$1:$I$89,3,0)*0.475*44/12</f>
        <v>4.8554950431850499E-17</v>
      </c>
      <c r="CN147" s="22">
        <f t="shared" si="120"/>
        <v>0.98146799841263377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-1.7053025658242404E-13</v>
      </c>
      <c r="CU147" s="17">
        <f>CT147*VLOOKUP('Données projet'!$B$13,Paramètres!$A$1:$I$89,3,0)*VLOOKUP('Données projet'!$B$13,Paramètres!$A$1:$I$89,5,0)</f>
        <v>-1.3567387213697657E-13</v>
      </c>
      <c r="CV147" s="13" t="e">
        <f t="shared" si="149"/>
        <v>#NUM!</v>
      </c>
      <c r="CW147" s="20" t="e">
        <f t="shared" si="121"/>
        <v>#NUM!</v>
      </c>
      <c r="CX147" s="59" t="e">
        <f t="shared" si="122"/>
        <v>#NUM!</v>
      </c>
      <c r="CY147" s="59">
        <f ca="1">AVERAGE(OFFSET($CX$3,0,0,'Données projet'!$E$13+1,1))-AVERAGE(OFFSET($H$3,0,0,'Données projet'!$E$13+1,1))</f>
        <v>299.10536994156814</v>
      </c>
      <c r="CZ147" s="59">
        <f t="shared" si="150"/>
        <v>292.57799203101769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0.88080625433356297</v>
      </c>
      <c r="DG147" s="21">
        <f>EXP(-LN(2)/25)*DG146+(1-EXP(-LN(2)/25))/(LN(2)/25)*Calculateur!DB147*Calculateur!DD147*VLOOKUP('Données projet'!$B$13,Paramètres!$A$1:$I$89,3,0)*0.475*44/12</f>
        <v>0.45839458550525791</v>
      </c>
      <c r="DH147" s="21">
        <f>EXP(-LN(2)/2)*DH146+(1-EXP(-LN(2)/2))/(LN(2)/2)*DB147*DE147*VLOOKUP('Données projet'!$B$13,Paramètres!$A$1:$I$89,3,0)*0.475*44/12</f>
        <v>6.2260256469999813E-17</v>
      </c>
      <c r="DI147" s="22">
        <f t="shared" si="123"/>
        <v>1.3392008398388209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2.2737367544323206E-13</v>
      </c>
      <c r="DP147" s="17">
        <f>DO147*VLOOKUP('Données projet'!$B$14,Paramètres!$A$1:$I$89,3,0)*VLOOKUP('Données projet'!$B$14,Paramètres!$A$1:$I$89,5,0)</f>
        <v>1.4897523215040565E-13</v>
      </c>
      <c r="DQ147" s="13">
        <f t="shared" si="151"/>
        <v>2.136562777003313E-12</v>
      </c>
      <c r="DR147" s="20">
        <f t="shared" si="124"/>
        <v>3.9806453659427267E-12</v>
      </c>
      <c r="DS147" s="59">
        <f t="shared" si="125"/>
        <v>293.33333333333729</v>
      </c>
      <c r="DT147" s="59">
        <f ca="1">AVERAGE(OFFSET($DS$3,0,0,'Données projet'!$E$14+1,1))-AVERAGE(OFFSET($H$3,0,0,'Données projet'!$E$14+1,1))</f>
        <v>295.92103934364718</v>
      </c>
      <c r="DU147" s="59">
        <f t="shared" si="152"/>
        <v>304.84379909635476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0.46652130226058053</v>
      </c>
      <c r="EB147" s="21">
        <f>EXP(-LN(2)/25)*EB146+(1-EXP(-LN(2)/25))/(LN(2)/25)*Calculateur!DW147*Calculateur!DY147*VLOOKUP('Données projet'!$B$14,Paramètres!$A$1:$I$89,3,0)*0.475*44/12</f>
        <v>0.30320747612150961</v>
      </c>
      <c r="EC147" s="21">
        <f>EXP(-LN(2)/2)*EC146+(1-EXP(-LN(2)/2))/(LN(2)/2)*DW147*DZ147*VLOOKUP('Données projet'!$B$14,Paramètres!$A$1:$I$89,3,0)*0.475*44/12</f>
        <v>3.9931353372999015E-17</v>
      </c>
      <c r="ED147" s="22">
        <f t="shared" si="126"/>
        <v>0.76972877838209008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-1.1368683772161603E-13</v>
      </c>
      <c r="O148" s="13">
        <f>N148*VLOOKUP('Données projet'!$B$9,Paramètres!$A$1:$I$89,3,0)*VLOOKUP('Données projet'!$B$9,Paramètres!$A$1:$I$89,5,0)</f>
        <v>-5.3205440053716299E-14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319.22903094674564</v>
      </c>
      <c r="T148" s="59">
        <f t="shared" si="142"/>
        <v>254.58690973142848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0.93068759973421256</v>
      </c>
      <c r="AA148" s="21">
        <f>EXP(-LN(2)/25)*AA147+(1-EXP(-LN(2)/25))/(LN(2)/25)*Calculateur!V148*Calculateur!X148*VLOOKUP('Données projet'!$B$9,Paramètres!$A$1:$I$89,3,0)*0.475*44/12</f>
        <v>0.4598204762963774</v>
      </c>
      <c r="AB148" s="21">
        <f>EXP(-LN(2)/2)*AB147+(1-EXP(-LN(2)/2))/(LN(2)/2)*V148*Y148*VLOOKUP('Données projet'!$B$9,Paramètres!$A$1:$I$89,3,0)*0.475*44/12</f>
        <v>5.4183540636214733E-17</v>
      </c>
      <c r="AC148" s="22">
        <f t="shared" si="111"/>
        <v>1.3905080760305899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-3.4106051316484809E-13</v>
      </c>
      <c r="AJ148" s="13">
        <f>AI148*VLOOKUP('Données projet'!$B$10,Paramètres!$A$1:$I$89,3,0)*VLOOKUP('Données projet'!$B$10,Paramètres!$A$1:$I$89,5,0)</f>
        <v>-1.9065282685915009E-13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544.48194192356823</v>
      </c>
      <c r="AO148" s="59">
        <f t="shared" si="144"/>
        <v>668.20427590250733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0.75279513149084243</v>
      </c>
      <c r="AV148" s="21">
        <f>EXP(-LN(2)/25)*AV147+(1-EXP(-LN(2)/25))/(LN(2)/25)*Calculateur!AQ148*Calculateur!AS148*VLOOKUP('Données projet'!$B$10,Paramètres!$A$1:$I$89,3,0)*0.475*44/12</f>
        <v>1.7570989411076037</v>
      </c>
      <c r="AW148" s="21">
        <f>EXP(-LN(2)/2)*AW147+(1-EXP(-LN(2)/2))/(LN(2)/2)*AQ148*AT148*VLOOKUP('Données projet'!$B$10,Paramètres!$A$1:$I$89,3,0)*0.475*44/12</f>
        <v>7.0742271112611716E-17</v>
      </c>
      <c r="AX148" s="21">
        <f t="shared" si="114"/>
        <v>2.509894072598446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>
        <f>BD148*VLOOKUP('Données projet'!$B$11,Paramètres!$A$1:$I$89,3,0)*VLOOKUP('Données projet'!$B$11,Paramètres!$A$1:$I$89,5,0)</f>
        <v>0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405.7176439604217</v>
      </c>
      <c r="BJ148" s="59">
        <f t="shared" si="146"/>
        <v>278.21741231699929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0.74942193255225309</v>
      </c>
      <c r="BQ148" s="21">
        <f>EXP(-LN(2)/25)*BQ147+(1-EXP(-LN(2)/25))/(LN(2)/25)*Calculateur!BL148*Calculateur!BN148*VLOOKUP('Données projet'!$B$11,Paramètres!$A$1:$I$89,3,0)*0.475*44/12</f>
        <v>0.38615259336829377</v>
      </c>
      <c r="BR148" s="21">
        <f>EXP(-LN(2)/2)*BR147+(1-EXP(-LN(2)/2))/(LN(2)/2)*BL148*BO148*VLOOKUP('Données projet'!$B$11,Paramètres!$A$1:$I$89,3,0)*0.475*44/12</f>
        <v>4.1876488389523901E-17</v>
      </c>
      <c r="BS148" s="22">
        <f t="shared" si="117"/>
        <v>1.1355745259205468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259.99999999999983</v>
      </c>
      <c r="BZ148" s="13">
        <f>BY148*VLOOKUP('Données projet'!$B$12,Paramètres!$A$1:$I$89,3,0)*VLOOKUP('Données projet'!$B$12,Paramètres!$A$1:$I$89,5,0)</f>
        <v>227.13599999999985</v>
      </c>
      <c r="CA148" s="13">
        <f t="shared" si="147"/>
        <v>55.662966886685133</v>
      </c>
      <c r="CB148" s="20">
        <f t="shared" si="118"/>
        <v>492.5415339943097</v>
      </c>
      <c r="CC148" s="59">
        <f t="shared" si="119"/>
        <v>785.87486732764296</v>
      </c>
      <c r="CD148" s="59">
        <f ca="1">AVERAGE(OFFSET($CC$3,0,0,'Données projet'!$E$12+1,1))-AVERAGE(OFFSET($H$3,0,0,'Données projet'!$E$12+1,1))</f>
        <v>381.72225529388083</v>
      </c>
      <c r="CE148" s="59">
        <f t="shared" si="148"/>
        <v>360.05900046417361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0.49338960155442946</v>
      </c>
      <c r="CL148" s="21">
        <f>EXP(-LN(2)/25)*CL147+(1-EXP(-LN(2)/25))/(LN(2)/25)*Calculateur!CG148*Calculateur!CI148*VLOOKUP('Données projet'!$B$12,Paramètres!$A$1:$I$89,3,0)*0.475*44/12</f>
        <v>0.46513313833236331</v>
      </c>
      <c r="CM148" s="21">
        <f>EXP(-LN(2)/2)*CM147+(1-EXP(-LN(2)/2))/(LN(2)/2)*CG148*CJ148*VLOOKUP('Données projet'!$B$12,Paramètres!$A$1:$I$89,3,0)*0.475*44/12</f>
        <v>3.4333534710538171E-17</v>
      </c>
      <c r="CN148" s="22">
        <f t="shared" si="120"/>
        <v>0.95852273988679282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-1.7053025658242404E-13</v>
      </c>
      <c r="CU148" s="17">
        <f>CT148*VLOOKUP('Données projet'!$B$13,Paramètres!$A$1:$I$89,3,0)*VLOOKUP('Données projet'!$B$13,Paramètres!$A$1:$I$89,5,0)</f>
        <v>-1.3567387213697657E-13</v>
      </c>
      <c r="CV148" s="13" t="e">
        <f t="shared" si="149"/>
        <v>#NUM!</v>
      </c>
      <c r="CW148" s="20" t="e">
        <f t="shared" si="121"/>
        <v>#NUM!</v>
      </c>
      <c r="CX148" s="59" t="e">
        <f t="shared" si="122"/>
        <v>#NUM!</v>
      </c>
      <c r="CY148" s="59">
        <f ca="1">AVERAGE(OFFSET($CX$3,0,0,'Données projet'!$E$13+1,1))-AVERAGE(OFFSET($H$3,0,0,'Données projet'!$E$13+1,1))</f>
        <v>299.10536994156814</v>
      </c>
      <c r="CZ148" s="59">
        <f t="shared" si="150"/>
        <v>292.57799203101769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0.86353418092484902</v>
      </c>
      <c r="DG148" s="21">
        <f>EXP(-LN(2)/25)*DG147+(1-EXP(-LN(2)/25))/(LN(2)/25)*Calculateur!DB148*Calculateur!DD148*VLOOKUP('Données projet'!$B$13,Paramètres!$A$1:$I$89,3,0)*0.475*44/12</f>
        <v>0.44585976145869305</v>
      </c>
      <c r="DH148" s="21">
        <f>EXP(-LN(2)/2)*DH147+(1-EXP(-LN(2)/2))/(LN(2)/2)*DB148*DE148*VLOOKUP('Données projet'!$B$13,Paramètres!$A$1:$I$89,3,0)*0.475*44/12</f>
        <v>4.4024649548350489E-17</v>
      </c>
      <c r="DI148" s="22">
        <f t="shared" si="123"/>
        <v>1.3093939423835421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2.2737367544323206E-13</v>
      </c>
      <c r="DP148" s="17">
        <f>DO148*VLOOKUP('Données projet'!$B$14,Paramètres!$A$1:$I$89,3,0)*VLOOKUP('Données projet'!$B$14,Paramètres!$A$1:$I$89,5,0)</f>
        <v>1.4897523215040565E-13</v>
      </c>
      <c r="DQ148" s="13">
        <f t="shared" si="151"/>
        <v>2.136562777003313E-12</v>
      </c>
      <c r="DR148" s="20">
        <f t="shared" si="124"/>
        <v>3.9806453659427267E-12</v>
      </c>
      <c r="DS148" s="59">
        <f t="shared" si="125"/>
        <v>293.33333333333729</v>
      </c>
      <c r="DT148" s="59">
        <f ca="1">AVERAGE(OFFSET($DS$3,0,0,'Données projet'!$E$14+1,1))-AVERAGE(OFFSET($H$3,0,0,'Données projet'!$E$14+1,1))</f>
        <v>295.92103934364718</v>
      </c>
      <c r="DU148" s="59">
        <f t="shared" si="152"/>
        <v>304.84379909635476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0.45737310407314796</v>
      </c>
      <c r="EB148" s="21">
        <f>EXP(-LN(2)/25)*EB147+(1-EXP(-LN(2)/25))/(LN(2)/25)*Calculateur!DW148*Calculateur!DY148*VLOOKUP('Données projet'!$B$14,Paramètres!$A$1:$I$89,3,0)*0.475*44/12</f>
        <v>0.29491625174197877</v>
      </c>
      <c r="EC148" s="21">
        <f>EXP(-LN(2)/2)*EC147+(1-EXP(-LN(2)/2))/(LN(2)/2)*DW148*DZ148*VLOOKUP('Données projet'!$B$14,Paramètres!$A$1:$I$89,3,0)*0.475*44/12</f>
        <v>2.8235730752003921E-17</v>
      </c>
      <c r="ED148" s="22">
        <f t="shared" si="126"/>
        <v>0.75228935581512668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-1.1368683772161603E-13</v>
      </c>
      <c r="O149" s="13">
        <f>N149*VLOOKUP('Données projet'!$B$9,Paramètres!$A$1:$I$89,3,0)*VLOOKUP('Données projet'!$B$9,Paramètres!$A$1:$I$89,5,0)</f>
        <v>-5.3205440053716299E-14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319.22903094674564</v>
      </c>
      <c r="T149" s="59">
        <f t="shared" si="142"/>
        <v>254.58690973142848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0.91243738356680837</v>
      </c>
      <c r="AA149" s="21">
        <f>EXP(-LN(2)/25)*AA148+(1-EXP(-LN(2)/25))/(LN(2)/25)*Calculateur!V149*Calculateur!X149*VLOOKUP('Données projet'!$B$9,Paramètres!$A$1:$I$89,3,0)*0.475*44/12</f>
        <v>0.44724666119114503</v>
      </c>
      <c r="AB149" s="21">
        <f>EXP(-LN(2)/2)*AB148+(1-EXP(-LN(2)/2))/(LN(2)/2)*V149*Y149*VLOOKUP('Données projet'!$B$9,Paramètres!$A$1:$I$89,3,0)*0.475*44/12</f>
        <v>3.83135490125643E-17</v>
      </c>
      <c r="AC149" s="22">
        <f t="shared" si="111"/>
        <v>1.3596840447579535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-3.4106051316484809E-13</v>
      </c>
      <c r="AJ149" s="13">
        <f>AI149*VLOOKUP('Données projet'!$B$10,Paramètres!$A$1:$I$89,3,0)*VLOOKUP('Données projet'!$B$10,Paramètres!$A$1:$I$89,5,0)</f>
        <v>-1.9065282685915009E-13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544.48194192356823</v>
      </c>
      <c r="AO149" s="59">
        <f t="shared" si="144"/>
        <v>668.20427590250733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0.73803327812199893</v>
      </c>
      <c r="AV149" s="21">
        <f>EXP(-LN(2)/25)*AV148+(1-EXP(-LN(2)/25))/(LN(2)/25)*Calculateur!AQ149*Calculateur!AS149*VLOOKUP('Données projet'!$B$10,Paramètres!$A$1:$I$89,3,0)*0.475*44/12</f>
        <v>1.7090509781611989</v>
      </c>
      <c r="AW149" s="21">
        <f>EXP(-LN(2)/2)*AW148+(1-EXP(-LN(2)/2))/(LN(2)/2)*AQ149*AT149*VLOOKUP('Données projet'!$B$10,Paramètres!$A$1:$I$89,3,0)*0.475*44/12</f>
        <v>5.0022339620264955E-17</v>
      </c>
      <c r="AX149" s="21">
        <f t="shared" si="114"/>
        <v>2.4470842562831976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>
        <f>BD149*VLOOKUP('Données projet'!$B$11,Paramètres!$A$1:$I$89,3,0)*VLOOKUP('Données projet'!$B$11,Paramètres!$A$1:$I$89,5,0)</f>
        <v>0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405.7176439604217</v>
      </c>
      <c r="BJ149" s="59">
        <f t="shared" si="146"/>
        <v>278.21741231699929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0.73472622555714717</v>
      </c>
      <c r="BQ149" s="21">
        <f>EXP(-LN(2)/25)*BQ148+(1-EXP(-LN(2)/25))/(LN(2)/25)*Calculateur!BL149*Calculateur!BN149*VLOOKUP('Données projet'!$B$11,Paramètres!$A$1:$I$89,3,0)*0.475*44/12</f>
        <v>0.37559323039575548</v>
      </c>
      <c r="BR149" s="21">
        <f>EXP(-LN(2)/2)*BR148+(1-EXP(-LN(2)/2))/(LN(2)/2)*BL149*BO149*VLOOKUP('Données projet'!$B$11,Paramètres!$A$1:$I$89,3,0)*0.475*44/12</f>
        <v>2.9611148912512075E-17</v>
      </c>
      <c r="BS149" s="22">
        <f t="shared" si="117"/>
        <v>1.1103194559529026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259.99999999999983</v>
      </c>
      <c r="BZ149" s="13">
        <f>BY149*VLOOKUP('Données projet'!$B$12,Paramètres!$A$1:$I$89,3,0)*VLOOKUP('Données projet'!$B$12,Paramètres!$A$1:$I$89,5,0)</f>
        <v>227.13599999999985</v>
      </c>
      <c r="CA149" s="13">
        <f t="shared" si="147"/>
        <v>55.662966886685133</v>
      </c>
      <c r="CB149" s="20">
        <f t="shared" si="118"/>
        <v>492.5415339943097</v>
      </c>
      <c r="CC149" s="59">
        <f t="shared" si="119"/>
        <v>785.87486732764296</v>
      </c>
      <c r="CD149" s="59">
        <f ca="1">AVERAGE(OFFSET($CC$3,0,0,'Données projet'!$E$12+1,1))-AVERAGE(OFFSET($H$3,0,0,'Données projet'!$E$12+1,1))</f>
        <v>381.72225529388083</v>
      </c>
      <c r="CE149" s="59">
        <f t="shared" si="148"/>
        <v>360.05900046417361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0.48371453240588891</v>
      </c>
      <c r="CL149" s="21">
        <f>EXP(-LN(2)/25)*CL148+(1-EXP(-LN(2)/25))/(LN(2)/25)*Calculateur!CG149*Calculateur!CI149*VLOOKUP('Données projet'!$B$12,Paramètres!$A$1:$I$89,3,0)*0.475*44/12</f>
        <v>0.45241404820437614</v>
      </c>
      <c r="CM149" s="21">
        <f>EXP(-LN(2)/2)*CM148+(1-EXP(-LN(2)/2))/(LN(2)/2)*CG149*CJ149*VLOOKUP('Données projet'!$B$12,Paramètres!$A$1:$I$89,3,0)*0.475*44/12</f>
        <v>2.4277475215925249E-17</v>
      </c>
      <c r="CN149" s="22">
        <f t="shared" si="120"/>
        <v>0.93612858061026505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-1.7053025658242404E-13</v>
      </c>
      <c r="CU149" s="17">
        <f>CT149*VLOOKUP('Données projet'!$B$13,Paramètres!$A$1:$I$89,3,0)*VLOOKUP('Données projet'!$B$13,Paramètres!$A$1:$I$89,5,0)</f>
        <v>-1.3567387213697657E-13</v>
      </c>
      <c r="CV149" s="13" t="e">
        <f t="shared" si="149"/>
        <v>#NUM!</v>
      </c>
      <c r="CW149" s="20" t="e">
        <f t="shared" si="121"/>
        <v>#NUM!</v>
      </c>
      <c r="CX149" s="59" t="e">
        <f t="shared" si="122"/>
        <v>#NUM!</v>
      </c>
      <c r="CY149" s="59">
        <f ca="1">AVERAGE(OFFSET($CX$3,0,0,'Données projet'!$E$13+1,1))-AVERAGE(OFFSET($H$3,0,0,'Données projet'!$E$13+1,1))</f>
        <v>299.10536994156814</v>
      </c>
      <c r="CZ149" s="59">
        <f t="shared" si="150"/>
        <v>292.57799203101769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0.84660080234075541</v>
      </c>
      <c r="DG149" s="21">
        <f>EXP(-LN(2)/25)*DG148+(1-EXP(-LN(2)/25))/(LN(2)/25)*Calculateur!DB149*Calculateur!DD149*VLOOKUP('Données projet'!$B$13,Paramètres!$A$1:$I$89,3,0)*0.475*44/12</f>
        <v>0.43366770283485928</v>
      </c>
      <c r="DH149" s="21">
        <f>EXP(-LN(2)/2)*DH148+(1-EXP(-LN(2)/2))/(LN(2)/2)*DB149*DE149*VLOOKUP('Données projet'!$B$13,Paramètres!$A$1:$I$89,3,0)*0.475*44/12</f>
        <v>3.1130128234999906E-17</v>
      </c>
      <c r="DI149" s="22">
        <f t="shared" si="123"/>
        <v>1.2802685051756146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2.2737367544323206E-13</v>
      </c>
      <c r="DP149" s="17">
        <f>DO149*VLOOKUP('Données projet'!$B$14,Paramètres!$A$1:$I$89,3,0)*VLOOKUP('Données projet'!$B$14,Paramètres!$A$1:$I$89,5,0)</f>
        <v>1.4897523215040565E-13</v>
      </c>
      <c r="DQ149" s="13">
        <f t="shared" si="151"/>
        <v>2.136562777003313E-12</v>
      </c>
      <c r="DR149" s="20">
        <f t="shared" si="124"/>
        <v>3.9806453659427267E-12</v>
      </c>
      <c r="DS149" s="59">
        <f t="shared" si="125"/>
        <v>293.33333333333729</v>
      </c>
      <c r="DT149" s="59">
        <f ca="1">AVERAGE(OFFSET($DS$3,0,0,'Données projet'!$E$14+1,1))-AVERAGE(OFFSET($H$3,0,0,'Données projet'!$E$14+1,1))</f>
        <v>295.92103934364718</v>
      </c>
      <c r="DU149" s="59">
        <f t="shared" si="152"/>
        <v>304.84379909635476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0.448404296472321</v>
      </c>
      <c r="EB149" s="21">
        <f>EXP(-LN(2)/25)*EB148+(1-EXP(-LN(2)/25))/(LN(2)/25)*Calculateur!DW149*Calculateur!DY149*VLOOKUP('Données projet'!$B$14,Paramètres!$A$1:$I$89,3,0)*0.475*44/12</f>
        <v>0.28685175132912272</v>
      </c>
      <c r="EC149" s="21">
        <f>EXP(-LN(2)/2)*EC148+(1-EXP(-LN(2)/2))/(LN(2)/2)*DW149*DZ149*VLOOKUP('Données projet'!$B$14,Paramètres!$A$1:$I$89,3,0)*0.475*44/12</f>
        <v>1.9965676686499508E-17</v>
      </c>
      <c r="ED149" s="22">
        <f t="shared" si="126"/>
        <v>0.73525604780144371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-1.1368683772161603E-13</v>
      </c>
      <c r="O150" s="13">
        <f>N150*VLOOKUP('Données projet'!$B$9,Paramètres!$A$1:$I$89,3,0)*VLOOKUP('Données projet'!$B$9,Paramètres!$A$1:$I$89,5,0)</f>
        <v>-5.3205440053716299E-14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319.22903094674564</v>
      </c>
      <c r="T150" s="59">
        <f t="shared" si="142"/>
        <v>254.58690973142848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0.89454504300691429</v>
      </c>
      <c r="AA150" s="21">
        <f>EXP(-LN(2)/25)*AA149+(1-EXP(-LN(2)/25))/(LN(2)/25)*Calculateur!V150*Calculateur!X150*VLOOKUP('Données projet'!$B$9,Paramètres!$A$1:$I$89,3,0)*0.475*44/12</f>
        <v>0.43501667772119346</v>
      </c>
      <c r="AB150" s="21">
        <f>EXP(-LN(2)/2)*AB149+(1-EXP(-LN(2)/2))/(LN(2)/2)*V150*Y150*VLOOKUP('Données projet'!$B$9,Paramètres!$A$1:$I$89,3,0)*0.475*44/12</f>
        <v>2.709177031810737E-17</v>
      </c>
      <c r="AC150" s="22">
        <f t="shared" si="111"/>
        <v>1.3295617207281079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-3.4106051316484809E-13</v>
      </c>
      <c r="AJ150" s="13">
        <f>AI150*VLOOKUP('Données projet'!$B$10,Paramètres!$A$1:$I$89,3,0)*VLOOKUP('Données projet'!$B$10,Paramètres!$A$1:$I$89,5,0)</f>
        <v>-1.9065282685915009E-13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544.48194192356823</v>
      </c>
      <c r="AO150" s="59">
        <f t="shared" si="144"/>
        <v>668.20427590250733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0.72356089569387694</v>
      </c>
      <c r="AV150" s="21">
        <f>EXP(-LN(2)/25)*AV149+(1-EXP(-LN(2)/25))/(LN(2)/25)*Calculateur!AQ150*Calculateur!AS150*VLOOKUP('Données projet'!$B$10,Paramètres!$A$1:$I$89,3,0)*0.475*44/12</f>
        <v>1.662316889288296</v>
      </c>
      <c r="AW150" s="21">
        <f>EXP(-LN(2)/2)*AW149+(1-EXP(-LN(2)/2))/(LN(2)/2)*AQ150*AT150*VLOOKUP('Données projet'!$B$10,Paramètres!$A$1:$I$89,3,0)*0.475*44/12</f>
        <v>3.5371135556305858E-17</v>
      </c>
      <c r="AX150" s="21">
        <f t="shared" si="114"/>
        <v>2.3858777849821728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>
        <f>BD150*VLOOKUP('Données projet'!$B$11,Paramètres!$A$1:$I$89,3,0)*VLOOKUP('Données projet'!$B$11,Paramètres!$A$1:$I$89,5,0)</f>
        <v>0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405.7176439604217</v>
      </c>
      <c r="BJ150" s="59">
        <f t="shared" si="146"/>
        <v>278.21741231699929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0.72031869241271906</v>
      </c>
      <c r="BQ150" s="21">
        <f>EXP(-LN(2)/25)*BQ149+(1-EXP(-LN(2)/25))/(LN(2)/25)*Calculateur!BL150*Calculateur!BN150*VLOOKUP('Données projet'!$B$11,Paramètres!$A$1:$I$89,3,0)*0.475*44/12</f>
        <v>0.365322613758994</v>
      </c>
      <c r="BR150" s="21">
        <f>EXP(-LN(2)/2)*BR149+(1-EXP(-LN(2)/2))/(LN(2)/2)*BL150*BO150*VLOOKUP('Données projet'!$B$11,Paramètres!$A$1:$I$89,3,0)*0.475*44/12</f>
        <v>2.0938244194761951E-17</v>
      </c>
      <c r="BS150" s="22">
        <f t="shared" si="117"/>
        <v>1.0856413061717132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259.99999999999983</v>
      </c>
      <c r="BZ150" s="13">
        <f>BY150*VLOOKUP('Données projet'!$B$12,Paramètres!$A$1:$I$89,3,0)*VLOOKUP('Données projet'!$B$12,Paramètres!$A$1:$I$89,5,0)</f>
        <v>227.13599999999985</v>
      </c>
      <c r="CA150" s="13">
        <f t="shared" si="147"/>
        <v>55.662966886685133</v>
      </c>
      <c r="CB150" s="20">
        <f t="shared" si="118"/>
        <v>492.5415339943097</v>
      </c>
      <c r="CC150" s="59">
        <f t="shared" si="119"/>
        <v>785.87486732764296</v>
      </c>
      <c r="CD150" s="59">
        <f ca="1">AVERAGE(OFFSET($CC$3,0,0,'Données projet'!$E$12+1,1))-AVERAGE(OFFSET($H$3,0,0,'Données projet'!$E$12+1,1))</f>
        <v>381.72225529388083</v>
      </c>
      <c r="CE150" s="59">
        <f t="shared" si="148"/>
        <v>360.05900046417361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0.47422918546214171</v>
      </c>
      <c r="CL150" s="21">
        <f>EXP(-LN(2)/25)*CL149+(1-EXP(-LN(2)/25))/(LN(2)/25)*Calculateur!CG150*Calculateur!CI150*VLOOKUP('Données projet'!$B$12,Paramètres!$A$1:$I$89,3,0)*0.475*44/12</f>
        <v>0.44004276226480671</v>
      </c>
      <c r="CM150" s="21">
        <f>EXP(-LN(2)/2)*CM149+(1-EXP(-LN(2)/2))/(LN(2)/2)*CG150*CJ150*VLOOKUP('Données projet'!$B$12,Paramètres!$A$1:$I$89,3,0)*0.475*44/12</f>
        <v>1.7166767355269086E-17</v>
      </c>
      <c r="CN150" s="22">
        <f t="shared" si="120"/>
        <v>0.91427194772694842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-1.7053025658242404E-13</v>
      </c>
      <c r="CU150" s="17">
        <f>CT150*VLOOKUP('Données projet'!$B$13,Paramètres!$A$1:$I$89,3,0)*VLOOKUP('Données projet'!$B$13,Paramètres!$A$1:$I$89,5,0)</f>
        <v>-1.3567387213697657E-13</v>
      </c>
      <c r="CV150" s="13" t="e">
        <f t="shared" si="149"/>
        <v>#NUM!</v>
      </c>
      <c r="CW150" s="20" t="e">
        <f t="shared" si="121"/>
        <v>#NUM!</v>
      </c>
      <c r="CX150" s="59" t="e">
        <f t="shared" si="122"/>
        <v>#NUM!</v>
      </c>
      <c r="CY150" s="59">
        <f ca="1">AVERAGE(OFFSET($CX$3,0,0,'Données projet'!$E$13+1,1))-AVERAGE(OFFSET($H$3,0,0,'Données projet'!$E$13+1,1))</f>
        <v>299.10536994156814</v>
      </c>
      <c r="CZ150" s="59">
        <f t="shared" si="150"/>
        <v>292.57799203101769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0.82999947698235477</v>
      </c>
      <c r="DG150" s="21">
        <f>EXP(-LN(2)/25)*DG149+(1-EXP(-LN(2)/25))/(LN(2)/25)*Calculateur!DB150*Calculateur!DD150*VLOOKUP('Données projet'!$B$13,Paramètres!$A$1:$I$89,3,0)*0.475*44/12</f>
        <v>0.42180903669524672</v>
      </c>
      <c r="DH150" s="21">
        <f>EXP(-LN(2)/2)*DH149+(1-EXP(-LN(2)/2))/(LN(2)/2)*DB150*DE150*VLOOKUP('Données projet'!$B$13,Paramètres!$A$1:$I$89,3,0)*0.475*44/12</f>
        <v>2.2012324774175244E-17</v>
      </c>
      <c r="DI150" s="22">
        <f t="shared" si="123"/>
        <v>1.2518085136776014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2.2737367544323206E-13</v>
      </c>
      <c r="DP150" s="17">
        <f>DO150*VLOOKUP('Données projet'!$B$14,Paramètres!$A$1:$I$89,3,0)*VLOOKUP('Données projet'!$B$14,Paramètres!$A$1:$I$89,5,0)</f>
        <v>1.4897523215040565E-13</v>
      </c>
      <c r="DQ150" s="13">
        <f t="shared" si="151"/>
        <v>2.136562777003313E-12</v>
      </c>
      <c r="DR150" s="20">
        <f t="shared" si="124"/>
        <v>3.9806453659427267E-12</v>
      </c>
      <c r="DS150" s="59">
        <f t="shared" si="125"/>
        <v>293.33333333333729</v>
      </c>
      <c r="DT150" s="59">
        <f ca="1">AVERAGE(OFFSET($DS$3,0,0,'Données projet'!$E$14+1,1))-AVERAGE(OFFSET($H$3,0,0,'Données projet'!$E$14+1,1))</f>
        <v>295.92103934364718</v>
      </c>
      <c r="DU150" s="59">
        <f t="shared" si="152"/>
        <v>304.84379909635476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0.43961136171811377</v>
      </c>
      <c r="EB150" s="21">
        <f>EXP(-LN(2)/25)*EB149+(1-EXP(-LN(2)/25))/(LN(2)/25)*Calculateur!DW150*Calculateur!DY150*VLOOKUP('Données projet'!$B$14,Paramètres!$A$1:$I$89,3,0)*0.475*44/12</f>
        <v>0.27900777510414987</v>
      </c>
      <c r="EC150" s="21">
        <f>EXP(-LN(2)/2)*EC149+(1-EXP(-LN(2)/2))/(LN(2)/2)*DW150*DZ150*VLOOKUP('Données projet'!$B$14,Paramètres!$A$1:$I$89,3,0)*0.475*44/12</f>
        <v>1.411786537600196E-17</v>
      </c>
      <c r="ED150" s="22">
        <f t="shared" si="126"/>
        <v>0.71861913682226364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-1.1368683772161603E-13</v>
      </c>
      <c r="O151" s="13">
        <f>N151*VLOOKUP('Données projet'!$B$9,Paramètres!$A$1:$I$89,3,0)*VLOOKUP('Données projet'!$B$9,Paramètres!$A$1:$I$89,5,0)</f>
        <v>-5.3205440053716299E-14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319.22903094674564</v>
      </c>
      <c r="T151" s="59">
        <f t="shared" si="142"/>
        <v>254.58690973142848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0.87700356033214955</v>
      </c>
      <c r="AA151" s="21">
        <f>EXP(-LN(2)/25)*AA150+(1-EXP(-LN(2)/25))/(LN(2)/25)*Calculateur!V151*Calculateur!X151*VLOOKUP('Données projet'!$B$9,Paramètres!$A$1:$I$89,3,0)*0.475*44/12</f>
        <v>0.4231211237923746</v>
      </c>
      <c r="AB151" s="21">
        <f>EXP(-LN(2)/2)*AB150+(1-EXP(-LN(2)/2))/(LN(2)/2)*V151*Y151*VLOOKUP('Données projet'!$B$9,Paramètres!$A$1:$I$89,3,0)*0.475*44/12</f>
        <v>1.9156774506282153E-17</v>
      </c>
      <c r="AC151" s="22">
        <f t="shared" si="111"/>
        <v>1.3001246841245242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-3.4106051316484809E-13</v>
      </c>
      <c r="AJ151" s="13">
        <f>AI151*VLOOKUP('Données projet'!$B$10,Paramètres!$A$1:$I$89,3,0)*VLOOKUP('Données projet'!$B$10,Paramètres!$A$1:$I$89,5,0)</f>
        <v>-1.9065282685915009E-13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544.48194192356823</v>
      </c>
      <c r="AO151" s="59">
        <f t="shared" si="144"/>
        <v>668.20427590250733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0.70937230785788885</v>
      </c>
      <c r="AV151" s="21">
        <f>EXP(-LN(2)/25)*AV150+(1-EXP(-LN(2)/25))/(LN(2)/25)*Calculateur!AQ151*Calculateur!AS151*VLOOKUP('Données projet'!$B$10,Paramètres!$A$1:$I$89,3,0)*0.475*44/12</f>
        <v>1.6168607465332616</v>
      </c>
      <c r="AW151" s="21">
        <f>EXP(-LN(2)/2)*AW150+(1-EXP(-LN(2)/2))/(LN(2)/2)*AQ151*AT151*VLOOKUP('Données projet'!$B$10,Paramètres!$A$1:$I$89,3,0)*0.475*44/12</f>
        <v>2.5011169810132477E-17</v>
      </c>
      <c r="AX151" s="21">
        <f t="shared" si="114"/>
        <v>2.3262330543911505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>
        <f>BD151*VLOOKUP('Données projet'!$B$11,Paramètres!$A$1:$I$89,3,0)*VLOOKUP('Données projet'!$B$11,Paramètres!$A$1:$I$89,5,0)</f>
        <v>0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405.7176439604217</v>
      </c>
      <c r="BJ151" s="59">
        <f t="shared" si="146"/>
        <v>278.21741231699929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0.7061936822055257</v>
      </c>
      <c r="BQ151" s="21">
        <f>EXP(-LN(2)/25)*BQ150+(1-EXP(-LN(2)/25))/(LN(2)/25)*Calculateur!BL151*Calculateur!BN151*VLOOKUP('Données projet'!$B$11,Paramètres!$A$1:$I$89,3,0)*0.475*44/12</f>
        <v>0.35533284767427298</v>
      </c>
      <c r="BR151" s="21">
        <f>EXP(-LN(2)/2)*BR150+(1-EXP(-LN(2)/2))/(LN(2)/2)*BL151*BO151*VLOOKUP('Données projet'!$B$11,Paramètres!$A$1:$I$89,3,0)*0.475*44/12</f>
        <v>1.4805574456256037E-17</v>
      </c>
      <c r="BS151" s="22">
        <f t="shared" si="117"/>
        <v>1.0615265298797987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259.99999999999983</v>
      </c>
      <c r="BZ151" s="13">
        <f>BY151*VLOOKUP('Données projet'!$B$12,Paramètres!$A$1:$I$89,3,0)*VLOOKUP('Données projet'!$B$12,Paramètres!$A$1:$I$89,5,0)</f>
        <v>227.13599999999985</v>
      </c>
      <c r="CA151" s="13">
        <f t="shared" si="147"/>
        <v>55.662966886685133</v>
      </c>
      <c r="CB151" s="20">
        <f t="shared" si="118"/>
        <v>492.5415339943097</v>
      </c>
      <c r="CC151" s="59">
        <f t="shared" si="119"/>
        <v>785.87486732764296</v>
      </c>
      <c r="CD151" s="59">
        <f ca="1">AVERAGE(OFFSET($CC$3,0,0,'Données projet'!$E$12+1,1))-AVERAGE(OFFSET($H$3,0,0,'Données projet'!$E$12+1,1))</f>
        <v>381.72225529388083</v>
      </c>
      <c r="CE151" s="59">
        <f t="shared" si="148"/>
        <v>360.05900046417361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0.46492984038647106</v>
      </c>
      <c r="CL151" s="21">
        <f>EXP(-LN(2)/25)*CL150+(1-EXP(-LN(2)/25))/(LN(2)/25)*Calculateur!CG151*Calculateur!CI151*VLOOKUP('Données projet'!$B$12,Paramètres!$A$1:$I$89,3,0)*0.475*44/12</f>
        <v>0.42800976978983241</v>
      </c>
      <c r="CM151" s="21">
        <f>EXP(-LN(2)/2)*CM150+(1-EXP(-LN(2)/2))/(LN(2)/2)*CG151*CJ151*VLOOKUP('Données projet'!$B$12,Paramètres!$A$1:$I$89,3,0)*0.475*44/12</f>
        <v>1.2138737607962625E-17</v>
      </c>
      <c r="CN151" s="22">
        <f t="shared" si="120"/>
        <v>0.89293961017630341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-1.7053025658242404E-13</v>
      </c>
      <c r="CU151" s="17">
        <f>CT151*VLOOKUP('Données projet'!$B$13,Paramètres!$A$1:$I$89,3,0)*VLOOKUP('Données projet'!$B$13,Paramètres!$A$1:$I$89,5,0)</f>
        <v>-1.3567387213697657E-13</v>
      </c>
      <c r="CV151" s="13" t="e">
        <f t="shared" si="149"/>
        <v>#NUM!</v>
      </c>
      <c r="CW151" s="20" t="e">
        <f t="shared" si="121"/>
        <v>#NUM!</v>
      </c>
      <c r="CX151" s="59" t="e">
        <f t="shared" si="122"/>
        <v>#NUM!</v>
      </c>
      <c r="CY151" s="59">
        <f ca="1">AVERAGE(OFFSET($CX$3,0,0,'Données projet'!$E$13+1,1))-AVERAGE(OFFSET($H$3,0,0,'Données projet'!$E$13+1,1))</f>
        <v>299.10536994156814</v>
      </c>
      <c r="CZ151" s="59">
        <f t="shared" si="150"/>
        <v>292.57799203101769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0.81372369348842377</v>
      </c>
      <c r="DG151" s="21">
        <f>EXP(-LN(2)/25)*DG150+(1-EXP(-LN(2)/25))/(LN(2)/25)*Calculateur!DB151*Calculateur!DD151*VLOOKUP('Données projet'!$B$13,Paramètres!$A$1:$I$89,3,0)*0.475*44/12</f>
        <v>0.41027464640484201</v>
      </c>
      <c r="DH151" s="21">
        <f>EXP(-LN(2)/2)*DH150+(1-EXP(-LN(2)/2))/(LN(2)/2)*DB151*DE151*VLOOKUP('Données projet'!$B$13,Paramètres!$A$1:$I$89,3,0)*0.475*44/12</f>
        <v>1.5565064117499953E-17</v>
      </c>
      <c r="DI151" s="22">
        <f t="shared" si="123"/>
        <v>1.2239983398932659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2.2737367544323206E-13</v>
      </c>
      <c r="DP151" s="17">
        <f>DO151*VLOOKUP('Données projet'!$B$14,Paramètres!$A$1:$I$89,3,0)*VLOOKUP('Données projet'!$B$14,Paramètres!$A$1:$I$89,5,0)</f>
        <v>1.4897523215040565E-13</v>
      </c>
      <c r="DQ151" s="13">
        <f t="shared" si="151"/>
        <v>2.136562777003313E-12</v>
      </c>
      <c r="DR151" s="20">
        <f t="shared" si="124"/>
        <v>3.9806453659427267E-12</v>
      </c>
      <c r="DS151" s="59">
        <f t="shared" si="125"/>
        <v>293.33333333333729</v>
      </c>
      <c r="DT151" s="59">
        <f ca="1">AVERAGE(OFFSET($DS$3,0,0,'Données projet'!$E$14+1,1))-AVERAGE(OFFSET($H$3,0,0,'Données projet'!$E$14+1,1))</f>
        <v>295.92103934364718</v>
      </c>
      <c r="DU151" s="59">
        <f t="shared" si="152"/>
        <v>304.84379909635476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0.43099085105127594</v>
      </c>
      <c r="EB151" s="21">
        <f>EXP(-LN(2)/25)*EB150+(1-EXP(-LN(2)/25))/(LN(2)/25)*Calculateur!DW151*Calculateur!DY151*VLOOKUP('Données projet'!$B$14,Paramètres!$A$1:$I$89,3,0)*0.475*44/12</f>
        <v>0.27137829282154569</v>
      </c>
      <c r="EC151" s="21">
        <f>EXP(-LN(2)/2)*EC150+(1-EXP(-LN(2)/2))/(LN(2)/2)*DW151*DZ151*VLOOKUP('Données projet'!$B$14,Paramètres!$A$1:$I$89,3,0)*0.475*44/12</f>
        <v>9.9828383432497538E-18</v>
      </c>
      <c r="ED151" s="22">
        <f t="shared" si="126"/>
        <v>0.70236914387282168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-1.1368683772161603E-13</v>
      </c>
      <c r="O152" s="13">
        <f>N152*VLOOKUP('Données projet'!$B$9,Paramètres!$A$1:$I$89,3,0)*VLOOKUP('Données projet'!$B$9,Paramètres!$A$1:$I$89,5,0)</f>
        <v>-5.3205440053716299E-14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319.22903094674564</v>
      </c>
      <c r="T152" s="59">
        <f t="shared" si="142"/>
        <v>254.58690973142848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0.85980605543338895</v>
      </c>
      <c r="AA152" s="21">
        <f>EXP(-LN(2)/25)*AA151+(1-EXP(-LN(2)/25))/(LN(2)/25)*Calculateur!V152*Calculateur!X152*VLOOKUP('Données projet'!$B$9,Paramètres!$A$1:$I$89,3,0)*0.475*44/12</f>
        <v>0.41155085441129929</v>
      </c>
      <c r="AB152" s="21">
        <f>EXP(-LN(2)/2)*AB151+(1-EXP(-LN(2)/2))/(LN(2)/2)*V152*Y152*VLOOKUP('Données projet'!$B$9,Paramètres!$A$1:$I$89,3,0)*0.475*44/12</f>
        <v>1.3545885159053686E-17</v>
      </c>
      <c r="AC152" s="22">
        <f t="shared" si="111"/>
        <v>1.2713569098446882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-3.4106051316484809E-13</v>
      </c>
      <c r="AJ152" s="13">
        <f>AI152*VLOOKUP('Données projet'!$B$10,Paramètres!$A$1:$I$89,3,0)*VLOOKUP('Données projet'!$B$10,Paramètres!$A$1:$I$89,5,0)</f>
        <v>-1.9065282685915009E-13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544.48194192356823</v>
      </c>
      <c r="AO152" s="59">
        <f t="shared" si="144"/>
        <v>668.20427590250733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0.69546194957518037</v>
      </c>
      <c r="AV152" s="21">
        <f>EXP(-LN(2)/25)*AV151+(1-EXP(-LN(2)/25))/(LN(2)/25)*Calculateur!AQ152*Calculateur!AS152*VLOOKUP('Données projet'!$B$10,Paramètres!$A$1:$I$89,3,0)*0.475*44/12</f>
        <v>1.5726476043922983</v>
      </c>
      <c r="AW152" s="21">
        <f>EXP(-LN(2)/2)*AW151+(1-EXP(-LN(2)/2))/(LN(2)/2)*AQ152*AT152*VLOOKUP('Données projet'!$B$10,Paramètres!$A$1:$I$89,3,0)*0.475*44/12</f>
        <v>1.7685567778152929E-17</v>
      </c>
      <c r="AX152" s="21">
        <f t="shared" si="114"/>
        <v>2.2681095539674789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>
        <f>BD152*VLOOKUP('Données projet'!$B$11,Paramètres!$A$1:$I$89,3,0)*VLOOKUP('Données projet'!$B$11,Paramètres!$A$1:$I$89,5,0)</f>
        <v>0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405.7176439604217</v>
      </c>
      <c r="BJ152" s="59">
        <f t="shared" si="146"/>
        <v>278.21741231699929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0.69234565483308985</v>
      </c>
      <c r="BQ152" s="21">
        <f>EXP(-LN(2)/25)*BQ151+(1-EXP(-LN(2)/25))/(LN(2)/25)*Calculateur!BL152*Calculateur!BN152*VLOOKUP('Données projet'!$B$11,Paramètres!$A$1:$I$89,3,0)*0.475*44/12</f>
        <v>0.34561625226847764</v>
      </c>
      <c r="BR152" s="21">
        <f>EXP(-LN(2)/2)*BR151+(1-EXP(-LN(2)/2))/(LN(2)/2)*BL152*BO152*VLOOKUP('Données projet'!$B$11,Paramètres!$A$1:$I$89,3,0)*0.475*44/12</f>
        <v>1.0469122097380975E-17</v>
      </c>
      <c r="BS152" s="22">
        <f t="shared" si="117"/>
        <v>1.0379619071015675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259.99999999999983</v>
      </c>
      <c r="BZ152" s="13">
        <f>BY152*VLOOKUP('Données projet'!$B$12,Paramètres!$A$1:$I$89,3,0)*VLOOKUP('Données projet'!$B$12,Paramètres!$A$1:$I$89,5,0)</f>
        <v>227.13599999999985</v>
      </c>
      <c r="CA152" s="13">
        <f t="shared" si="147"/>
        <v>55.662966886685133</v>
      </c>
      <c r="CB152" s="20">
        <f t="shared" si="118"/>
        <v>492.5415339943097</v>
      </c>
      <c r="CC152" s="59">
        <f t="shared" si="119"/>
        <v>785.87486732764296</v>
      </c>
      <c r="CD152" s="59">
        <f ca="1">AVERAGE(OFFSET($CC$3,0,0,'Données projet'!$E$12+1,1))-AVERAGE(OFFSET($H$3,0,0,'Données projet'!$E$12+1,1))</f>
        <v>381.72225529388083</v>
      </c>
      <c r="CE152" s="59">
        <f t="shared" si="148"/>
        <v>360.05900046417361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0.45581284979569386</v>
      </c>
      <c r="CL152" s="21">
        <f>EXP(-LN(2)/25)*CL151+(1-EXP(-LN(2)/25))/(LN(2)/25)*Calculateur!CG152*Calculateur!CI152*VLOOKUP('Données projet'!$B$12,Paramètres!$A$1:$I$89,3,0)*0.475*44/12</f>
        <v>0.41630582012687389</v>
      </c>
      <c r="CM152" s="21">
        <f>EXP(-LN(2)/2)*CM151+(1-EXP(-LN(2)/2))/(LN(2)/2)*CG152*CJ152*VLOOKUP('Données projet'!$B$12,Paramètres!$A$1:$I$89,3,0)*0.475*44/12</f>
        <v>8.5833836776345428E-18</v>
      </c>
      <c r="CN152" s="22">
        <f t="shared" si="120"/>
        <v>0.87211866992256781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-1.7053025658242404E-13</v>
      </c>
      <c r="CU152" s="17">
        <f>CT152*VLOOKUP('Données projet'!$B$13,Paramètres!$A$1:$I$89,3,0)*VLOOKUP('Données projet'!$B$13,Paramètres!$A$1:$I$89,5,0)</f>
        <v>-1.3567387213697657E-13</v>
      </c>
      <c r="CV152" s="13" t="e">
        <f t="shared" si="149"/>
        <v>#NUM!</v>
      </c>
      <c r="CW152" s="20" t="e">
        <f t="shared" si="121"/>
        <v>#NUM!</v>
      </c>
      <c r="CX152" s="59" t="e">
        <f t="shared" si="122"/>
        <v>#NUM!</v>
      </c>
      <c r="CY152" s="59">
        <f ca="1">AVERAGE(OFFSET($CX$3,0,0,'Données projet'!$E$13+1,1))-AVERAGE(OFFSET($H$3,0,0,'Données projet'!$E$13+1,1))</f>
        <v>299.10536994156814</v>
      </c>
      <c r="CZ152" s="59">
        <f t="shared" si="150"/>
        <v>292.57799203101769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0.79776706818156107</v>
      </c>
      <c r="DG152" s="21">
        <f>EXP(-LN(2)/25)*DG151+(1-EXP(-LN(2)/25))/(LN(2)/25)*Calculateur!DB152*Calculateur!DD152*VLOOKUP('Données projet'!$B$13,Paramètres!$A$1:$I$89,3,0)*0.475*44/12</f>
        <v>0.39905566462349568</v>
      </c>
      <c r="DH152" s="21">
        <f>EXP(-LN(2)/2)*DH151+(1-EXP(-LN(2)/2))/(LN(2)/2)*DB152*DE152*VLOOKUP('Données projet'!$B$13,Paramètres!$A$1:$I$89,3,0)*0.475*44/12</f>
        <v>1.1006162387087622E-17</v>
      </c>
      <c r="DI152" s="22">
        <f t="shared" si="123"/>
        <v>1.1968227328050567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2.2737367544323206E-13</v>
      </c>
      <c r="DP152" s="17">
        <f>DO152*VLOOKUP('Données projet'!$B$14,Paramètres!$A$1:$I$89,3,0)*VLOOKUP('Données projet'!$B$14,Paramètres!$A$1:$I$89,5,0)</f>
        <v>1.4897523215040565E-13</v>
      </c>
      <c r="DQ152" s="13">
        <f t="shared" si="151"/>
        <v>2.136562777003313E-12</v>
      </c>
      <c r="DR152" s="20">
        <f t="shared" si="124"/>
        <v>3.9806453659427267E-12</v>
      </c>
      <c r="DS152" s="59">
        <f t="shared" si="125"/>
        <v>293.33333333333729</v>
      </c>
      <c r="DT152" s="59">
        <f ca="1">AVERAGE(OFFSET($DS$3,0,0,'Données projet'!$E$14+1,1))-AVERAGE(OFFSET($H$3,0,0,'Données projet'!$E$14+1,1))</f>
        <v>295.92103934364718</v>
      </c>
      <c r="DU152" s="59">
        <f t="shared" si="152"/>
        <v>304.84379909635476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0.42253938334062247</v>
      </c>
      <c r="EB152" s="21">
        <f>EXP(-LN(2)/25)*EB151+(1-EXP(-LN(2)/25))/(LN(2)/25)*Calculateur!DW152*Calculateur!DY152*VLOOKUP('Données projet'!$B$14,Paramètres!$A$1:$I$89,3,0)*0.475*44/12</f>
        <v>0.26395743913317632</v>
      </c>
      <c r="EC152" s="21">
        <f>EXP(-LN(2)/2)*EC151+(1-EXP(-LN(2)/2))/(LN(2)/2)*DW152*DZ152*VLOOKUP('Données projet'!$B$14,Paramètres!$A$1:$I$89,3,0)*0.475*44/12</f>
        <v>7.0589326880009802E-18</v>
      </c>
      <c r="ED152" s="22">
        <f t="shared" si="126"/>
        <v>0.68649682247379884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-1.1368683772161603E-13</v>
      </c>
      <c r="O153" s="13">
        <f>N153*VLOOKUP('Données projet'!$B$9,Paramètres!$A$1:$I$89,3,0)*VLOOKUP('Données projet'!$B$9,Paramètres!$A$1:$I$89,5,0)</f>
        <v>-5.3205440053716299E-14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319.22903094674564</v>
      </c>
      <c r="T153" s="59">
        <f t="shared" si="142"/>
        <v>254.58690973142848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0.8429457831162509</v>
      </c>
      <c r="AA153" s="21">
        <f>EXP(-LN(2)/25)*AA152+(1-EXP(-LN(2)/25))/(LN(2)/25)*Calculateur!V153*Calculateur!X153*VLOOKUP('Données projet'!$B$9,Paramètres!$A$1:$I$89,3,0)*0.475*44/12</f>
        <v>0.40029697465490349</v>
      </c>
      <c r="AB153" s="21">
        <f>EXP(-LN(2)/2)*AB152+(1-EXP(-LN(2)/2))/(LN(2)/2)*V153*Y153*VLOOKUP('Données projet'!$B$9,Paramètres!$A$1:$I$89,3,0)*0.475*44/12</f>
        <v>9.578387253141078E-18</v>
      </c>
      <c r="AC153" s="22">
        <f t="shared" si="111"/>
        <v>1.2432427577711544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-3.4106051316484809E-13</v>
      </c>
      <c r="AJ153" s="13">
        <f>AI153*VLOOKUP('Données projet'!$B$10,Paramètres!$A$1:$I$89,3,0)*VLOOKUP('Données projet'!$B$10,Paramètres!$A$1:$I$89,5,0)</f>
        <v>-1.9065282685915009E-13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544.48194192356823</v>
      </c>
      <c r="AO153" s="59">
        <f t="shared" si="144"/>
        <v>668.20427590250733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0.68182436493391507</v>
      </c>
      <c r="AV153" s="21">
        <f>EXP(-LN(2)/25)*AV152+(1-EXP(-LN(2)/25))/(LN(2)/25)*Calculateur!AQ153*Calculateur!AS153*VLOOKUP('Données projet'!$B$10,Paramètres!$A$1:$I$89,3,0)*0.475*44/12</f>
        <v>1.5296434729482478</v>
      </c>
      <c r="AW153" s="21">
        <f>EXP(-LN(2)/2)*AW152+(1-EXP(-LN(2)/2))/(LN(2)/2)*AQ153*AT153*VLOOKUP('Données projet'!$B$10,Paramètres!$A$1:$I$89,3,0)*0.475*44/12</f>
        <v>1.2505584905066239E-17</v>
      </c>
      <c r="AX153" s="21">
        <f t="shared" si="114"/>
        <v>2.2114678378821626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>
        <f>BD153*VLOOKUP('Données projet'!$B$11,Paramètres!$A$1:$I$89,3,0)*VLOOKUP('Données projet'!$B$11,Paramètres!$A$1:$I$89,5,0)</f>
        <v>0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405.7176439604217</v>
      </c>
      <c r="BJ153" s="59">
        <f t="shared" si="146"/>
        <v>278.21741231699929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0.67876917883096477</v>
      </c>
      <c r="BQ153" s="21">
        <f>EXP(-LN(2)/25)*BQ152+(1-EXP(-LN(2)/25))/(LN(2)/25)*Calculateur!BL153*Calculateur!BN153*VLOOKUP('Données projet'!$B$11,Paramètres!$A$1:$I$89,3,0)*0.475*44/12</f>
        <v>0.33616535767502731</v>
      </c>
      <c r="BR153" s="21">
        <f>EXP(-LN(2)/2)*BR152+(1-EXP(-LN(2)/2))/(LN(2)/2)*BL153*BO153*VLOOKUP('Données projet'!$B$11,Paramètres!$A$1:$I$89,3,0)*0.475*44/12</f>
        <v>7.4027872281280187E-18</v>
      </c>
      <c r="BS153" s="22">
        <f t="shared" si="117"/>
        <v>1.0149345365059921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259.99999999999983</v>
      </c>
      <c r="BZ153" s="13">
        <f>BY153*VLOOKUP('Données projet'!$B$12,Paramètres!$A$1:$I$89,3,0)*VLOOKUP('Données projet'!$B$12,Paramètres!$A$1:$I$89,5,0)</f>
        <v>227.13599999999985</v>
      </c>
      <c r="CA153" s="13">
        <f t="shared" si="147"/>
        <v>55.662966886685133</v>
      </c>
      <c r="CB153" s="20">
        <f t="shared" si="118"/>
        <v>492.5415339943097</v>
      </c>
      <c r="CC153" s="59">
        <f t="shared" si="119"/>
        <v>785.87486732764296</v>
      </c>
      <c r="CD153" s="59">
        <f ca="1">AVERAGE(OFFSET($CC$3,0,0,'Données projet'!$E$12+1,1))-AVERAGE(OFFSET($H$3,0,0,'Données projet'!$E$12+1,1))</f>
        <v>381.72225529388083</v>
      </c>
      <c r="CE153" s="59">
        <f t="shared" si="148"/>
        <v>360.05900046417361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0.44687463782958664</v>
      </c>
      <c r="CL153" s="21">
        <f>EXP(-LN(2)/25)*CL152+(1-EXP(-LN(2)/25))/(LN(2)/25)*Calculateur!CG153*Calculateur!CI153*VLOOKUP('Données projet'!$B$12,Paramètres!$A$1:$I$89,3,0)*0.475*44/12</f>
        <v>0.40492191558293295</v>
      </c>
      <c r="CM153" s="21">
        <f>EXP(-LN(2)/2)*CM152+(1-EXP(-LN(2)/2))/(LN(2)/2)*CG153*CJ153*VLOOKUP('Données projet'!$B$12,Paramètres!$A$1:$I$89,3,0)*0.475*44/12</f>
        <v>6.0693688039813123E-18</v>
      </c>
      <c r="CN153" s="22">
        <f t="shared" si="120"/>
        <v>0.85179655341251959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-1.7053025658242404E-13</v>
      </c>
      <c r="CU153" s="17">
        <f>CT153*VLOOKUP('Données projet'!$B$13,Paramètres!$A$1:$I$89,3,0)*VLOOKUP('Données projet'!$B$13,Paramètres!$A$1:$I$89,5,0)</f>
        <v>-1.3567387213697657E-13</v>
      </c>
      <c r="CV153" s="13" t="e">
        <f t="shared" si="149"/>
        <v>#NUM!</v>
      </c>
      <c r="CW153" s="20" t="e">
        <f t="shared" si="121"/>
        <v>#NUM!</v>
      </c>
      <c r="CX153" s="59" t="e">
        <f t="shared" si="122"/>
        <v>#NUM!</v>
      </c>
      <c r="CY153" s="59">
        <f ca="1">AVERAGE(OFFSET($CX$3,0,0,'Données projet'!$E$13+1,1))-AVERAGE(OFFSET($H$3,0,0,'Données projet'!$E$13+1,1))</f>
        <v>299.10536994156814</v>
      </c>
      <c r="CZ153" s="59">
        <f t="shared" si="150"/>
        <v>292.57799203101769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0.78212334256438554</v>
      </c>
      <c r="DG153" s="21">
        <f>EXP(-LN(2)/25)*DG152+(1-EXP(-LN(2)/25))/(LN(2)/25)*Calculateur!DB153*Calculateur!DD153*VLOOKUP('Données projet'!$B$13,Paramètres!$A$1:$I$89,3,0)*0.475*44/12</f>
        <v>0.38814346648894082</v>
      </c>
      <c r="DH153" s="21">
        <f>EXP(-LN(2)/2)*DH152+(1-EXP(-LN(2)/2))/(LN(2)/2)*DB153*DE153*VLOOKUP('Données projet'!$B$13,Paramètres!$A$1:$I$89,3,0)*0.475*44/12</f>
        <v>7.7825320587499766E-18</v>
      </c>
      <c r="DI153" s="22">
        <f t="shared" si="123"/>
        <v>1.1702668090533264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2.2737367544323206E-13</v>
      </c>
      <c r="DP153" s="17">
        <f>DO153*VLOOKUP('Données projet'!$B$14,Paramètres!$A$1:$I$89,3,0)*VLOOKUP('Données projet'!$B$14,Paramètres!$A$1:$I$89,5,0)</f>
        <v>1.4897523215040565E-13</v>
      </c>
      <c r="DQ153" s="13">
        <f t="shared" si="151"/>
        <v>2.136562777003313E-12</v>
      </c>
      <c r="DR153" s="20">
        <f t="shared" si="124"/>
        <v>3.9806453659427267E-12</v>
      </c>
      <c r="DS153" s="59">
        <f t="shared" si="125"/>
        <v>293.33333333333729</v>
      </c>
      <c r="DT153" s="59">
        <f ca="1">AVERAGE(OFFSET($DS$3,0,0,'Données projet'!$E$14+1,1))-AVERAGE(OFFSET($H$3,0,0,'Données projet'!$E$14+1,1))</f>
        <v>295.92103934364718</v>
      </c>
      <c r="DU153" s="59">
        <f t="shared" si="152"/>
        <v>304.84379909635476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0.41425364375688861</v>
      </c>
      <c r="EB153" s="21">
        <f>EXP(-LN(2)/25)*EB152+(1-EXP(-LN(2)/25))/(LN(2)/25)*Calculateur!DW153*Calculateur!DY153*VLOOKUP('Données projet'!$B$14,Paramètres!$A$1:$I$89,3,0)*0.475*44/12</f>
        <v>0.25673950907916115</v>
      </c>
      <c r="EC153" s="21">
        <f>EXP(-LN(2)/2)*EC152+(1-EXP(-LN(2)/2))/(LN(2)/2)*DW153*DZ153*VLOOKUP('Données projet'!$B$14,Paramètres!$A$1:$I$89,3,0)*0.475*44/12</f>
        <v>4.9914191716248769E-18</v>
      </c>
      <c r="ED153" s="22">
        <f t="shared" si="126"/>
        <v>0.67099315283604977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-1.1368683772161603E-13</v>
      </c>
      <c r="O154" s="13">
        <f>N154*VLOOKUP('Données projet'!$B$9,Paramètres!$A$1:$I$89,3,0)*VLOOKUP('Données projet'!$B$9,Paramètres!$A$1:$I$89,5,0)</f>
        <v>-5.3205440053716299E-14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319.22903094674564</v>
      </c>
      <c r="T154" s="59">
        <f t="shared" si="142"/>
        <v>254.58690973142848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0.82641613045550122</v>
      </c>
      <c r="AA154" s="21">
        <f>EXP(-LN(2)/25)*AA153+(1-EXP(-LN(2)/25))/(LN(2)/25)*Calculateur!V154*Calculateur!X154*VLOOKUP('Données projet'!$B$9,Paramètres!$A$1:$I$89,3,0)*0.475*44/12</f>
        <v>0.38935083283226213</v>
      </c>
      <c r="AB154" s="21">
        <f>EXP(-LN(2)/2)*AB153+(1-EXP(-LN(2)/2))/(LN(2)/2)*V154*Y154*VLOOKUP('Données projet'!$B$9,Paramètres!$A$1:$I$89,3,0)*0.475*44/12</f>
        <v>6.7729425795268448E-18</v>
      </c>
      <c r="AC154" s="22">
        <f t="shared" ref="AC154:AC203" si="163">SUM(Z154:AB154)</f>
        <v>1.2157669632877632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-3.4106051316484809E-13</v>
      </c>
      <c r="AJ154" s="13">
        <f>AI154*VLOOKUP('Données projet'!$B$10,Paramètres!$A$1:$I$89,3,0)*VLOOKUP('Données projet'!$B$10,Paramètres!$A$1:$I$89,5,0)</f>
        <v>-1.9065282685915009E-13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544.48194192356823</v>
      </c>
      <c r="AO154" s="59">
        <f t="shared" si="144"/>
        <v>668.20427590250733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0.6684542050093597</v>
      </c>
      <c r="AV154" s="21">
        <f>EXP(-LN(2)/25)*AV153+(1-EXP(-LN(2)/25))/(LN(2)/25)*Calculateur!AQ154*Calculateur!AS154*VLOOKUP('Données projet'!$B$10,Paramètres!$A$1:$I$89,3,0)*0.475*44/12</f>
        <v>1.4878152917400238</v>
      </c>
      <c r="AW154" s="21">
        <f>EXP(-LN(2)/2)*AW153+(1-EXP(-LN(2)/2))/(LN(2)/2)*AQ154*AT154*VLOOKUP('Données projet'!$B$10,Paramètres!$A$1:$I$89,3,0)*0.475*44/12</f>
        <v>8.8427838890764644E-18</v>
      </c>
      <c r="AX154" s="21">
        <f t="shared" ref="AX154:AX203" si="166">SUM(AU154:AW154)</f>
        <v>2.1562694967493834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>
        <f>BD154*VLOOKUP('Données projet'!$B$11,Paramètres!$A$1:$I$89,3,0)*VLOOKUP('Données projet'!$B$11,Paramètres!$A$1:$I$89,5,0)</f>
        <v>0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405.7176439604217</v>
      </c>
      <c r="BJ154" s="59">
        <f t="shared" si="146"/>
        <v>278.21741231699929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0.66545892924240868</v>
      </c>
      <c r="BQ154" s="21">
        <f>EXP(-LN(2)/25)*BQ153+(1-EXP(-LN(2)/25))/(LN(2)/25)*Calculateur!BL154*Calculateur!BN154*VLOOKUP('Données projet'!$B$11,Paramètres!$A$1:$I$89,3,0)*0.475*44/12</f>
        <v>0.32697289829123583</v>
      </c>
      <c r="BR154" s="21">
        <f>EXP(-LN(2)/2)*BR153+(1-EXP(-LN(2)/2))/(LN(2)/2)*BL154*BO154*VLOOKUP('Données projet'!$B$11,Paramètres!$A$1:$I$89,3,0)*0.475*44/12</f>
        <v>5.2345610486904877E-18</v>
      </c>
      <c r="BS154" s="22">
        <f t="shared" ref="BS154:BS203" si="169">SUM(BP154:BR154)</f>
        <v>0.99243182753364456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259.99999999999983</v>
      </c>
      <c r="BZ154" s="13">
        <f>BY154*VLOOKUP('Données projet'!$B$12,Paramètres!$A$1:$I$89,3,0)*VLOOKUP('Données projet'!$B$12,Paramètres!$A$1:$I$89,5,0)</f>
        <v>227.13599999999985</v>
      </c>
      <c r="CA154" s="13">
        <f t="shared" ref="CA154:CA203" si="170">EXP(-1.0587+0.8836*LN(BZ154)+0.284)</f>
        <v>55.662966886685133</v>
      </c>
      <c r="CB154" s="20">
        <f t="shared" ref="CB154:CB203" si="171">(BZ154+CA154)*0.475*44/12</f>
        <v>492.5415339943097</v>
      </c>
      <c r="CC154" s="59">
        <f t="shared" si="119"/>
        <v>785.87486732764296</v>
      </c>
      <c r="CD154" s="59">
        <f ca="1">AVERAGE(OFFSET($CC$3,0,0,'Données projet'!$E$12+1,1))-AVERAGE(OFFSET($H$3,0,0,'Données projet'!$E$12+1,1))</f>
        <v>381.72225529388083</v>
      </c>
      <c r="CE154" s="59">
        <f t="shared" si="148"/>
        <v>360.05900046417361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0.43811169874836381</v>
      </c>
      <c r="CL154" s="21">
        <f>EXP(-LN(2)/25)*CL153+(1-EXP(-LN(2)/25))/(LN(2)/25)*Calculateur!CG154*Calculateur!CI154*VLOOKUP('Données projet'!$B$12,Paramètres!$A$1:$I$89,3,0)*0.475*44/12</f>
        <v>0.39384930450739958</v>
      </c>
      <c r="CM154" s="21">
        <f>EXP(-LN(2)/2)*CM153+(1-EXP(-LN(2)/2))/(LN(2)/2)*CG154*CJ154*VLOOKUP('Données projet'!$B$12,Paramètres!$A$1:$I$89,3,0)*0.475*44/12</f>
        <v>4.2916918388172714E-18</v>
      </c>
      <c r="CN154" s="22">
        <f t="shared" ref="CN154:CN203" si="172">SUM(CK154:CM154)</f>
        <v>0.83196100325576339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-1.7053025658242404E-13</v>
      </c>
      <c r="CU154" s="17">
        <f>CT154*VLOOKUP('Données projet'!$B$13,Paramètres!$A$1:$I$89,3,0)*VLOOKUP('Données projet'!$B$13,Paramètres!$A$1:$I$89,5,0)</f>
        <v>-1.3567387213697657E-13</v>
      </c>
      <c r="CV154" s="13" t="e">
        <f t="shared" ref="CV154:CV203" si="173">EXP(-1.0587+0.8836*LN(CU154)+0.284)</f>
        <v>#NUM!</v>
      </c>
      <c r="CW154" s="20" t="e">
        <f t="shared" ref="CW154:CW203" si="174">(CU154+CV154)*0.475*44/12</f>
        <v>#NUM!</v>
      </c>
      <c r="CX154" s="59" t="e">
        <f t="shared" si="122"/>
        <v>#NUM!</v>
      </c>
      <c r="CY154" s="59">
        <f ca="1">AVERAGE(OFFSET($CX$3,0,0,'Données projet'!$E$13+1,1))-AVERAGE(OFFSET($H$3,0,0,'Données projet'!$E$13+1,1))</f>
        <v>299.10536994156814</v>
      </c>
      <c r="CZ154" s="59">
        <f t="shared" si="150"/>
        <v>292.57799203101769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0.76678638086483231</v>
      </c>
      <c r="DG154" s="21">
        <f>EXP(-LN(2)/25)*DG153+(1-EXP(-LN(2)/25))/(LN(2)/25)*Calculateur!DB154*Calculateur!DD154*VLOOKUP('Données projet'!$B$13,Paramètres!$A$1:$I$89,3,0)*0.475*44/12</f>
        <v>0.37752966298622292</v>
      </c>
      <c r="DH154" s="21">
        <f>EXP(-LN(2)/2)*DH153+(1-EXP(-LN(2)/2))/(LN(2)/2)*DB154*DE154*VLOOKUP('Données projet'!$B$13,Paramètres!$A$1:$I$89,3,0)*0.475*44/12</f>
        <v>5.5030811935438111E-18</v>
      </c>
      <c r="DI154" s="22">
        <f t="shared" ref="DI154:DI203" si="175">SUM(DF154:DH154)</f>
        <v>1.1443160438510551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2.2737367544323206E-13</v>
      </c>
      <c r="DP154" s="17">
        <f>DO154*VLOOKUP('Données projet'!$B$14,Paramètres!$A$1:$I$89,3,0)*VLOOKUP('Données projet'!$B$14,Paramètres!$A$1:$I$89,5,0)</f>
        <v>1.4897523215040565E-13</v>
      </c>
      <c r="DQ154" s="13">
        <f t="shared" ref="DQ154:DQ203" si="176">EXP(-1.0587+0.8836*LN(DP154)+0.284)</f>
        <v>2.136562777003313E-12</v>
      </c>
      <c r="DR154" s="20">
        <f t="shared" ref="DR154:DR203" si="177">(DP154+DQ154)*0.475*44/12</f>
        <v>3.9806453659427267E-12</v>
      </c>
      <c r="DS154" s="59">
        <f t="shared" si="125"/>
        <v>293.33333333333729</v>
      </c>
      <c r="DT154" s="59">
        <f ca="1">AVERAGE(OFFSET($DS$3,0,0,'Données projet'!$E$14+1,1))-AVERAGE(OFFSET($H$3,0,0,'Données projet'!$E$14+1,1))</f>
        <v>295.92103934364718</v>
      </c>
      <c r="DU154" s="59">
        <f t="shared" si="152"/>
        <v>304.84379909635476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0.40613038247258965</v>
      </c>
      <c r="EB154" s="21">
        <f>EXP(-LN(2)/25)*EB153+(1-EXP(-LN(2)/25))/(LN(2)/25)*Calculateur!DW154*Calculateur!DY154*VLOOKUP('Données projet'!$B$14,Paramètres!$A$1:$I$89,3,0)*0.475*44/12</f>
        <v>0.2497189537020475</v>
      </c>
      <c r="EC154" s="21">
        <f>EXP(-LN(2)/2)*EC153+(1-EXP(-LN(2)/2))/(LN(2)/2)*DW154*DZ154*VLOOKUP('Données projet'!$B$14,Paramètres!$A$1:$I$89,3,0)*0.475*44/12</f>
        <v>3.5294663440004901E-18</v>
      </c>
      <c r="ED154" s="22">
        <f t="shared" ref="ED154:ED203" si="178">SUM(EA154:EC154)</f>
        <v>0.65584933617463714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-1.1368683772161603E-13</v>
      </c>
      <c r="O155" s="13">
        <f>N155*VLOOKUP('Données projet'!$B$9,Paramètres!$A$1:$I$89,3,0)*VLOOKUP('Données projet'!$B$9,Paramètres!$A$1:$I$89,5,0)</f>
        <v>-5.3205440053716299E-14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319.22903094674564</v>
      </c>
      <c r="T155" s="59">
        <f t="shared" si="142"/>
        <v>254.58690973142848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0.81021061420133622</v>
      </c>
      <c r="AA155" s="21">
        <f>EXP(-LN(2)/25)*AA154+(1-EXP(-LN(2)/25))/(LN(2)/25)*Calculateur!V155*Calculateur!X155*VLOOKUP('Données projet'!$B$9,Paramètres!$A$1:$I$89,3,0)*0.475*44/12</f>
        <v>0.37870401383339347</v>
      </c>
      <c r="AB155" s="21">
        <f>EXP(-LN(2)/2)*AB154+(1-EXP(-LN(2)/2))/(LN(2)/2)*V155*Y155*VLOOKUP('Données projet'!$B$9,Paramètres!$A$1:$I$89,3,0)*0.475*44/12</f>
        <v>4.7891936265705398E-18</v>
      </c>
      <c r="AC155" s="22">
        <f t="shared" si="163"/>
        <v>1.1889146280347296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-3.4106051316484809E-13</v>
      </c>
      <c r="AJ155" s="13">
        <f>AI155*VLOOKUP('Données projet'!$B$10,Paramètres!$A$1:$I$89,3,0)*VLOOKUP('Données projet'!$B$10,Paramètres!$A$1:$I$89,5,0)</f>
        <v>-1.9065282685915009E-13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544.48194192356823</v>
      </c>
      <c r="AO155" s="59">
        <f t="shared" si="144"/>
        <v>668.20427590250733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0.65534622576593249</v>
      </c>
      <c r="AV155" s="21">
        <f>EXP(-LN(2)/25)*AV154+(1-EXP(-LN(2)/25))/(LN(2)/25)*Calculateur!AQ155*Calculateur!AS155*VLOOKUP('Données projet'!$B$10,Paramètres!$A$1:$I$89,3,0)*0.475*44/12</f>
        <v>1.4471309043465872</v>
      </c>
      <c r="AW155" s="21">
        <f>EXP(-LN(2)/2)*AW154+(1-EXP(-LN(2)/2))/(LN(2)/2)*AQ155*AT155*VLOOKUP('Données projet'!$B$10,Paramètres!$A$1:$I$89,3,0)*0.475*44/12</f>
        <v>6.2527924525331194E-18</v>
      </c>
      <c r="AX155" s="21">
        <f t="shared" si="166"/>
        <v>2.1024771301125198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>
        <f>BD155*VLOOKUP('Données projet'!$B$11,Paramètres!$A$1:$I$89,3,0)*VLOOKUP('Données projet'!$B$11,Paramètres!$A$1:$I$89,5,0)</f>
        <v>0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405.7176439604217</v>
      </c>
      <c r="BJ155" s="59">
        <f t="shared" si="146"/>
        <v>278.21741231699929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0.65240968552983358</v>
      </c>
      <c r="BQ155" s="21">
        <f>EXP(-LN(2)/25)*BQ154+(1-EXP(-LN(2)/25))/(LN(2)/25)*Calculateur!BL155*Calculateur!BN155*VLOOKUP('Données projet'!$B$11,Paramètres!$A$1:$I$89,3,0)*0.475*44/12</f>
        <v>0.31803180719270457</v>
      </c>
      <c r="BR155" s="21">
        <f>EXP(-LN(2)/2)*BR154+(1-EXP(-LN(2)/2))/(LN(2)/2)*BL155*BO155*VLOOKUP('Données projet'!$B$11,Paramètres!$A$1:$I$89,3,0)*0.475*44/12</f>
        <v>3.7013936140640094E-18</v>
      </c>
      <c r="BS155" s="22">
        <f t="shared" si="169"/>
        <v>0.97044149272253821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259.99999999999983</v>
      </c>
      <c r="BZ155" s="13">
        <f>BY155*VLOOKUP('Données projet'!$B$12,Paramètres!$A$1:$I$89,3,0)*VLOOKUP('Données projet'!$B$12,Paramètres!$A$1:$I$89,5,0)</f>
        <v>227.13599999999985</v>
      </c>
      <c r="CA155" s="13">
        <f t="shared" si="170"/>
        <v>55.662966886685133</v>
      </c>
      <c r="CB155" s="20">
        <f t="shared" si="171"/>
        <v>492.5415339943097</v>
      </c>
      <c r="CC155" s="59">
        <f t="shared" si="119"/>
        <v>785.87486732764296</v>
      </c>
      <c r="CD155" s="59">
        <f ca="1">AVERAGE(OFFSET($CC$3,0,0,'Données projet'!$E$12+1,1))-AVERAGE(OFFSET($H$3,0,0,'Données projet'!$E$12+1,1))</f>
        <v>381.72225529388083</v>
      </c>
      <c r="CE155" s="59">
        <f t="shared" si="148"/>
        <v>360.05900046417361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0.4295205955576587</v>
      </c>
      <c r="CL155" s="21">
        <f>EXP(-LN(2)/25)*CL154+(1-EXP(-LN(2)/25))/(LN(2)/25)*Calculateur!CG155*Calculateur!CI155*VLOOKUP('Données projet'!$B$12,Paramètres!$A$1:$I$89,3,0)*0.475*44/12</f>
        <v>0.38307947456400998</v>
      </c>
      <c r="CM155" s="21">
        <f>EXP(-LN(2)/2)*CM154+(1-EXP(-LN(2)/2))/(LN(2)/2)*CG155*CJ155*VLOOKUP('Données projet'!$B$12,Paramètres!$A$1:$I$89,3,0)*0.475*44/12</f>
        <v>3.0346844019906562E-18</v>
      </c>
      <c r="CN155" s="22">
        <f t="shared" si="172"/>
        <v>0.81260007012166868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-1.7053025658242404E-13</v>
      </c>
      <c r="CU155" s="17">
        <f>CT155*VLOOKUP('Données projet'!$B$13,Paramètres!$A$1:$I$89,3,0)*VLOOKUP('Données projet'!$B$13,Paramètres!$A$1:$I$89,5,0)</f>
        <v>-1.3567387213697657E-13</v>
      </c>
      <c r="CV155" s="13" t="e">
        <f t="shared" si="173"/>
        <v>#NUM!</v>
      </c>
      <c r="CW155" s="20" t="e">
        <f t="shared" si="174"/>
        <v>#NUM!</v>
      </c>
      <c r="CX155" s="59" t="e">
        <f t="shared" si="122"/>
        <v>#NUM!</v>
      </c>
      <c r="CY155" s="59">
        <f ca="1">AVERAGE(OFFSET($CX$3,0,0,'Données projet'!$E$13+1,1))-AVERAGE(OFFSET($H$3,0,0,'Données projet'!$E$13+1,1))</f>
        <v>299.10536994156814</v>
      </c>
      <c r="CZ155" s="59">
        <f t="shared" si="150"/>
        <v>292.57799203101769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0.75175016762958435</v>
      </c>
      <c r="DG155" s="21">
        <f>EXP(-LN(2)/25)*DG154+(1-EXP(-LN(2)/25))/(LN(2)/25)*Calculateur!DB155*Calculateur!DD155*VLOOKUP('Données projet'!$B$13,Paramètres!$A$1:$I$89,3,0)*0.475*44/12</f>
        <v>0.36720609449844255</v>
      </c>
      <c r="DH155" s="21">
        <f>EXP(-LN(2)/2)*DH154+(1-EXP(-LN(2)/2))/(LN(2)/2)*DB155*DE155*VLOOKUP('Données projet'!$B$13,Paramètres!$A$1:$I$89,3,0)*0.475*44/12</f>
        <v>3.8912660293749883E-18</v>
      </c>
      <c r="DI155" s="22">
        <f t="shared" si="175"/>
        <v>1.1189562621280269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2.2737367544323206E-13</v>
      </c>
      <c r="DP155" s="17">
        <f>DO155*VLOOKUP('Données projet'!$B$14,Paramètres!$A$1:$I$89,3,0)*VLOOKUP('Données projet'!$B$14,Paramètres!$A$1:$I$89,5,0)</f>
        <v>1.4897523215040565E-13</v>
      </c>
      <c r="DQ155" s="13">
        <f t="shared" si="176"/>
        <v>2.136562777003313E-12</v>
      </c>
      <c r="DR155" s="20">
        <f t="shared" si="177"/>
        <v>3.9806453659427267E-12</v>
      </c>
      <c r="DS155" s="59">
        <f t="shared" si="125"/>
        <v>293.33333333333729</v>
      </c>
      <c r="DT155" s="59">
        <f ca="1">AVERAGE(OFFSET($DS$3,0,0,'Données projet'!$E$14+1,1))-AVERAGE(OFFSET($H$3,0,0,'Données projet'!$E$14+1,1))</f>
        <v>295.92103934364718</v>
      </c>
      <c r="DU155" s="59">
        <f t="shared" si="152"/>
        <v>304.84379909635476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0.39816641338737563</v>
      </c>
      <c r="EB155" s="21">
        <f>EXP(-LN(2)/25)*EB154+(1-EXP(-LN(2)/25))/(LN(2)/25)*Calculateur!DW155*Calculateur!DY155*VLOOKUP('Données projet'!$B$14,Paramètres!$A$1:$I$89,3,0)*0.475*44/12</f>
        <v>0.24289037578091596</v>
      </c>
      <c r="EC155" s="21">
        <f>EXP(-LN(2)/2)*EC154+(1-EXP(-LN(2)/2))/(LN(2)/2)*DW155*DZ155*VLOOKUP('Données projet'!$B$14,Paramètres!$A$1:$I$89,3,0)*0.475*44/12</f>
        <v>2.4957095858124385E-18</v>
      </c>
      <c r="ED155" s="22">
        <f t="shared" si="178"/>
        <v>0.64105678916829156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-1.1368683772161603E-13</v>
      </c>
      <c r="O156" s="13">
        <f>N156*VLOOKUP('Données projet'!$B$9,Paramètres!$A$1:$I$89,3,0)*VLOOKUP('Données projet'!$B$9,Paramètres!$A$1:$I$89,5,0)</f>
        <v>-5.3205440053716299E-14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319.22903094674564</v>
      </c>
      <c r="T156" s="59">
        <f t="shared" si="142"/>
        <v>254.58690973142848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0.79432287823652648</v>
      </c>
      <c r="AA156" s="21">
        <f>EXP(-LN(2)/25)*AA155+(1-EXP(-LN(2)/25))/(LN(2)/25)*Calculateur!V156*Calculateur!X156*VLOOKUP('Données projet'!$B$9,Paramètres!$A$1:$I$89,3,0)*0.475*44/12</f>
        <v>0.36834833265994077</v>
      </c>
      <c r="AB156" s="21">
        <f>EXP(-LN(2)/2)*AB155+(1-EXP(-LN(2)/2))/(LN(2)/2)*V156*Y156*VLOOKUP('Données projet'!$B$9,Paramètres!$A$1:$I$89,3,0)*0.475*44/12</f>
        <v>3.3864712897634228E-18</v>
      </c>
      <c r="AC156" s="22">
        <f t="shared" si="163"/>
        <v>1.1626712108964672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-3.4106051316484809E-13</v>
      </c>
      <c r="AJ156" s="13">
        <f>AI156*VLOOKUP('Données projet'!$B$10,Paramètres!$A$1:$I$89,3,0)*VLOOKUP('Données projet'!$B$10,Paramètres!$A$1:$I$89,5,0)</f>
        <v>-1.9065282685915009E-13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544.48194192356823</v>
      </c>
      <c r="AO156" s="59">
        <f t="shared" si="144"/>
        <v>668.20427590250733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0.64249528600039107</v>
      </c>
      <c r="AV156" s="21">
        <f>EXP(-LN(2)/25)*AV155+(1-EXP(-LN(2)/25))/(LN(2)/25)*Calculateur!AQ156*Calculateur!AS156*VLOOKUP('Données projet'!$B$10,Paramètres!$A$1:$I$89,3,0)*0.475*44/12</f>
        <v>1.4075590336659229</v>
      </c>
      <c r="AW156" s="21">
        <f>EXP(-LN(2)/2)*AW155+(1-EXP(-LN(2)/2))/(LN(2)/2)*AQ156*AT156*VLOOKUP('Données projet'!$B$10,Paramètres!$A$1:$I$89,3,0)*0.475*44/12</f>
        <v>4.4213919445382322E-18</v>
      </c>
      <c r="AX156" s="21">
        <f t="shared" si="166"/>
        <v>2.0500543196663141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>
        <f>BD156*VLOOKUP('Données projet'!$B$11,Paramètres!$A$1:$I$89,3,0)*VLOOKUP('Données projet'!$B$11,Paramètres!$A$1:$I$89,5,0)</f>
        <v>0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405.7176439604217</v>
      </c>
      <c r="BJ156" s="59">
        <f t="shared" si="146"/>
        <v>278.21741231699929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0.63961632952720937</v>
      </c>
      <c r="BQ156" s="21">
        <f>EXP(-LN(2)/25)*BQ155+(1-EXP(-LN(2)/25))/(LN(2)/25)*Calculateur!BL156*Calculateur!BN156*VLOOKUP('Données projet'!$B$11,Paramètres!$A$1:$I$89,3,0)*0.475*44/12</f>
        <v>0.30933521070045422</v>
      </c>
      <c r="BR156" s="21">
        <f>EXP(-LN(2)/2)*BR155+(1-EXP(-LN(2)/2))/(LN(2)/2)*BL156*BO156*VLOOKUP('Données projet'!$B$11,Paramètres!$A$1:$I$89,3,0)*0.475*44/12</f>
        <v>2.6172805243452438E-18</v>
      </c>
      <c r="BS156" s="22">
        <f t="shared" si="169"/>
        <v>0.94895154022766359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259.99999999999983</v>
      </c>
      <c r="BZ156" s="13">
        <f>BY156*VLOOKUP('Données projet'!$B$12,Paramètres!$A$1:$I$89,3,0)*VLOOKUP('Données projet'!$B$12,Paramètres!$A$1:$I$89,5,0)</f>
        <v>227.13599999999985</v>
      </c>
      <c r="CA156" s="13">
        <f t="shared" si="170"/>
        <v>55.662966886685133</v>
      </c>
      <c r="CB156" s="20">
        <f t="shared" si="171"/>
        <v>492.5415339943097</v>
      </c>
      <c r="CC156" s="59">
        <f t="shared" si="119"/>
        <v>785.87486732764296</v>
      </c>
      <c r="CD156" s="59">
        <f ca="1">AVERAGE(OFFSET($CC$3,0,0,'Données projet'!$E$12+1,1))-AVERAGE(OFFSET($H$3,0,0,'Données projet'!$E$12+1,1))</f>
        <v>381.72225529388083</v>
      </c>
      <c r="CE156" s="59">
        <f t="shared" si="148"/>
        <v>360.05900046417361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0.42109795866046779</v>
      </c>
      <c r="CL156" s="21">
        <f>EXP(-LN(2)/25)*CL155+(1-EXP(-LN(2)/25))/(LN(2)/25)*Calculateur!CG156*Calculateur!CI156*VLOOKUP('Données projet'!$B$12,Paramètres!$A$1:$I$89,3,0)*0.475*44/12</f>
        <v>0.37260414618678311</v>
      </c>
      <c r="CM156" s="21">
        <f>EXP(-LN(2)/2)*CM155+(1-EXP(-LN(2)/2))/(LN(2)/2)*CG156*CJ156*VLOOKUP('Données projet'!$B$12,Paramètres!$A$1:$I$89,3,0)*0.475*44/12</f>
        <v>2.1458459194086357E-18</v>
      </c>
      <c r="CN156" s="22">
        <f t="shared" si="172"/>
        <v>0.7937021048472509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-1.7053025658242404E-13</v>
      </c>
      <c r="CU156" s="17">
        <f>CT156*VLOOKUP('Données projet'!$B$13,Paramètres!$A$1:$I$89,3,0)*VLOOKUP('Données projet'!$B$13,Paramètres!$A$1:$I$89,5,0)</f>
        <v>-1.3567387213697657E-13</v>
      </c>
      <c r="CV156" s="13" t="e">
        <f t="shared" si="173"/>
        <v>#NUM!</v>
      </c>
      <c r="CW156" s="20" t="e">
        <f t="shared" si="174"/>
        <v>#NUM!</v>
      </c>
      <c r="CX156" s="59" t="e">
        <f t="shared" si="122"/>
        <v>#NUM!</v>
      </c>
      <c r="CY156" s="59">
        <f ca="1">AVERAGE(OFFSET($CX$3,0,0,'Données projet'!$E$13+1,1))-AVERAGE(OFFSET($H$3,0,0,'Données projet'!$E$13+1,1))</f>
        <v>299.10536994156814</v>
      </c>
      <c r="CZ156" s="59">
        <f t="shared" si="150"/>
        <v>292.57799203101769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0.73700880536469515</v>
      </c>
      <c r="DG156" s="21">
        <f>EXP(-LN(2)/25)*DG155+(1-EXP(-LN(2)/25))/(LN(2)/25)*Calculateur!DB156*Calculateur!DD156*VLOOKUP('Données projet'!$B$13,Paramètres!$A$1:$I$89,3,0)*0.475*44/12</f>
        <v>0.3571648245338534</v>
      </c>
      <c r="DH156" s="21">
        <f>EXP(-LN(2)/2)*DH155+(1-EXP(-LN(2)/2))/(LN(2)/2)*DB156*DE156*VLOOKUP('Données projet'!$B$13,Paramètres!$A$1:$I$89,3,0)*0.475*44/12</f>
        <v>2.7515405967719055E-18</v>
      </c>
      <c r="DI156" s="22">
        <f t="shared" si="175"/>
        <v>1.0941736298985485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2.2737367544323206E-13</v>
      </c>
      <c r="DP156" s="17">
        <f>DO156*VLOOKUP('Données projet'!$B$14,Paramètres!$A$1:$I$89,3,0)*VLOOKUP('Données projet'!$B$14,Paramètres!$A$1:$I$89,5,0)</f>
        <v>1.4897523215040565E-13</v>
      </c>
      <c r="DQ156" s="13">
        <f t="shared" si="176"/>
        <v>2.136562777003313E-12</v>
      </c>
      <c r="DR156" s="20">
        <f t="shared" si="177"/>
        <v>3.9806453659427267E-12</v>
      </c>
      <c r="DS156" s="59">
        <f t="shared" si="125"/>
        <v>293.33333333333729</v>
      </c>
      <c r="DT156" s="59">
        <f ca="1">AVERAGE(OFFSET($DS$3,0,0,'Données projet'!$E$14+1,1))-AVERAGE(OFFSET($H$3,0,0,'Données projet'!$E$14+1,1))</f>
        <v>295.92103934364718</v>
      </c>
      <c r="DU156" s="59">
        <f t="shared" si="152"/>
        <v>304.84379909635476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0.39035861287838119</v>
      </c>
      <c r="EB156" s="21">
        <f>EXP(-LN(2)/25)*EB155+(1-EXP(-LN(2)/25))/(LN(2)/25)*Calculateur!DW156*Calculateur!DY156*VLOOKUP('Données projet'!$B$14,Paramètres!$A$1:$I$89,3,0)*0.475*44/12</f>
        <v>0.23624852568213708</v>
      </c>
      <c r="EC156" s="21">
        <f>EXP(-LN(2)/2)*EC155+(1-EXP(-LN(2)/2))/(LN(2)/2)*DW156*DZ156*VLOOKUP('Données projet'!$B$14,Paramètres!$A$1:$I$89,3,0)*0.475*44/12</f>
        <v>1.764733172000245E-18</v>
      </c>
      <c r="ED156" s="22">
        <f t="shared" si="178"/>
        <v>0.62660713856051831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-1.1368683772161603E-13</v>
      </c>
      <c r="O157" s="13">
        <f>N157*VLOOKUP('Données projet'!$B$9,Paramètres!$A$1:$I$89,3,0)*VLOOKUP('Données projet'!$B$9,Paramètres!$A$1:$I$89,5,0)</f>
        <v>-5.3205440053716299E-14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319.22903094674564</v>
      </c>
      <c r="T157" s="59">
        <f t="shared" si="142"/>
        <v>254.58690973142848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0.77874669108342454</v>
      </c>
      <c r="AA157" s="21">
        <f>EXP(-LN(2)/25)*AA156+(1-EXP(-LN(2)/25))/(LN(2)/25)*Calculateur!V157*Calculateur!X157*VLOOKUP('Données projet'!$B$9,Paramètres!$A$1:$I$89,3,0)*0.475*44/12</f>
        <v>0.35827582813275777</v>
      </c>
      <c r="AB157" s="21">
        <f>EXP(-LN(2)/2)*AB156+(1-EXP(-LN(2)/2))/(LN(2)/2)*V157*Y157*VLOOKUP('Données projet'!$B$9,Paramètres!$A$1:$I$89,3,0)*0.475*44/12</f>
        <v>2.3945968132852703E-18</v>
      </c>
      <c r="AC157" s="22">
        <f t="shared" si="163"/>
        <v>1.1370225192161822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-3.4106051316484809E-13</v>
      </c>
      <c r="AJ157" s="13">
        <f>AI157*VLOOKUP('Données projet'!$B$10,Paramètres!$A$1:$I$89,3,0)*VLOOKUP('Données projet'!$B$10,Paramètres!$A$1:$I$89,5,0)</f>
        <v>-1.9065282685915009E-13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544.48194192356823</v>
      </c>
      <c r="AO157" s="59">
        <f t="shared" si="144"/>
        <v>668.20427590250733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0.62989634532535255</v>
      </c>
      <c r="AV157" s="21">
        <f>EXP(-LN(2)/25)*AV156+(1-EXP(-LN(2)/25))/(LN(2)/25)*Calculateur!AQ157*Calculateur!AS157*VLOOKUP('Données projet'!$B$10,Paramètres!$A$1:$I$89,3,0)*0.475*44/12</f>
        <v>1.3690692578700157</v>
      </c>
      <c r="AW157" s="21">
        <f>EXP(-LN(2)/2)*AW156+(1-EXP(-LN(2)/2))/(LN(2)/2)*AQ157*AT157*VLOOKUP('Données projet'!$B$10,Paramètres!$A$1:$I$89,3,0)*0.475*44/12</f>
        <v>3.1263962262665597E-18</v>
      </c>
      <c r="AX157" s="21">
        <f t="shared" si="166"/>
        <v>1.9989656031953682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>
        <f>BD157*VLOOKUP('Données projet'!$B$11,Paramètres!$A$1:$I$89,3,0)*VLOOKUP('Données projet'!$B$11,Paramètres!$A$1:$I$89,5,0)</f>
        <v>0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405.7176439604217</v>
      </c>
      <c r="BJ157" s="59">
        <f t="shared" si="146"/>
        <v>278.21741231699929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0.62707384343261996</v>
      </c>
      <c r="BQ157" s="21">
        <f>EXP(-LN(2)/25)*BQ156+(1-EXP(-LN(2)/25))/(LN(2)/25)*Calculateur!BL157*Calculateur!BN157*VLOOKUP('Données projet'!$B$11,Paramètres!$A$1:$I$89,3,0)*0.475*44/12</f>
        <v>0.30087642309661855</v>
      </c>
      <c r="BR157" s="21">
        <f>EXP(-LN(2)/2)*BR156+(1-EXP(-LN(2)/2))/(LN(2)/2)*BL157*BO157*VLOOKUP('Données projet'!$B$11,Paramètres!$A$1:$I$89,3,0)*0.475*44/12</f>
        <v>1.8506968070320047E-18</v>
      </c>
      <c r="BS157" s="22">
        <f t="shared" si="169"/>
        <v>0.92795026652923851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259.99999999999983</v>
      </c>
      <c r="BZ157" s="13">
        <f>BY157*VLOOKUP('Données projet'!$B$12,Paramètres!$A$1:$I$89,3,0)*VLOOKUP('Données projet'!$B$12,Paramètres!$A$1:$I$89,5,0)</f>
        <v>227.13599999999985</v>
      </c>
      <c r="CA157" s="13">
        <f t="shared" si="170"/>
        <v>55.662966886685133</v>
      </c>
      <c r="CB157" s="20">
        <f t="shared" si="171"/>
        <v>492.5415339943097</v>
      </c>
      <c r="CC157" s="59">
        <f t="shared" si="119"/>
        <v>785.87486732764296</v>
      </c>
      <c r="CD157" s="59">
        <f ca="1">AVERAGE(OFFSET($CC$3,0,0,'Données projet'!$E$12+1,1))-AVERAGE(OFFSET($H$3,0,0,'Données projet'!$E$12+1,1))</f>
        <v>381.72225529388083</v>
      </c>
      <c r="CE157" s="59">
        <f t="shared" si="148"/>
        <v>360.05900046417361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0.41284048453552952</v>
      </c>
      <c r="CL157" s="21">
        <f>EXP(-LN(2)/25)*CL156+(1-EXP(-LN(2)/25))/(LN(2)/25)*Calculateur!CG157*Calculateur!CI157*VLOOKUP('Données projet'!$B$12,Paramètres!$A$1:$I$89,3,0)*0.475*44/12</f>
        <v>0.36241526621490511</v>
      </c>
      <c r="CM157" s="21">
        <f>EXP(-LN(2)/2)*CM156+(1-EXP(-LN(2)/2))/(LN(2)/2)*CG157*CJ157*VLOOKUP('Données projet'!$B$12,Paramètres!$A$1:$I$89,3,0)*0.475*44/12</f>
        <v>1.5173422009953281E-18</v>
      </c>
      <c r="CN157" s="22">
        <f t="shared" si="172"/>
        <v>0.77525575075043462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-1.7053025658242404E-13</v>
      </c>
      <c r="CU157" s="17">
        <f>CT157*VLOOKUP('Données projet'!$B$13,Paramètres!$A$1:$I$89,3,0)*VLOOKUP('Données projet'!$B$13,Paramètres!$A$1:$I$89,5,0)</f>
        <v>-1.3567387213697657E-13</v>
      </c>
      <c r="CV157" s="13" t="e">
        <f t="shared" si="173"/>
        <v>#NUM!</v>
      </c>
      <c r="CW157" s="20" t="e">
        <f t="shared" si="174"/>
        <v>#NUM!</v>
      </c>
      <c r="CX157" s="59" t="e">
        <f t="shared" si="122"/>
        <v>#NUM!</v>
      </c>
      <c r="CY157" s="59">
        <f ca="1">AVERAGE(OFFSET($CX$3,0,0,'Données projet'!$E$13+1,1))-AVERAGE(OFFSET($H$3,0,0,'Données projet'!$E$13+1,1))</f>
        <v>299.10536994156814</v>
      </c>
      <c r="CZ157" s="59">
        <f t="shared" si="150"/>
        <v>292.57799203101769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0.7225565122224773</v>
      </c>
      <c r="DG157" s="21">
        <f>EXP(-LN(2)/25)*DG156+(1-EXP(-LN(2)/25))/(LN(2)/25)*Calculateur!DB157*Calculateur!DD157*VLOOKUP('Données projet'!$B$13,Paramètres!$A$1:$I$89,3,0)*0.475*44/12</f>
        <v>0.34739813362449334</v>
      </c>
      <c r="DH157" s="21">
        <f>EXP(-LN(2)/2)*DH156+(1-EXP(-LN(2)/2))/(LN(2)/2)*DB157*DE157*VLOOKUP('Données projet'!$B$13,Paramètres!$A$1:$I$89,3,0)*0.475*44/12</f>
        <v>1.9456330146874941E-18</v>
      </c>
      <c r="DI157" s="22">
        <f t="shared" si="175"/>
        <v>1.0699546458469706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2.2737367544323206E-13</v>
      </c>
      <c r="DP157" s="17">
        <f>DO157*VLOOKUP('Données projet'!$B$14,Paramètres!$A$1:$I$89,3,0)*VLOOKUP('Données projet'!$B$14,Paramètres!$A$1:$I$89,5,0)</f>
        <v>1.4897523215040565E-13</v>
      </c>
      <c r="DQ157" s="13">
        <f t="shared" si="176"/>
        <v>2.136562777003313E-12</v>
      </c>
      <c r="DR157" s="20">
        <f t="shared" si="177"/>
        <v>3.9806453659427267E-12</v>
      </c>
      <c r="DS157" s="59">
        <f t="shared" si="125"/>
        <v>293.33333333333729</v>
      </c>
      <c r="DT157" s="59">
        <f ca="1">AVERAGE(OFFSET($DS$3,0,0,'Données projet'!$E$14+1,1))-AVERAGE(OFFSET($H$3,0,0,'Données projet'!$E$14+1,1))</f>
        <v>295.92103934364718</v>
      </c>
      <c r="DU157" s="59">
        <f t="shared" si="152"/>
        <v>304.84379909635476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0.38270391857508002</v>
      </c>
      <c r="EB157" s="21">
        <f>EXP(-LN(2)/25)*EB156+(1-EXP(-LN(2)/25))/(LN(2)/25)*Calculateur!DW157*Calculateur!DY157*VLOOKUP('Données projet'!$B$14,Paramètres!$A$1:$I$89,3,0)*0.475*44/12</f>
        <v>0.22978829732358902</v>
      </c>
      <c r="EC157" s="21">
        <f>EXP(-LN(2)/2)*EC156+(1-EXP(-LN(2)/2))/(LN(2)/2)*DW157*DZ157*VLOOKUP('Données projet'!$B$14,Paramètres!$A$1:$I$89,3,0)*0.475*44/12</f>
        <v>1.2478547929062192E-18</v>
      </c>
      <c r="ED157" s="22">
        <f t="shared" si="178"/>
        <v>0.61249221589866898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-1.1368683772161603E-13</v>
      </c>
      <c r="O158" s="13">
        <f>N158*VLOOKUP('Données projet'!$B$9,Paramètres!$A$1:$I$89,3,0)*VLOOKUP('Données projet'!$B$9,Paramètres!$A$1:$I$89,5,0)</f>
        <v>-5.3205440053716299E-14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319.22903094674564</v>
      </c>
      <c r="T158" s="59">
        <f t="shared" si="142"/>
        <v>254.58690973142848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0.76347594345985892</v>
      </c>
      <c r="AA158" s="21">
        <f>EXP(-LN(2)/25)*AA157+(1-EXP(-LN(2)/25))/(LN(2)/25)*Calculateur!V158*Calculateur!X158*VLOOKUP('Données projet'!$B$9,Paramètres!$A$1:$I$89,3,0)*0.475*44/12</f>
        <v>0.34847875677156054</v>
      </c>
      <c r="AB158" s="21">
        <f>EXP(-LN(2)/2)*AB157+(1-EXP(-LN(2)/2))/(LN(2)/2)*V158*Y158*VLOOKUP('Données projet'!$B$9,Paramètres!$A$1:$I$89,3,0)*0.475*44/12</f>
        <v>1.6932356448817118E-18</v>
      </c>
      <c r="AC158" s="22">
        <f t="shared" si="163"/>
        <v>1.1119547002314194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-3.4106051316484809E-13</v>
      </c>
      <c r="AJ158" s="13">
        <f>AI158*VLOOKUP('Données projet'!$B$10,Paramètres!$A$1:$I$89,3,0)*VLOOKUP('Données projet'!$B$10,Paramètres!$A$1:$I$89,5,0)</f>
        <v>-1.9065282685915009E-13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544.48194192356823</v>
      </c>
      <c r="AO158" s="59">
        <f t="shared" si="144"/>
        <v>668.20427590250733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0.61754446219235659</v>
      </c>
      <c r="AV158" s="21">
        <f>EXP(-LN(2)/25)*AV157+(1-EXP(-LN(2)/25))/(LN(2)/25)*Calculateur!AQ158*Calculateur!AS158*VLOOKUP('Données projet'!$B$10,Paramètres!$A$1:$I$89,3,0)*0.475*44/12</f>
        <v>1.3316319870173368</v>
      </c>
      <c r="AW158" s="21">
        <f>EXP(-LN(2)/2)*AW157+(1-EXP(-LN(2)/2))/(LN(2)/2)*AQ158*AT158*VLOOKUP('Données projet'!$B$10,Paramètres!$A$1:$I$89,3,0)*0.475*44/12</f>
        <v>2.2106959722691161E-18</v>
      </c>
      <c r="AX158" s="21">
        <f t="shared" si="166"/>
        <v>1.9491764492096935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>
        <f>BD158*VLOOKUP('Données projet'!$B$11,Paramètres!$A$1:$I$89,3,0)*VLOOKUP('Données projet'!$B$11,Paramètres!$A$1:$I$89,5,0)</f>
        <v>0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405.7176439604217</v>
      </c>
      <c r="BJ158" s="59">
        <f t="shared" si="146"/>
        <v>278.21741231699929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0.61477730784018425</v>
      </c>
      <c r="BQ158" s="21">
        <f>EXP(-LN(2)/25)*BQ157+(1-EXP(-LN(2)/25))/(LN(2)/25)*Calculateur!BL158*Calculateur!BN158*VLOOKUP('Données projet'!$B$11,Paramètres!$A$1:$I$89,3,0)*0.475*44/12</f>
        <v>0.2926489414846381</v>
      </c>
      <c r="BR158" s="21">
        <f>EXP(-LN(2)/2)*BR157+(1-EXP(-LN(2)/2))/(LN(2)/2)*BL158*BO158*VLOOKUP('Données projet'!$B$11,Paramètres!$A$1:$I$89,3,0)*0.475*44/12</f>
        <v>1.3086402621726219E-18</v>
      </c>
      <c r="BS158" s="22">
        <f t="shared" si="169"/>
        <v>0.90742624932482241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259.99999999999983</v>
      </c>
      <c r="BZ158" s="13">
        <f>BY158*VLOOKUP('Données projet'!$B$12,Paramètres!$A$1:$I$89,3,0)*VLOOKUP('Données projet'!$B$12,Paramètres!$A$1:$I$89,5,0)</f>
        <v>227.13599999999985</v>
      </c>
      <c r="CA158" s="13">
        <f t="shared" si="170"/>
        <v>55.662966886685133</v>
      </c>
      <c r="CB158" s="20">
        <f t="shared" si="171"/>
        <v>492.5415339943097</v>
      </c>
      <c r="CC158" s="59">
        <f t="shared" si="119"/>
        <v>785.87486732764296</v>
      </c>
      <c r="CD158" s="59">
        <f ca="1">AVERAGE(OFFSET($CC$3,0,0,'Données projet'!$E$12+1,1))-AVERAGE(OFFSET($H$3,0,0,'Données projet'!$E$12+1,1))</f>
        <v>381.72225529388083</v>
      </c>
      <c r="CE158" s="59">
        <f t="shared" si="148"/>
        <v>360.05900046417361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0.40474493444161941</v>
      </c>
      <c r="CL158" s="21">
        <f>EXP(-LN(2)/25)*CL157+(1-EXP(-LN(2)/25))/(LN(2)/25)*Calculateur!CG158*Calculateur!CI158*VLOOKUP('Données projet'!$B$12,Paramètres!$A$1:$I$89,3,0)*0.475*44/12</f>
        <v>0.35250500170166799</v>
      </c>
      <c r="CM158" s="21">
        <f>EXP(-LN(2)/2)*CM157+(1-EXP(-LN(2)/2))/(LN(2)/2)*CG158*CJ158*VLOOKUP('Données projet'!$B$12,Paramètres!$A$1:$I$89,3,0)*0.475*44/12</f>
        <v>1.0729229597043178E-18</v>
      </c>
      <c r="CN158" s="22">
        <f t="shared" si="172"/>
        <v>0.75724993614328739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-1.7053025658242404E-13</v>
      </c>
      <c r="CU158" s="17">
        <f>CT158*VLOOKUP('Données projet'!$B$13,Paramètres!$A$1:$I$89,3,0)*VLOOKUP('Données projet'!$B$13,Paramètres!$A$1:$I$89,5,0)</f>
        <v>-1.3567387213697657E-13</v>
      </c>
      <c r="CV158" s="13" t="e">
        <f t="shared" si="173"/>
        <v>#NUM!</v>
      </c>
      <c r="CW158" s="20" t="e">
        <f t="shared" si="174"/>
        <v>#NUM!</v>
      </c>
      <c r="CX158" s="59" t="e">
        <f t="shared" si="122"/>
        <v>#NUM!</v>
      </c>
      <c r="CY158" s="59">
        <f ca="1">AVERAGE(OFFSET($CX$3,0,0,'Données projet'!$E$13+1,1))-AVERAGE(OFFSET($H$3,0,0,'Données projet'!$E$13+1,1))</f>
        <v>299.10536994156814</v>
      </c>
      <c r="CZ158" s="59">
        <f t="shared" si="150"/>
        <v>292.57799203101769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0.70838761973374986</v>
      </c>
      <c r="DG158" s="21">
        <f>EXP(-LN(2)/25)*DG157+(1-EXP(-LN(2)/25))/(LN(2)/25)*Calculateur!DB158*Calculateur!DD158*VLOOKUP('Données projet'!$B$13,Paramètres!$A$1:$I$89,3,0)*0.475*44/12</f>
        <v>0.33789851339165772</v>
      </c>
      <c r="DH158" s="21">
        <f>EXP(-LN(2)/2)*DH157+(1-EXP(-LN(2)/2))/(LN(2)/2)*DB158*DE158*VLOOKUP('Données projet'!$B$13,Paramètres!$A$1:$I$89,3,0)*0.475*44/12</f>
        <v>1.3757702983859528E-18</v>
      </c>
      <c r="DI158" s="22">
        <f t="shared" si="175"/>
        <v>1.0462861331254076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2.2737367544323206E-13</v>
      </c>
      <c r="DP158" s="17">
        <f>DO158*VLOOKUP('Données projet'!$B$14,Paramètres!$A$1:$I$89,3,0)*VLOOKUP('Données projet'!$B$14,Paramètres!$A$1:$I$89,5,0)</f>
        <v>1.4897523215040565E-13</v>
      </c>
      <c r="DQ158" s="13">
        <f t="shared" si="176"/>
        <v>2.136562777003313E-12</v>
      </c>
      <c r="DR158" s="20">
        <f t="shared" si="177"/>
        <v>3.9806453659427267E-12</v>
      </c>
      <c r="DS158" s="59">
        <f t="shared" si="125"/>
        <v>293.33333333333729</v>
      </c>
      <c r="DT158" s="59">
        <f ca="1">AVERAGE(OFFSET($DS$3,0,0,'Données projet'!$E$14+1,1))-AVERAGE(OFFSET($H$3,0,0,'Données projet'!$E$14+1,1))</f>
        <v>295.92103934364718</v>
      </c>
      <c r="DU158" s="59">
        <f t="shared" si="152"/>
        <v>304.84379909635476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0.37519932815816409</v>
      </c>
      <c r="EB158" s="21">
        <f>EXP(-LN(2)/25)*EB157+(1-EXP(-LN(2)/25))/(LN(2)/25)*Calculateur!DW158*Calculateur!DY158*VLOOKUP('Données projet'!$B$14,Paramètres!$A$1:$I$89,3,0)*0.475*44/12</f>
        <v>0.22350472424923412</v>
      </c>
      <c r="EC158" s="21">
        <f>EXP(-LN(2)/2)*EC157+(1-EXP(-LN(2)/2))/(LN(2)/2)*DW158*DZ158*VLOOKUP('Données projet'!$B$14,Paramètres!$A$1:$I$89,3,0)*0.475*44/12</f>
        <v>8.8236658600012252E-19</v>
      </c>
      <c r="ED158" s="22">
        <f t="shared" si="178"/>
        <v>0.59870405240739821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-1.1368683772161603E-13</v>
      </c>
      <c r="O159" s="13">
        <f>N159*VLOOKUP('Données projet'!$B$9,Paramètres!$A$1:$I$89,3,0)*VLOOKUP('Données projet'!$B$9,Paramètres!$A$1:$I$89,5,0)</f>
        <v>-5.3205440053716299E-14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319.22903094674564</v>
      </c>
      <c r="T159" s="59">
        <f t="shared" si="142"/>
        <v>254.58690973142848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0.74850464588295507</v>
      </c>
      <c r="AA159" s="21">
        <f>EXP(-LN(2)/25)*AA158+(1-EXP(-LN(2)/25))/(LN(2)/25)*Calculateur!V159*Calculateur!X159*VLOOKUP('Données projet'!$B$9,Paramètres!$A$1:$I$89,3,0)*0.475*44/12</f>
        <v>0.33894958684194088</v>
      </c>
      <c r="AB159" s="21">
        <f>EXP(-LN(2)/2)*AB158+(1-EXP(-LN(2)/2))/(LN(2)/2)*V159*Y159*VLOOKUP('Données projet'!$B$9,Paramètres!$A$1:$I$89,3,0)*0.475*44/12</f>
        <v>1.1972984066426353E-18</v>
      </c>
      <c r="AC159" s="22">
        <f t="shared" si="163"/>
        <v>1.0874542327248959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-3.4106051316484809E-13</v>
      </c>
      <c r="AJ159" s="13">
        <f>AI159*VLOOKUP('Données projet'!$B$10,Paramètres!$A$1:$I$89,3,0)*VLOOKUP('Données projet'!$B$10,Paramètres!$A$1:$I$89,5,0)</f>
        <v>-1.9065282685915009E-13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544.48194192356823</v>
      </c>
      <c r="AO159" s="59">
        <f t="shared" si="144"/>
        <v>668.20427590250733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0.60543479195369387</v>
      </c>
      <c r="AV159" s="21">
        <f>EXP(-LN(2)/25)*AV158+(1-EXP(-LN(2)/25))/(LN(2)/25)*Calculateur!AQ159*Calculateur!AS159*VLOOKUP('Données projet'!$B$10,Paramètres!$A$1:$I$89,3,0)*0.475*44/12</f>
        <v>1.295218440304865</v>
      </c>
      <c r="AW159" s="21">
        <f>EXP(-LN(2)/2)*AW158+(1-EXP(-LN(2)/2))/(LN(2)/2)*AQ159*AT159*VLOOKUP('Données projet'!$B$10,Paramètres!$A$1:$I$89,3,0)*0.475*44/12</f>
        <v>1.5631981131332798E-18</v>
      </c>
      <c r="AX159" s="21">
        <f t="shared" si="166"/>
        <v>1.9006532322585588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>
        <f>BD159*VLOOKUP('Données projet'!$B$11,Paramètres!$A$1:$I$89,3,0)*VLOOKUP('Données projet'!$B$11,Paramètres!$A$1:$I$89,5,0)</f>
        <v>0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405.7176439604217</v>
      </c>
      <c r="BJ159" s="59">
        <f t="shared" si="146"/>
        <v>278.21741231699929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0.60272189981057012</v>
      </c>
      <c r="BQ159" s="21">
        <f>EXP(-LN(2)/25)*BQ158+(1-EXP(-LN(2)/25))/(LN(2)/25)*Calculateur!BL159*Calculateur!BN159*VLOOKUP('Données projet'!$B$11,Paramètres!$A$1:$I$89,3,0)*0.475*44/12</f>
        <v>0.28464644079000168</v>
      </c>
      <c r="BR159" s="21">
        <f>EXP(-LN(2)/2)*BR158+(1-EXP(-LN(2)/2))/(LN(2)/2)*BL159*BO159*VLOOKUP('Données projet'!$B$11,Paramètres!$A$1:$I$89,3,0)*0.475*44/12</f>
        <v>9.2534840351600234E-19</v>
      </c>
      <c r="BS159" s="22">
        <f t="shared" si="169"/>
        <v>0.88736834060057179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259.99999999999983</v>
      </c>
      <c r="BZ159" s="13">
        <f>BY159*VLOOKUP('Données projet'!$B$12,Paramètres!$A$1:$I$89,3,0)*VLOOKUP('Données projet'!$B$12,Paramètres!$A$1:$I$89,5,0)</f>
        <v>227.13599999999985</v>
      </c>
      <c r="CA159" s="13">
        <f t="shared" si="170"/>
        <v>55.662966886685133</v>
      </c>
      <c r="CB159" s="20">
        <f t="shared" si="171"/>
        <v>492.5415339943097</v>
      </c>
      <c r="CC159" s="59">
        <f t="shared" si="119"/>
        <v>785.87486732764296</v>
      </c>
      <c r="CD159" s="59">
        <f ca="1">AVERAGE(OFFSET($CC$3,0,0,'Données projet'!$E$12+1,1))-AVERAGE(OFFSET($H$3,0,0,'Données projet'!$E$12+1,1))</f>
        <v>381.72225529388083</v>
      </c>
      <c r="CE159" s="59">
        <f t="shared" si="148"/>
        <v>360.05900046417361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0.39680813314725288</v>
      </c>
      <c r="CL159" s="21">
        <f>EXP(-LN(2)/25)*CL158+(1-EXP(-LN(2)/25))/(LN(2)/25)*Calculateur!CG159*Calculateur!CI159*VLOOKUP('Données projet'!$B$12,Paramètres!$A$1:$I$89,3,0)*0.475*44/12</f>
        <v>0.34286573389270347</v>
      </c>
      <c r="CM159" s="21">
        <f>EXP(-LN(2)/2)*CM158+(1-EXP(-LN(2)/2))/(LN(2)/2)*CG159*CJ159*VLOOKUP('Données projet'!$B$12,Paramètres!$A$1:$I$89,3,0)*0.475*44/12</f>
        <v>7.5867110049766404E-19</v>
      </c>
      <c r="CN159" s="22">
        <f t="shared" si="172"/>
        <v>0.7396738670399563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-1.7053025658242404E-13</v>
      </c>
      <c r="CU159" s="17">
        <f>CT159*VLOOKUP('Données projet'!$B$13,Paramètres!$A$1:$I$89,3,0)*VLOOKUP('Données projet'!$B$13,Paramètres!$A$1:$I$89,5,0)</f>
        <v>-1.3567387213697657E-13</v>
      </c>
      <c r="CV159" s="13" t="e">
        <f t="shared" si="173"/>
        <v>#NUM!</v>
      </c>
      <c r="CW159" s="20" t="e">
        <f t="shared" si="174"/>
        <v>#NUM!</v>
      </c>
      <c r="CX159" s="59" t="e">
        <f t="shared" si="122"/>
        <v>#NUM!</v>
      </c>
      <c r="CY159" s="59">
        <f ca="1">AVERAGE(OFFSET($CX$3,0,0,'Données projet'!$E$13+1,1))-AVERAGE(OFFSET($H$3,0,0,'Données projet'!$E$13+1,1))</f>
        <v>299.10536994156814</v>
      </c>
      <c r="CZ159" s="59">
        <f t="shared" si="150"/>
        <v>292.57799203101769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0.69449657058455527</v>
      </c>
      <c r="DG159" s="21">
        <f>EXP(-LN(2)/25)*DG158+(1-EXP(-LN(2)/25))/(LN(2)/25)*Calculateur!DB159*Calculateur!DD159*VLOOKUP('Données projet'!$B$13,Paramètres!$A$1:$I$89,3,0)*0.475*44/12</f>
        <v>0.3286586607736523</v>
      </c>
      <c r="DH159" s="21">
        <f>EXP(-LN(2)/2)*DH158+(1-EXP(-LN(2)/2))/(LN(2)/2)*DB159*DE159*VLOOKUP('Données projet'!$B$13,Paramètres!$A$1:$I$89,3,0)*0.475*44/12</f>
        <v>9.7281650734374707E-19</v>
      </c>
      <c r="DI159" s="22">
        <f t="shared" si="175"/>
        <v>1.0231552313582075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2.2737367544323206E-13</v>
      </c>
      <c r="DP159" s="17">
        <f>DO159*VLOOKUP('Données projet'!$B$14,Paramètres!$A$1:$I$89,3,0)*VLOOKUP('Données projet'!$B$14,Paramètres!$A$1:$I$89,5,0)</f>
        <v>1.4897523215040565E-13</v>
      </c>
      <c r="DQ159" s="13">
        <f t="shared" si="176"/>
        <v>2.136562777003313E-12</v>
      </c>
      <c r="DR159" s="20">
        <f t="shared" si="177"/>
        <v>3.9806453659427267E-12</v>
      </c>
      <c r="DS159" s="59">
        <f t="shared" si="125"/>
        <v>293.33333333333729</v>
      </c>
      <c r="DT159" s="59">
        <f ca="1">AVERAGE(OFFSET($DS$3,0,0,'Données projet'!$E$14+1,1))-AVERAGE(OFFSET($H$3,0,0,'Données projet'!$E$14+1,1))</f>
        <v>295.92103934364718</v>
      </c>
      <c r="DU159" s="59">
        <f t="shared" si="152"/>
        <v>304.84379909635476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0.36784189818197571</v>
      </c>
      <c r="EB159" s="21">
        <f>EXP(-LN(2)/25)*EB158+(1-EXP(-LN(2)/25))/(LN(2)/25)*Calculateur!DW159*Calculateur!DY159*VLOOKUP('Données projet'!$B$14,Paramètres!$A$1:$I$89,3,0)*0.475*44/12</f>
        <v>0.2173929758110362</v>
      </c>
      <c r="EC159" s="21">
        <f>EXP(-LN(2)/2)*EC158+(1-EXP(-LN(2)/2))/(LN(2)/2)*DW159*DZ159*VLOOKUP('Données projet'!$B$14,Paramètres!$A$1:$I$89,3,0)*0.475*44/12</f>
        <v>6.2392739645310961E-19</v>
      </c>
      <c r="ED159" s="22">
        <f t="shared" si="178"/>
        <v>0.58523487399301188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-1.1368683772161603E-13</v>
      </c>
      <c r="O160" s="13">
        <f>N160*VLOOKUP('Données projet'!$B$9,Paramètres!$A$1:$I$89,3,0)*VLOOKUP('Données projet'!$B$9,Paramètres!$A$1:$I$89,5,0)</f>
        <v>-5.3205440053716299E-14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319.22903094674564</v>
      </c>
      <c r="T160" s="59">
        <f t="shared" si="142"/>
        <v>254.58690973142848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0.73382692631994451</v>
      </c>
      <c r="AA160" s="21">
        <f>EXP(-LN(2)/25)*AA159+(1-EXP(-LN(2)/25))/(LN(2)/25)*Calculateur!V160*Calculateur!X160*VLOOKUP('Données projet'!$B$9,Paramètres!$A$1:$I$89,3,0)*0.475*44/12</f>
        <v>0.32968099256516392</v>
      </c>
      <c r="AB160" s="21">
        <f>EXP(-LN(2)/2)*AB159+(1-EXP(-LN(2)/2))/(LN(2)/2)*V160*Y160*VLOOKUP('Données projet'!$B$9,Paramètres!$A$1:$I$89,3,0)*0.475*44/12</f>
        <v>8.4661782244085598E-19</v>
      </c>
      <c r="AC160" s="22">
        <f t="shared" si="163"/>
        <v>1.0635079188851084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-3.4106051316484809E-13</v>
      </c>
      <c r="AJ160" s="13">
        <f>AI160*VLOOKUP('Données projet'!$B$10,Paramètres!$A$1:$I$89,3,0)*VLOOKUP('Données projet'!$B$10,Paramètres!$A$1:$I$89,5,0)</f>
        <v>-1.9065282685915009E-13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544.48194192356823</v>
      </c>
      <c r="AO160" s="59">
        <f t="shared" si="144"/>
        <v>668.20427590250733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0.59356258496224179</v>
      </c>
      <c r="AV160" s="21">
        <f>EXP(-LN(2)/25)*AV159+(1-EXP(-LN(2)/25))/(LN(2)/25)*Calculateur!AQ160*Calculateur!AS160*VLOOKUP('Données projet'!$B$10,Paramètres!$A$1:$I$89,3,0)*0.475*44/12</f>
        <v>1.2598006239421509</v>
      </c>
      <c r="AW160" s="21">
        <f>EXP(-LN(2)/2)*AW159+(1-EXP(-LN(2)/2))/(LN(2)/2)*AQ160*AT160*VLOOKUP('Données projet'!$B$10,Paramètres!$A$1:$I$89,3,0)*0.475*44/12</f>
        <v>1.1053479861345581E-18</v>
      </c>
      <c r="AX160" s="21">
        <f t="shared" si="166"/>
        <v>1.8533632089043928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>
        <f>BD160*VLOOKUP('Données projet'!$B$11,Paramètres!$A$1:$I$89,3,0)*VLOOKUP('Données projet'!$B$11,Paramètres!$A$1:$I$89,5,0)</f>
        <v>0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405.7176439604217</v>
      </c>
      <c r="BJ160" s="59">
        <f t="shared" si="146"/>
        <v>278.21741231699929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0.5909028909793439</v>
      </c>
      <c r="BQ160" s="21">
        <f>EXP(-LN(2)/25)*BQ159+(1-EXP(-LN(2)/25))/(LN(2)/25)*Calculateur!BL160*Calculateur!BN160*VLOOKUP('Données projet'!$B$11,Paramètres!$A$1:$I$89,3,0)*0.475*44/12</f>
        <v>0.27686276889769335</v>
      </c>
      <c r="BR160" s="21">
        <f>EXP(-LN(2)/2)*BR159+(1-EXP(-LN(2)/2))/(LN(2)/2)*BL160*BO160*VLOOKUP('Données projet'!$B$11,Paramètres!$A$1:$I$89,3,0)*0.475*44/12</f>
        <v>6.5432013108631096E-19</v>
      </c>
      <c r="BS160" s="22">
        <f t="shared" si="169"/>
        <v>0.86776565987703724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259.99999999999983</v>
      </c>
      <c r="BZ160" s="13">
        <f>BY160*VLOOKUP('Données projet'!$B$12,Paramètres!$A$1:$I$89,3,0)*VLOOKUP('Données projet'!$B$12,Paramètres!$A$1:$I$89,5,0)</f>
        <v>227.13599999999985</v>
      </c>
      <c r="CA160" s="13">
        <f t="shared" si="170"/>
        <v>55.662966886685133</v>
      </c>
      <c r="CB160" s="20">
        <f t="shared" si="171"/>
        <v>492.5415339943097</v>
      </c>
      <c r="CC160" s="59">
        <f t="shared" si="119"/>
        <v>785.87486732764296</v>
      </c>
      <c r="CD160" s="59">
        <f ca="1">AVERAGE(OFFSET($CC$3,0,0,'Données projet'!$E$12+1,1))-AVERAGE(OFFSET($H$3,0,0,'Données projet'!$E$12+1,1))</f>
        <v>381.72225529388083</v>
      </c>
      <c r="CE160" s="59">
        <f t="shared" si="148"/>
        <v>360.05900046417361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0.3890269676852981</v>
      </c>
      <c r="CL160" s="21">
        <f>EXP(-LN(2)/25)*CL159+(1-EXP(-LN(2)/25))/(LN(2)/25)*Calculateur!CG160*Calculateur!CI160*VLOOKUP('Données projet'!$B$12,Paramètres!$A$1:$I$89,3,0)*0.475*44/12</f>
        <v>0.33349005236888218</v>
      </c>
      <c r="CM160" s="21">
        <f>EXP(-LN(2)/2)*CM159+(1-EXP(-LN(2)/2))/(LN(2)/2)*CG160*CJ160*VLOOKUP('Données projet'!$B$12,Paramètres!$A$1:$I$89,3,0)*0.475*44/12</f>
        <v>5.3646147985215892E-19</v>
      </c>
      <c r="CN160" s="22">
        <f t="shared" si="172"/>
        <v>0.72251702005418028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-1.7053025658242404E-13</v>
      </c>
      <c r="CU160" s="17">
        <f>CT160*VLOOKUP('Données projet'!$B$13,Paramètres!$A$1:$I$89,3,0)*VLOOKUP('Données projet'!$B$13,Paramètres!$A$1:$I$89,5,0)</f>
        <v>-1.3567387213697657E-13</v>
      </c>
      <c r="CV160" s="13" t="e">
        <f t="shared" si="173"/>
        <v>#NUM!</v>
      </c>
      <c r="CW160" s="20" t="e">
        <f t="shared" si="174"/>
        <v>#NUM!</v>
      </c>
      <c r="CX160" s="59" t="e">
        <f t="shared" si="122"/>
        <v>#NUM!</v>
      </c>
      <c r="CY160" s="59">
        <f ca="1">AVERAGE(OFFSET($CX$3,0,0,'Données projet'!$E$13+1,1))-AVERAGE(OFFSET($H$3,0,0,'Données projet'!$E$13+1,1))</f>
        <v>299.10536994156814</v>
      </c>
      <c r="CZ160" s="59">
        <f t="shared" si="150"/>
        <v>292.57799203101769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0.68087791643647311</v>
      </c>
      <c r="DG160" s="21">
        <f>EXP(-LN(2)/25)*DG159+(1-EXP(-LN(2)/25))/(LN(2)/25)*Calculateur!DB160*Calculateur!DD160*VLOOKUP('Données projet'!$B$13,Paramètres!$A$1:$I$89,3,0)*0.475*44/12</f>
        <v>0.31967147241138899</v>
      </c>
      <c r="DH160" s="21">
        <f>EXP(-LN(2)/2)*DH159+(1-EXP(-LN(2)/2))/(LN(2)/2)*DB160*DE160*VLOOKUP('Données projet'!$B$13,Paramètres!$A$1:$I$89,3,0)*0.475*44/12</f>
        <v>6.8788514919297638E-19</v>
      </c>
      <c r="DI160" s="22">
        <f t="shared" si="175"/>
        <v>1.000549388847862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2.2737367544323206E-13</v>
      </c>
      <c r="DP160" s="17">
        <f>DO160*VLOOKUP('Données projet'!$B$14,Paramètres!$A$1:$I$89,3,0)*VLOOKUP('Données projet'!$B$14,Paramètres!$A$1:$I$89,5,0)</f>
        <v>1.4897523215040565E-13</v>
      </c>
      <c r="DQ160" s="13">
        <f t="shared" si="176"/>
        <v>2.136562777003313E-12</v>
      </c>
      <c r="DR160" s="20">
        <f t="shared" si="177"/>
        <v>3.9806453659427267E-12</v>
      </c>
      <c r="DS160" s="59">
        <f t="shared" si="125"/>
        <v>293.33333333333729</v>
      </c>
      <c r="DT160" s="59">
        <f ca="1">AVERAGE(OFFSET($DS$3,0,0,'Données projet'!$E$14+1,1))-AVERAGE(OFFSET($H$3,0,0,'Données projet'!$E$14+1,1))</f>
        <v>295.92103934364718</v>
      </c>
      <c r="DU160" s="59">
        <f t="shared" si="152"/>
        <v>304.84379909635476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0.36062874292003122</v>
      </c>
      <c r="EB160" s="21">
        <f>EXP(-LN(2)/25)*EB159+(1-EXP(-LN(2)/25))/(LN(2)/25)*Calculateur!DW160*Calculateur!DY160*VLOOKUP('Données projet'!$B$14,Paramètres!$A$1:$I$89,3,0)*0.475*44/12</f>
        <v>0.21144835345528368</v>
      </c>
      <c r="EC160" s="21">
        <f>EXP(-LN(2)/2)*EC159+(1-EXP(-LN(2)/2))/(LN(2)/2)*DW160*DZ160*VLOOKUP('Données projet'!$B$14,Paramètres!$A$1:$I$89,3,0)*0.475*44/12</f>
        <v>4.4118329300006126E-19</v>
      </c>
      <c r="ED160" s="22">
        <f t="shared" si="178"/>
        <v>0.5720770963753149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-1.1368683772161603E-13</v>
      </c>
      <c r="O161" s="13">
        <f>N161*VLOOKUP('Données projet'!$B$9,Paramètres!$A$1:$I$89,3,0)*VLOOKUP('Données projet'!$B$9,Paramètres!$A$1:$I$89,5,0)</f>
        <v>-5.3205440053716299E-14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319.22903094674564</v>
      </c>
      <c r="T161" s="59">
        <f t="shared" si="142"/>
        <v>254.58690973142848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0.7194370278850396</v>
      </c>
      <c r="AA161" s="21">
        <f>EXP(-LN(2)/25)*AA160+(1-EXP(-LN(2)/25))/(LN(2)/25)*Calculateur!V161*Calculateur!X161*VLOOKUP('Données projet'!$B$9,Paramètres!$A$1:$I$89,3,0)*0.475*44/12</f>
        <v>0.32066584848629959</v>
      </c>
      <c r="AB161" s="21">
        <f>EXP(-LN(2)/2)*AB160+(1-EXP(-LN(2)/2))/(LN(2)/2)*V161*Y161*VLOOKUP('Données projet'!$B$9,Paramètres!$A$1:$I$89,3,0)*0.475*44/12</f>
        <v>5.9864920332131776E-19</v>
      </c>
      <c r="AC161" s="22">
        <f t="shared" si="163"/>
        <v>1.0401028763713391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-3.4106051316484809E-13</v>
      </c>
      <c r="AJ161" s="13">
        <f>AI161*VLOOKUP('Données projet'!$B$10,Paramètres!$A$1:$I$89,3,0)*VLOOKUP('Données projet'!$B$10,Paramètres!$A$1:$I$89,5,0)</f>
        <v>-1.9065282685915009E-13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544.48194192356823</v>
      </c>
      <c r="AO161" s="59">
        <f t="shared" si="144"/>
        <v>668.20427590250733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0.58192318470856086</v>
      </c>
      <c r="AV161" s="21">
        <f>EXP(-LN(2)/25)*AV160+(1-EXP(-LN(2)/25))/(LN(2)/25)*Calculateur!AQ161*Calculateur!AS161*VLOOKUP('Données projet'!$B$10,Paramètres!$A$1:$I$89,3,0)*0.475*44/12</f>
        <v>1.2253513096304172</v>
      </c>
      <c r="AW161" s="21">
        <f>EXP(-LN(2)/2)*AW160+(1-EXP(-LN(2)/2))/(LN(2)/2)*AQ161*AT161*VLOOKUP('Données projet'!$B$10,Paramètres!$A$1:$I$89,3,0)*0.475*44/12</f>
        <v>7.8159905656663992E-19</v>
      </c>
      <c r="AX161" s="21">
        <f t="shared" si="166"/>
        <v>1.807274494338978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>
        <f>BD161*VLOOKUP('Données projet'!$B$11,Paramètres!$A$1:$I$89,3,0)*VLOOKUP('Données projet'!$B$11,Paramètres!$A$1:$I$89,5,0)</f>
        <v>0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405.7176439604217</v>
      </c>
      <c r="BJ161" s="59">
        <f t="shared" si="146"/>
        <v>278.21741231699929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0.57931564570241445</v>
      </c>
      <c r="BQ161" s="21">
        <f>EXP(-LN(2)/25)*BQ160+(1-EXP(-LN(2)/25))/(LN(2)/25)*Calculateur!BL161*Calculateur!BN161*VLOOKUP('Données projet'!$B$11,Paramètres!$A$1:$I$89,3,0)*0.475*44/12</f>
        <v>0.26929194192260569</v>
      </c>
      <c r="BR161" s="21">
        <f>EXP(-LN(2)/2)*BR160+(1-EXP(-LN(2)/2))/(LN(2)/2)*BL161*BO161*VLOOKUP('Données projet'!$B$11,Paramètres!$A$1:$I$89,3,0)*0.475*44/12</f>
        <v>4.6267420175800117E-19</v>
      </c>
      <c r="BS161" s="22">
        <f t="shared" si="169"/>
        <v>0.84860758762502009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259.99999999999983</v>
      </c>
      <c r="BZ161" s="13">
        <f>BY161*VLOOKUP('Données projet'!$B$12,Paramètres!$A$1:$I$89,3,0)*VLOOKUP('Données projet'!$B$12,Paramètres!$A$1:$I$89,5,0)</f>
        <v>227.13599999999985</v>
      </c>
      <c r="CA161" s="13">
        <f t="shared" si="170"/>
        <v>55.662966886685133</v>
      </c>
      <c r="CB161" s="20">
        <f t="shared" si="171"/>
        <v>492.5415339943097</v>
      </c>
      <c r="CC161" s="59">
        <f t="shared" si="119"/>
        <v>785.87486732764296</v>
      </c>
      <c r="CD161" s="59">
        <f ca="1">AVERAGE(OFFSET($CC$3,0,0,'Données projet'!$E$12+1,1))-AVERAGE(OFFSET($H$3,0,0,'Données projet'!$E$12+1,1))</f>
        <v>381.72225529388083</v>
      </c>
      <c r="CE161" s="59">
        <f t="shared" si="148"/>
        <v>360.05900046417361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0.38139838613200994</v>
      </c>
      <c r="CL161" s="21">
        <f>EXP(-LN(2)/25)*CL160+(1-EXP(-LN(2)/25))/(LN(2)/25)*Calculateur!CG161*Calculateur!CI161*VLOOKUP('Données projet'!$B$12,Paramètres!$A$1:$I$89,3,0)*0.475*44/12</f>
        <v>0.32437074934937543</v>
      </c>
      <c r="CM161" s="21">
        <f>EXP(-LN(2)/2)*CM160+(1-EXP(-LN(2)/2))/(LN(2)/2)*CG161*CJ161*VLOOKUP('Données projet'!$B$12,Paramètres!$A$1:$I$89,3,0)*0.475*44/12</f>
        <v>3.7933555024883202E-19</v>
      </c>
      <c r="CN161" s="22">
        <f t="shared" si="172"/>
        <v>0.70576913548138531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-1.7053025658242404E-13</v>
      </c>
      <c r="CU161" s="17">
        <f>CT161*VLOOKUP('Données projet'!$B$13,Paramètres!$A$1:$I$89,3,0)*VLOOKUP('Données projet'!$B$13,Paramètres!$A$1:$I$89,5,0)</f>
        <v>-1.3567387213697657E-13</v>
      </c>
      <c r="CV161" s="13" t="e">
        <f t="shared" si="173"/>
        <v>#NUM!</v>
      </c>
      <c r="CW161" s="20" t="e">
        <f t="shared" si="174"/>
        <v>#NUM!</v>
      </c>
      <c r="CX161" s="59" t="e">
        <f t="shared" si="122"/>
        <v>#NUM!</v>
      </c>
      <c r="CY161" s="59">
        <f ca="1">AVERAGE(OFFSET($CX$3,0,0,'Données projet'!$E$13+1,1))-AVERAGE(OFFSET($H$3,0,0,'Données projet'!$E$13+1,1))</f>
        <v>299.10536994156814</v>
      </c>
      <c r="CZ161" s="59">
        <f t="shared" si="150"/>
        <v>292.57799203101769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0.66752631578967592</v>
      </c>
      <c r="DG161" s="21">
        <f>EXP(-LN(2)/25)*DG160+(1-EXP(-LN(2)/25))/(LN(2)/25)*Calculateur!DB161*Calculateur!DD161*VLOOKUP('Données projet'!$B$13,Paramètres!$A$1:$I$89,3,0)*0.475*44/12</f>
        <v>0.31093003918750745</v>
      </c>
      <c r="DH161" s="21">
        <f>EXP(-LN(2)/2)*DH160+(1-EXP(-LN(2)/2))/(LN(2)/2)*DB161*DE161*VLOOKUP('Données projet'!$B$13,Paramètres!$A$1:$I$89,3,0)*0.475*44/12</f>
        <v>4.8640825367187354E-19</v>
      </c>
      <c r="DI161" s="22">
        <f t="shared" si="175"/>
        <v>0.97845635497718342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2.2737367544323206E-13</v>
      </c>
      <c r="DP161" s="17">
        <f>DO161*VLOOKUP('Données projet'!$B$14,Paramètres!$A$1:$I$89,3,0)*VLOOKUP('Données projet'!$B$14,Paramètres!$A$1:$I$89,5,0)</f>
        <v>1.4897523215040565E-13</v>
      </c>
      <c r="DQ161" s="13">
        <f t="shared" si="176"/>
        <v>2.136562777003313E-12</v>
      </c>
      <c r="DR161" s="20">
        <f t="shared" si="177"/>
        <v>3.9806453659427267E-12</v>
      </c>
      <c r="DS161" s="59">
        <f t="shared" si="125"/>
        <v>293.33333333333729</v>
      </c>
      <c r="DT161" s="59">
        <f ca="1">AVERAGE(OFFSET($DS$3,0,0,'Données projet'!$E$14+1,1))-AVERAGE(OFFSET($H$3,0,0,'Données projet'!$E$14+1,1))</f>
        <v>295.92103934364718</v>
      </c>
      <c r="DU161" s="59">
        <f t="shared" si="152"/>
        <v>304.84379909635476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0.35355703323318316</v>
      </c>
      <c r="EB161" s="21">
        <f>EXP(-LN(2)/25)*EB160+(1-EXP(-LN(2)/25))/(LN(2)/25)*Calculateur!DW161*Calculateur!DY161*VLOOKUP('Données projet'!$B$14,Paramètres!$A$1:$I$89,3,0)*0.475*44/12</f>
        <v>0.20566628711046331</v>
      </c>
      <c r="EC161" s="21">
        <f>EXP(-LN(2)/2)*EC160+(1-EXP(-LN(2)/2))/(LN(2)/2)*DW161*DZ161*VLOOKUP('Données projet'!$B$14,Paramètres!$A$1:$I$89,3,0)*0.475*44/12</f>
        <v>3.1196369822655481E-19</v>
      </c>
      <c r="ED161" s="22">
        <f t="shared" si="178"/>
        <v>0.55922332034364652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-1.1368683772161603E-13</v>
      </c>
      <c r="O162" s="13">
        <f>N162*VLOOKUP('Données projet'!$B$9,Paramètres!$A$1:$I$89,3,0)*VLOOKUP('Données projet'!$B$9,Paramètres!$A$1:$I$89,5,0)</f>
        <v>-5.3205440053716299E-14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319.22903094674564</v>
      </c>
      <c r="T162" s="59">
        <f t="shared" si="142"/>
        <v>254.58690973142848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0.70532930658147175</v>
      </c>
      <c r="AA162" s="21">
        <f>EXP(-LN(2)/25)*AA161+(1-EXP(-LN(2)/25))/(LN(2)/25)*Calculateur!V162*Calculateur!X162*VLOOKUP('Données projet'!$B$9,Paramètres!$A$1:$I$89,3,0)*0.475*44/12</f>
        <v>0.31189722399635766</v>
      </c>
      <c r="AB162" s="21">
        <f>EXP(-LN(2)/2)*AB161+(1-EXP(-LN(2)/2))/(LN(2)/2)*V162*Y162*VLOOKUP('Données projet'!$B$9,Paramètres!$A$1:$I$89,3,0)*0.475*44/12</f>
        <v>4.2330891122042809E-19</v>
      </c>
      <c r="AC162" s="22">
        <f t="shared" si="163"/>
        <v>1.0172265305778294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-3.4106051316484809E-13</v>
      </c>
      <c r="AJ162" s="13">
        <f>AI162*VLOOKUP('Données projet'!$B$10,Paramètres!$A$1:$I$89,3,0)*VLOOKUP('Données projet'!$B$10,Paramètres!$A$1:$I$89,5,0)</f>
        <v>-1.9065282685915009E-13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544.48194192356823</v>
      </c>
      <c r="AO162" s="59">
        <f t="shared" si="144"/>
        <v>668.20427590250733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0.57051202599452144</v>
      </c>
      <c r="AV162" s="21">
        <f>EXP(-LN(2)/25)*AV161+(1-EXP(-LN(2)/25))/(LN(2)/25)*Calculateur!AQ162*Calculateur!AS162*VLOOKUP('Données projet'!$B$10,Paramètres!$A$1:$I$89,3,0)*0.475*44/12</f>
        <v>1.1918440136301487</v>
      </c>
      <c r="AW162" s="21">
        <f>EXP(-LN(2)/2)*AW161+(1-EXP(-LN(2)/2))/(LN(2)/2)*AQ162*AT162*VLOOKUP('Données projet'!$B$10,Paramètres!$A$1:$I$89,3,0)*0.475*44/12</f>
        <v>5.5267399306727903E-19</v>
      </c>
      <c r="AX162" s="21">
        <f t="shared" si="166"/>
        <v>1.7623560396246702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>
        <f>BD162*VLOOKUP('Données projet'!$B$11,Paramètres!$A$1:$I$89,3,0)*VLOOKUP('Données projet'!$B$11,Paramètres!$A$1:$I$89,5,0)</f>
        <v>0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405.7176439604217</v>
      </c>
      <c r="BJ162" s="59">
        <f t="shared" si="146"/>
        <v>278.21741231699929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0.56795561923784377</v>
      </c>
      <c r="BQ162" s="21">
        <f>EXP(-LN(2)/25)*BQ161+(1-EXP(-LN(2)/25))/(LN(2)/25)*Calculateur!BL162*Calculateur!BN162*VLOOKUP('Données projet'!$B$11,Paramètres!$A$1:$I$89,3,0)*0.475*44/12</f>
        <v>0.26192813960928429</v>
      </c>
      <c r="BR162" s="21">
        <f>EXP(-LN(2)/2)*BR161+(1-EXP(-LN(2)/2))/(LN(2)/2)*BL162*BO162*VLOOKUP('Données projet'!$B$11,Paramètres!$A$1:$I$89,3,0)*0.475*44/12</f>
        <v>3.2716006554315548E-19</v>
      </c>
      <c r="BS162" s="22">
        <f t="shared" si="169"/>
        <v>0.82988375884712806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259.99999999999983</v>
      </c>
      <c r="BZ162" s="13">
        <f>BY162*VLOOKUP('Données projet'!$B$12,Paramètres!$A$1:$I$89,3,0)*VLOOKUP('Données projet'!$B$12,Paramètres!$A$1:$I$89,5,0)</f>
        <v>227.13599999999985</v>
      </c>
      <c r="CA162" s="13">
        <f t="shared" si="170"/>
        <v>55.662966886685133</v>
      </c>
      <c r="CB162" s="20">
        <f t="shared" si="171"/>
        <v>492.5415339943097</v>
      </c>
      <c r="CC162" s="59">
        <f t="shared" si="119"/>
        <v>785.87486732764296</v>
      </c>
      <c r="CD162" s="59">
        <f ca="1">AVERAGE(OFFSET($CC$3,0,0,'Données projet'!$E$12+1,1))-AVERAGE(OFFSET($H$3,0,0,'Données projet'!$E$12+1,1))</f>
        <v>381.72225529388083</v>
      </c>
      <c r="CE162" s="59">
        <f t="shared" si="148"/>
        <v>360.05900046417361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0.37391939641000643</v>
      </c>
      <c r="CL162" s="21">
        <f>EXP(-LN(2)/25)*CL161+(1-EXP(-LN(2)/25))/(LN(2)/25)*Calculateur!CG162*Calculateur!CI162*VLOOKUP('Données projet'!$B$12,Paramètres!$A$1:$I$89,3,0)*0.475*44/12</f>
        <v>0.31550081415050041</v>
      </c>
      <c r="CM162" s="21">
        <f>EXP(-LN(2)/2)*CM161+(1-EXP(-LN(2)/2))/(LN(2)/2)*CG162*CJ162*VLOOKUP('Données projet'!$B$12,Paramètres!$A$1:$I$89,3,0)*0.475*44/12</f>
        <v>2.6823073992607946E-19</v>
      </c>
      <c r="CN162" s="22">
        <f t="shared" si="172"/>
        <v>0.68942021056050684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-1.7053025658242404E-13</v>
      </c>
      <c r="CU162" s="17">
        <f>CT162*VLOOKUP('Données projet'!$B$13,Paramètres!$A$1:$I$89,3,0)*VLOOKUP('Données projet'!$B$13,Paramètres!$A$1:$I$89,5,0)</f>
        <v>-1.3567387213697657E-13</v>
      </c>
      <c r="CV162" s="13" t="e">
        <f t="shared" si="173"/>
        <v>#NUM!</v>
      </c>
      <c r="CW162" s="20" t="e">
        <f t="shared" si="174"/>
        <v>#NUM!</v>
      </c>
      <c r="CX162" s="59" t="e">
        <f t="shared" si="122"/>
        <v>#NUM!</v>
      </c>
      <c r="CY162" s="59">
        <f ca="1">AVERAGE(OFFSET($CX$3,0,0,'Données projet'!$E$13+1,1))-AVERAGE(OFFSET($H$3,0,0,'Données projet'!$E$13+1,1))</f>
        <v>299.10536994156814</v>
      </c>
      <c r="CZ162" s="59">
        <f t="shared" si="150"/>
        <v>292.57799203101769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0.65443653188789019</v>
      </c>
      <c r="DG162" s="21">
        <f>EXP(-LN(2)/25)*DG161+(1-EXP(-LN(2)/25))/(LN(2)/25)*Calculateur!DB162*Calculateur!DD162*VLOOKUP('Données projet'!$B$13,Paramètres!$A$1:$I$89,3,0)*0.475*44/12</f>
        <v>0.30242764091482494</v>
      </c>
      <c r="DH162" s="21">
        <f>EXP(-LN(2)/2)*DH161+(1-EXP(-LN(2)/2))/(LN(2)/2)*DB162*DE162*VLOOKUP('Données projet'!$B$13,Paramètres!$A$1:$I$89,3,0)*0.475*44/12</f>
        <v>3.4394257459648819E-19</v>
      </c>
      <c r="DI162" s="22">
        <f t="shared" si="175"/>
        <v>0.95686417280271518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2.2737367544323206E-13</v>
      </c>
      <c r="DP162" s="17">
        <f>DO162*VLOOKUP('Données projet'!$B$14,Paramètres!$A$1:$I$89,3,0)*VLOOKUP('Données projet'!$B$14,Paramètres!$A$1:$I$89,5,0)</f>
        <v>1.4897523215040565E-13</v>
      </c>
      <c r="DQ162" s="13">
        <f t="shared" si="176"/>
        <v>2.136562777003313E-12</v>
      </c>
      <c r="DR162" s="20">
        <f t="shared" si="177"/>
        <v>3.9806453659427267E-12</v>
      </c>
      <c r="DS162" s="59">
        <f t="shared" si="125"/>
        <v>293.33333333333729</v>
      </c>
      <c r="DT162" s="59">
        <f ca="1">AVERAGE(OFFSET($DS$3,0,0,'Données projet'!$E$14+1,1))-AVERAGE(OFFSET($H$3,0,0,'Données projet'!$E$14+1,1))</f>
        <v>295.92103934364718</v>
      </c>
      <c r="DU162" s="59">
        <f t="shared" si="152"/>
        <v>304.84379909635476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0.34662399545997719</v>
      </c>
      <c r="EB162" s="21">
        <f>EXP(-LN(2)/25)*EB161+(1-EXP(-LN(2)/25))/(LN(2)/25)*Calculateur!DW162*Calculateur!DY162*VLOOKUP('Données projet'!$B$14,Paramètres!$A$1:$I$89,3,0)*0.475*44/12</f>
        <v>0.2000423316739077</v>
      </c>
      <c r="EC162" s="21">
        <f>EXP(-LN(2)/2)*EC161+(1-EXP(-LN(2)/2))/(LN(2)/2)*DW162*DZ162*VLOOKUP('Données projet'!$B$14,Paramètres!$A$1:$I$89,3,0)*0.475*44/12</f>
        <v>2.2059164650003063E-19</v>
      </c>
      <c r="ED162" s="22">
        <f t="shared" si="178"/>
        <v>0.54666632713388486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-1.1368683772161603E-13</v>
      </c>
      <c r="O163" s="13">
        <f>N163*VLOOKUP('Données projet'!$B$9,Paramètres!$A$1:$I$89,3,0)*VLOOKUP('Données projet'!$B$9,Paramètres!$A$1:$I$89,5,0)</f>
        <v>-5.3205440053716299E-14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319.22903094674564</v>
      </c>
      <c r="T163" s="59">
        <f t="shared" si="142"/>
        <v>254.58690973142848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0.69149822908780656</v>
      </c>
      <c r="AA163" s="21">
        <f>EXP(-LN(2)/25)*AA162+(1-EXP(-LN(2)/25))/(LN(2)/25)*Calculateur!V163*Calculateur!X163*VLOOKUP('Données projet'!$B$9,Paramètres!$A$1:$I$89,3,0)*0.475*44/12</f>
        <v>0.30336837800421512</v>
      </c>
      <c r="AB163" s="21">
        <f>EXP(-LN(2)/2)*AB162+(1-EXP(-LN(2)/2))/(LN(2)/2)*V163*Y163*VLOOKUP('Données projet'!$B$9,Paramètres!$A$1:$I$89,3,0)*0.475*44/12</f>
        <v>2.9932460166065893E-19</v>
      </c>
      <c r="AC163" s="22">
        <f t="shared" si="163"/>
        <v>0.99486660709202168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-3.4106051316484809E-13</v>
      </c>
      <c r="AJ163" s="13">
        <f>AI163*VLOOKUP('Données projet'!$B$10,Paramètres!$A$1:$I$89,3,0)*VLOOKUP('Données projet'!$B$10,Paramètres!$A$1:$I$89,5,0)</f>
        <v>-1.9065282685915009E-13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544.48194192356823</v>
      </c>
      <c r="AO163" s="59">
        <f t="shared" si="144"/>
        <v>668.20427590250733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0.55932463314274472</v>
      </c>
      <c r="AV163" s="21">
        <f>EXP(-LN(2)/25)*AV162+(1-EXP(-LN(2)/25))/(LN(2)/25)*Calculateur!AQ163*Calculateur!AS163*VLOOKUP('Données projet'!$B$10,Paramètres!$A$1:$I$89,3,0)*0.475*44/12</f>
        <v>1.1592529764010795</v>
      </c>
      <c r="AW163" s="21">
        <f>EXP(-LN(2)/2)*AW162+(1-EXP(-LN(2)/2))/(LN(2)/2)*AQ163*AT163*VLOOKUP('Données projet'!$B$10,Paramètres!$A$1:$I$89,3,0)*0.475*44/12</f>
        <v>3.9079952828331996E-19</v>
      </c>
      <c r="AX163" s="21">
        <f t="shared" si="166"/>
        <v>1.7185776095438241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>
        <f>BD163*VLOOKUP('Données projet'!$B$11,Paramètres!$A$1:$I$89,3,0)*VLOOKUP('Données projet'!$B$11,Paramètres!$A$1:$I$89,5,0)</f>
        <v>0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405.7176439604217</v>
      </c>
      <c r="BJ163" s="59">
        <f t="shared" si="146"/>
        <v>278.21741231699929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0.55681835596331142</v>
      </c>
      <c r="BQ163" s="21">
        <f>EXP(-LN(2)/25)*BQ162+(1-EXP(-LN(2)/25))/(LN(2)/25)*Calculateur!BL163*Calculateur!BN163*VLOOKUP('Données projet'!$B$11,Paramètres!$A$1:$I$89,3,0)*0.475*44/12</f>
        <v>0.25476570085746619</v>
      </c>
      <c r="BR163" s="21">
        <f>EXP(-LN(2)/2)*BR162+(1-EXP(-LN(2)/2))/(LN(2)/2)*BL163*BO163*VLOOKUP('Données projet'!$B$11,Paramètres!$A$1:$I$89,3,0)*0.475*44/12</f>
        <v>2.3133710087900059E-19</v>
      </c>
      <c r="BS163" s="22">
        <f t="shared" si="169"/>
        <v>0.81158405682077761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259.99999999999983</v>
      </c>
      <c r="BZ163" s="13">
        <f>BY163*VLOOKUP('Données projet'!$B$12,Paramètres!$A$1:$I$89,3,0)*VLOOKUP('Données projet'!$B$12,Paramètres!$A$1:$I$89,5,0)</f>
        <v>227.13599999999985</v>
      </c>
      <c r="CA163" s="13">
        <f t="shared" si="170"/>
        <v>55.662966886685133</v>
      </c>
      <c r="CB163" s="20">
        <f t="shared" si="171"/>
        <v>492.5415339943097</v>
      </c>
      <c r="CC163" s="59">
        <f t="shared" si="119"/>
        <v>785.87486732764296</v>
      </c>
      <c r="CD163" s="59">
        <f ca="1">AVERAGE(OFFSET($CC$3,0,0,'Données projet'!$E$12+1,1))-AVERAGE(OFFSET($H$3,0,0,'Données projet'!$E$12+1,1))</f>
        <v>381.72225529388083</v>
      </c>
      <c r="CE163" s="59">
        <f t="shared" si="148"/>
        <v>360.05900046417361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0.36658706511471811</v>
      </c>
      <c r="CL163" s="21">
        <f>EXP(-LN(2)/25)*CL162+(1-EXP(-LN(2)/25))/(LN(2)/25)*Calculateur!CG163*Calculateur!CI163*VLOOKUP('Données projet'!$B$12,Paramètres!$A$1:$I$89,3,0)*0.475*44/12</f>
        <v>0.30687342779608823</v>
      </c>
      <c r="CM163" s="21">
        <f>EXP(-LN(2)/2)*CM162+(1-EXP(-LN(2)/2))/(LN(2)/2)*CG163*CJ163*VLOOKUP('Données projet'!$B$12,Paramètres!$A$1:$I$89,3,0)*0.475*44/12</f>
        <v>1.8966777512441601E-19</v>
      </c>
      <c r="CN163" s="22">
        <f t="shared" si="172"/>
        <v>0.67346049291080634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-1.7053025658242404E-13</v>
      </c>
      <c r="CU163" s="17">
        <f>CT163*VLOOKUP('Données projet'!$B$13,Paramètres!$A$1:$I$89,3,0)*VLOOKUP('Données projet'!$B$13,Paramètres!$A$1:$I$89,5,0)</f>
        <v>-1.3567387213697657E-13</v>
      </c>
      <c r="CV163" s="13" t="e">
        <f t="shared" si="173"/>
        <v>#NUM!</v>
      </c>
      <c r="CW163" s="20" t="e">
        <f t="shared" si="174"/>
        <v>#NUM!</v>
      </c>
      <c r="CX163" s="59" t="e">
        <f t="shared" si="122"/>
        <v>#NUM!</v>
      </c>
      <c r="CY163" s="59">
        <f ca="1">AVERAGE(OFFSET($CX$3,0,0,'Données projet'!$E$13+1,1))-AVERAGE(OFFSET($H$3,0,0,'Données projet'!$E$13+1,1))</f>
        <v>299.10536994156814</v>
      </c>
      <c r="CZ163" s="59">
        <f t="shared" si="150"/>
        <v>292.57799203101769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0.6416034306644387</v>
      </c>
      <c r="DG163" s="21">
        <f>EXP(-LN(2)/25)*DG162+(1-EXP(-LN(2)/25))/(LN(2)/25)*Calculateur!DB163*Calculateur!DD163*VLOOKUP('Données projet'!$B$13,Paramètres!$A$1:$I$89,3,0)*0.475*44/12</f>
        <v>0.29415774117003063</v>
      </c>
      <c r="DH163" s="21">
        <f>EXP(-LN(2)/2)*DH162+(1-EXP(-LN(2)/2))/(LN(2)/2)*DB163*DE163*VLOOKUP('Données projet'!$B$13,Paramètres!$A$1:$I$89,3,0)*0.475*44/12</f>
        <v>2.4320412683593677E-19</v>
      </c>
      <c r="DI163" s="22">
        <f t="shared" si="175"/>
        <v>0.93576117183446939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2.2737367544323206E-13</v>
      </c>
      <c r="DP163" s="17">
        <f>DO163*VLOOKUP('Données projet'!$B$14,Paramètres!$A$1:$I$89,3,0)*VLOOKUP('Données projet'!$B$14,Paramètres!$A$1:$I$89,5,0)</f>
        <v>1.4897523215040565E-13</v>
      </c>
      <c r="DQ163" s="13">
        <f t="shared" si="176"/>
        <v>2.136562777003313E-12</v>
      </c>
      <c r="DR163" s="20">
        <f t="shared" si="177"/>
        <v>3.9806453659427267E-12</v>
      </c>
      <c r="DS163" s="59">
        <f t="shared" si="125"/>
        <v>293.33333333333729</v>
      </c>
      <c r="DT163" s="59">
        <f ca="1">AVERAGE(OFFSET($DS$3,0,0,'Données projet'!$E$14+1,1))-AVERAGE(OFFSET($H$3,0,0,'Données projet'!$E$14+1,1))</f>
        <v>295.92103934364718</v>
      </c>
      <c r="DU163" s="59">
        <f t="shared" si="152"/>
        <v>304.84379909635476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0.33982691032876827</v>
      </c>
      <c r="EB163" s="21">
        <f>EXP(-LN(2)/25)*EB162+(1-EXP(-LN(2)/25))/(LN(2)/25)*Calculateur!DW163*Calculateur!DY163*VLOOKUP('Données projet'!$B$14,Paramètres!$A$1:$I$89,3,0)*0.475*44/12</f>
        <v>0.19457216359451568</v>
      </c>
      <c r="EC163" s="21">
        <f>EXP(-LN(2)/2)*EC162+(1-EXP(-LN(2)/2))/(LN(2)/2)*DW163*DZ163*VLOOKUP('Données projet'!$B$14,Paramètres!$A$1:$I$89,3,0)*0.475*44/12</f>
        <v>1.559818491132774E-19</v>
      </c>
      <c r="ED163" s="22">
        <f t="shared" si="178"/>
        <v>0.53439907392328401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-1.1368683772161603E-13</v>
      </c>
      <c r="O164" s="13">
        <f>N164*VLOOKUP('Données projet'!$B$9,Paramètres!$A$1:$I$89,3,0)*VLOOKUP('Données projet'!$B$9,Paramètres!$A$1:$I$89,5,0)</f>
        <v>-5.3205440053716299E-14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319.22903094674564</v>
      </c>
      <c r="T164" s="59">
        <f t="shared" si="142"/>
        <v>254.58690973142848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0.67793837058766782</v>
      </c>
      <c r="AA164" s="21">
        <f>EXP(-LN(2)/25)*AA163+(1-EXP(-LN(2)/25))/(LN(2)/25)*Calculateur!V164*Calculateur!X164*VLOOKUP('Données projet'!$B$9,Paramètres!$A$1:$I$89,3,0)*0.475*44/12</f>
        <v>0.29507275375424019</v>
      </c>
      <c r="AB164" s="21">
        <f>EXP(-LN(2)/2)*AB163+(1-EXP(-LN(2)/2))/(LN(2)/2)*V164*Y164*VLOOKUP('Données projet'!$B$9,Paramètres!$A$1:$I$89,3,0)*0.475*44/12</f>
        <v>2.1165445561021407E-19</v>
      </c>
      <c r="AC164" s="22">
        <f t="shared" si="163"/>
        <v>0.97301112434190795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-3.4106051316484809E-13</v>
      </c>
      <c r="AJ164" s="13">
        <f>AI164*VLOOKUP('Données projet'!$B$10,Paramètres!$A$1:$I$89,3,0)*VLOOKUP('Données projet'!$B$10,Paramètres!$A$1:$I$89,5,0)</f>
        <v>-1.9065282685915009E-13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544.48194192356823</v>
      </c>
      <c r="AO164" s="59">
        <f t="shared" si="144"/>
        <v>668.20427590250733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0.54835661824115556</v>
      </c>
      <c r="AV164" s="21">
        <f>EXP(-LN(2)/25)*AV163+(1-EXP(-LN(2)/25))/(LN(2)/25)*Calculateur!AQ164*Calculateur!AS164*VLOOKUP('Données projet'!$B$10,Paramètres!$A$1:$I$89,3,0)*0.475*44/12</f>
        <v>1.1275531427989274</v>
      </c>
      <c r="AW164" s="21">
        <f>EXP(-LN(2)/2)*AW163+(1-EXP(-LN(2)/2))/(LN(2)/2)*AQ164*AT164*VLOOKUP('Données projet'!$B$10,Paramètres!$A$1:$I$89,3,0)*0.475*44/12</f>
        <v>2.7633699653363951E-19</v>
      </c>
      <c r="AX164" s="21">
        <f t="shared" si="166"/>
        <v>1.6759097610400828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>
        <f>BD164*VLOOKUP('Données projet'!$B$11,Paramètres!$A$1:$I$89,3,0)*VLOOKUP('Données projet'!$B$11,Paramètres!$A$1:$I$89,5,0)</f>
        <v>0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405.7176439604217</v>
      </c>
      <c r="BJ164" s="59">
        <f t="shared" si="146"/>
        <v>278.21741231699929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0.5458994876285328</v>
      </c>
      <c r="BQ164" s="21">
        <f>EXP(-LN(2)/25)*BQ163+(1-EXP(-LN(2)/25))/(LN(2)/25)*Calculateur!BL164*Calculateur!BN164*VLOOKUP('Données projet'!$B$11,Paramètres!$A$1:$I$89,3,0)*0.475*44/12</f>
        <v>0.24779911936997284</v>
      </c>
      <c r="BR164" s="21">
        <f>EXP(-LN(2)/2)*BR163+(1-EXP(-LN(2)/2))/(LN(2)/2)*BL164*BO164*VLOOKUP('Données projet'!$B$11,Paramètres!$A$1:$I$89,3,0)*0.475*44/12</f>
        <v>1.6358003277157774E-19</v>
      </c>
      <c r="BS164" s="22">
        <f t="shared" si="169"/>
        <v>0.7936986069985057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259.99999999999983</v>
      </c>
      <c r="BZ164" s="13">
        <f>BY164*VLOOKUP('Données projet'!$B$12,Paramètres!$A$1:$I$89,3,0)*VLOOKUP('Données projet'!$B$12,Paramètres!$A$1:$I$89,5,0)</f>
        <v>227.13599999999985</v>
      </c>
      <c r="CA164" s="13">
        <f t="shared" si="170"/>
        <v>55.662966886685133</v>
      </c>
      <c r="CB164" s="20">
        <f t="shared" si="171"/>
        <v>492.5415339943097</v>
      </c>
      <c r="CC164" s="59">
        <f t="shared" si="119"/>
        <v>785.87486732764296</v>
      </c>
      <c r="CD164" s="59">
        <f ca="1">AVERAGE(OFFSET($CC$3,0,0,'Données projet'!$E$12+1,1))-AVERAGE(OFFSET($H$3,0,0,'Données projet'!$E$12+1,1))</f>
        <v>381.72225529388083</v>
      </c>
      <c r="CE164" s="59">
        <f t="shared" si="148"/>
        <v>360.05900046417361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0.35939851636384995</v>
      </c>
      <c r="CL164" s="21">
        <f>EXP(-LN(2)/25)*CL163+(1-EXP(-LN(2)/25))/(LN(2)/25)*Calculateur!CG164*Calculateur!CI164*VLOOKUP('Données projet'!$B$12,Paramètres!$A$1:$I$89,3,0)*0.475*44/12</f>
        <v>0.29848195777523201</v>
      </c>
      <c r="CM164" s="21">
        <f>EXP(-LN(2)/2)*CM163+(1-EXP(-LN(2)/2))/(LN(2)/2)*CG164*CJ164*VLOOKUP('Données projet'!$B$12,Paramètres!$A$1:$I$89,3,0)*0.475*44/12</f>
        <v>1.3411536996303973E-19</v>
      </c>
      <c r="CN164" s="22">
        <f t="shared" si="172"/>
        <v>0.65788047413908202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-1.7053025658242404E-13</v>
      </c>
      <c r="CU164" s="17">
        <f>CT164*VLOOKUP('Données projet'!$B$13,Paramètres!$A$1:$I$89,3,0)*VLOOKUP('Données projet'!$B$13,Paramètres!$A$1:$I$89,5,0)</f>
        <v>-1.3567387213697657E-13</v>
      </c>
      <c r="CV164" s="13" t="e">
        <f t="shared" si="173"/>
        <v>#NUM!</v>
      </c>
      <c r="CW164" s="20" t="e">
        <f t="shared" si="174"/>
        <v>#NUM!</v>
      </c>
      <c r="CX164" s="59" t="e">
        <f t="shared" si="122"/>
        <v>#NUM!</v>
      </c>
      <c r="CY164" s="59">
        <f ca="1">AVERAGE(OFFSET($CX$3,0,0,'Données projet'!$E$13+1,1))-AVERAGE(OFFSET($H$3,0,0,'Données projet'!$E$13+1,1))</f>
        <v>299.10536994156814</v>
      </c>
      <c r="CZ164" s="59">
        <f t="shared" si="150"/>
        <v>292.57799203101769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0.62902197872856025</v>
      </c>
      <c r="DG164" s="21">
        <f>EXP(-LN(2)/25)*DG163+(1-EXP(-LN(2)/25))/(LN(2)/25)*Calculateur!DB164*Calculateur!DD164*VLOOKUP('Données projet'!$B$13,Paramètres!$A$1:$I$89,3,0)*0.475*44/12</f>
        <v>0.28611398226865287</v>
      </c>
      <c r="DH164" s="21">
        <f>EXP(-LN(2)/2)*DH163+(1-EXP(-LN(2)/2))/(LN(2)/2)*DB164*DE164*VLOOKUP('Données projet'!$B$13,Paramètres!$A$1:$I$89,3,0)*0.475*44/12</f>
        <v>1.719712872982441E-19</v>
      </c>
      <c r="DI164" s="22">
        <f t="shared" si="175"/>
        <v>0.91513596099721317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2.2737367544323206E-13</v>
      </c>
      <c r="DP164" s="17">
        <f>DO164*VLOOKUP('Données projet'!$B$14,Paramètres!$A$1:$I$89,3,0)*VLOOKUP('Données projet'!$B$14,Paramètres!$A$1:$I$89,5,0)</f>
        <v>1.4897523215040565E-13</v>
      </c>
      <c r="DQ164" s="13">
        <f t="shared" si="176"/>
        <v>2.136562777003313E-12</v>
      </c>
      <c r="DR164" s="20">
        <f t="shared" si="177"/>
        <v>3.9806453659427267E-12</v>
      </c>
      <c r="DS164" s="59">
        <f t="shared" si="125"/>
        <v>293.33333333333729</v>
      </c>
      <c r="DT164" s="59">
        <f ca="1">AVERAGE(OFFSET($DS$3,0,0,'Données projet'!$E$14+1,1))-AVERAGE(OFFSET($H$3,0,0,'Données projet'!$E$14+1,1))</f>
        <v>295.92103934364718</v>
      </c>
      <c r="DU164" s="59">
        <f t="shared" si="152"/>
        <v>304.84379909635476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0.33316311189116982</v>
      </c>
      <c r="EB164" s="21">
        <f>EXP(-LN(2)/25)*EB163+(1-EXP(-LN(2)/25))/(LN(2)/25)*Calculateur!DW164*Calculateur!DY164*VLOOKUP('Données projet'!$B$14,Paramètres!$A$1:$I$89,3,0)*0.475*44/12</f>
        <v>0.18925157754891828</v>
      </c>
      <c r="EC164" s="21">
        <f>EXP(-LN(2)/2)*EC163+(1-EXP(-LN(2)/2))/(LN(2)/2)*DW164*DZ164*VLOOKUP('Données projet'!$B$14,Paramètres!$A$1:$I$89,3,0)*0.475*44/12</f>
        <v>1.1029582325001532E-19</v>
      </c>
      <c r="ED164" s="22">
        <f t="shared" si="178"/>
        <v>0.52241468944008806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-1.1368683772161603E-13</v>
      </c>
      <c r="O165" s="13">
        <f>N165*VLOOKUP('Données projet'!$B$9,Paramètres!$A$1:$I$89,3,0)*VLOOKUP('Données projet'!$B$9,Paramètres!$A$1:$I$89,5,0)</f>
        <v>-5.3205440053716299E-14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319.22903094674564</v>
      </c>
      <c r="T165" s="59">
        <f t="shared" si="142"/>
        <v>254.58690973142848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0.66464441264201979</v>
      </c>
      <c r="AA165" s="21">
        <f>EXP(-LN(2)/25)*AA164+(1-EXP(-LN(2)/25))/(LN(2)/25)*Calculateur!V165*Calculateur!X165*VLOOKUP('Données projet'!$B$9,Paramètres!$A$1:$I$89,3,0)*0.475*44/12</f>
        <v>0.28700397378562875</v>
      </c>
      <c r="AB165" s="21">
        <f>EXP(-LN(2)/2)*AB164+(1-EXP(-LN(2)/2))/(LN(2)/2)*V165*Y165*VLOOKUP('Données projet'!$B$9,Paramètres!$A$1:$I$89,3,0)*0.475*44/12</f>
        <v>1.4966230083032949E-19</v>
      </c>
      <c r="AC165" s="22">
        <f t="shared" si="163"/>
        <v>0.9516483864276486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-3.4106051316484809E-13</v>
      </c>
      <c r="AJ165" s="13">
        <f>AI165*VLOOKUP('Données projet'!$B$10,Paramètres!$A$1:$I$89,3,0)*VLOOKUP('Données projet'!$B$10,Paramètres!$A$1:$I$89,5,0)</f>
        <v>-1.9065282685915009E-13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544.48194192356823</v>
      </c>
      <c r="AO165" s="59">
        <f t="shared" si="144"/>
        <v>668.20427590250733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0.53760367942195797</v>
      </c>
      <c r="AV165" s="21">
        <f>EXP(-LN(2)/25)*AV164+(1-EXP(-LN(2)/25))/(LN(2)/25)*Calculateur!AQ165*Calculateur!AS165*VLOOKUP('Données projet'!$B$10,Paramètres!$A$1:$I$89,3,0)*0.475*44/12</f>
        <v>1.0967201428136479</v>
      </c>
      <c r="AW165" s="21">
        <f>EXP(-LN(2)/2)*AW164+(1-EXP(-LN(2)/2))/(LN(2)/2)*AQ165*AT165*VLOOKUP('Données projet'!$B$10,Paramètres!$A$1:$I$89,3,0)*0.475*44/12</f>
        <v>1.9539976414165998E-19</v>
      </c>
      <c r="AX165" s="21">
        <f t="shared" si="166"/>
        <v>1.634323822235606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>
        <f>BD165*VLOOKUP('Données projet'!$B$11,Paramètres!$A$1:$I$89,3,0)*VLOOKUP('Données projet'!$B$11,Paramètres!$A$1:$I$89,5,0)</f>
        <v>0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405.7176439604217</v>
      </c>
      <c r="BJ165" s="59">
        <f t="shared" si="146"/>
        <v>278.21741231699929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0.53519473164194709</v>
      </c>
      <c r="BQ165" s="21">
        <f>EXP(-LN(2)/25)*BQ164+(1-EXP(-LN(2)/25))/(LN(2)/25)*Calculateur!BL165*Calculateur!BN165*VLOOKUP('Données projet'!$B$11,Paramètres!$A$1:$I$89,3,0)*0.475*44/12</f>
        <v>0.24102303941961159</v>
      </c>
      <c r="BR165" s="21">
        <f>EXP(-LN(2)/2)*BR164+(1-EXP(-LN(2)/2))/(LN(2)/2)*BL165*BO165*VLOOKUP('Données projet'!$B$11,Paramètres!$A$1:$I$89,3,0)*0.475*44/12</f>
        <v>1.1566855043950029E-19</v>
      </c>
      <c r="BS165" s="22">
        <f t="shared" si="169"/>
        <v>0.77621777106155865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259.99999999999983</v>
      </c>
      <c r="BZ165" s="13">
        <f>BY165*VLOOKUP('Données projet'!$B$12,Paramètres!$A$1:$I$89,3,0)*VLOOKUP('Données projet'!$B$12,Paramètres!$A$1:$I$89,5,0)</f>
        <v>227.13599999999985</v>
      </c>
      <c r="CA165" s="13">
        <f t="shared" si="170"/>
        <v>55.662966886685133</v>
      </c>
      <c r="CB165" s="20">
        <f t="shared" si="171"/>
        <v>492.5415339943097</v>
      </c>
      <c r="CC165" s="59">
        <f t="shared" si="119"/>
        <v>785.87486732764296</v>
      </c>
      <c r="CD165" s="59">
        <f ca="1">AVERAGE(OFFSET($CC$3,0,0,'Données projet'!$E$12+1,1))-AVERAGE(OFFSET($H$3,0,0,'Données projet'!$E$12+1,1))</f>
        <v>381.72225529388083</v>
      </c>
      <c r="CE165" s="59">
        <f t="shared" si="148"/>
        <v>360.05900046417361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0.35235093066940448</v>
      </c>
      <c r="CL165" s="21">
        <f>EXP(-LN(2)/25)*CL164+(1-EXP(-LN(2)/25))/(LN(2)/25)*Calculateur!CG165*Calculateur!CI165*VLOOKUP('Données projet'!$B$12,Paramètres!$A$1:$I$89,3,0)*0.475*44/12</f>
        <v>0.29031995294338431</v>
      </c>
      <c r="CM165" s="21">
        <f>EXP(-LN(2)/2)*CM164+(1-EXP(-LN(2)/2))/(LN(2)/2)*CG165*CJ165*VLOOKUP('Données projet'!$B$12,Paramètres!$A$1:$I$89,3,0)*0.475*44/12</f>
        <v>9.4833887562208005E-20</v>
      </c>
      <c r="CN165" s="22">
        <f t="shared" si="172"/>
        <v>0.64267088361278879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-1.7053025658242404E-13</v>
      </c>
      <c r="CU165" s="17">
        <f>CT165*VLOOKUP('Données projet'!$B$13,Paramètres!$A$1:$I$89,3,0)*VLOOKUP('Données projet'!$B$13,Paramètres!$A$1:$I$89,5,0)</f>
        <v>-1.3567387213697657E-13</v>
      </c>
      <c r="CV165" s="13" t="e">
        <f t="shared" si="173"/>
        <v>#NUM!</v>
      </c>
      <c r="CW165" s="20" t="e">
        <f t="shared" si="174"/>
        <v>#NUM!</v>
      </c>
      <c r="CX165" s="59" t="e">
        <f t="shared" si="122"/>
        <v>#NUM!</v>
      </c>
      <c r="CY165" s="59">
        <f ca="1">AVERAGE(OFFSET($CX$3,0,0,'Données projet'!$E$13+1,1))-AVERAGE(OFFSET($H$3,0,0,'Données projet'!$E$13+1,1))</f>
        <v>299.10536994156814</v>
      </c>
      <c r="CZ165" s="59">
        <f t="shared" si="150"/>
        <v>292.57799203101769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0.61668724139121633</v>
      </c>
      <c r="DG165" s="21">
        <f>EXP(-LN(2)/25)*DG164+(1-EXP(-LN(2)/25))/(LN(2)/25)*Calculateur!DB165*Calculateur!DD165*VLOOKUP('Données projet'!$B$13,Paramètres!$A$1:$I$89,3,0)*0.475*44/12</f>
        <v>0.27829018037743614</v>
      </c>
      <c r="DH165" s="21">
        <f>EXP(-LN(2)/2)*DH164+(1-EXP(-LN(2)/2))/(LN(2)/2)*DB165*DE165*VLOOKUP('Données projet'!$B$13,Paramètres!$A$1:$I$89,3,0)*0.475*44/12</f>
        <v>1.2160206341796838E-19</v>
      </c>
      <c r="DI165" s="22">
        <f t="shared" si="175"/>
        <v>0.89497742176865247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2.2737367544323206E-13</v>
      </c>
      <c r="DP165" s="17">
        <f>DO165*VLOOKUP('Données projet'!$B$14,Paramètres!$A$1:$I$89,3,0)*VLOOKUP('Données projet'!$B$14,Paramètres!$A$1:$I$89,5,0)</f>
        <v>1.4897523215040565E-13</v>
      </c>
      <c r="DQ165" s="13">
        <f t="shared" si="176"/>
        <v>2.136562777003313E-12</v>
      </c>
      <c r="DR165" s="20">
        <f t="shared" si="177"/>
        <v>3.9806453659427267E-12</v>
      </c>
      <c r="DS165" s="59">
        <f t="shared" si="125"/>
        <v>293.33333333333729</v>
      </c>
      <c r="DT165" s="59">
        <f ca="1">AVERAGE(OFFSET($DS$3,0,0,'Données projet'!$E$14+1,1))-AVERAGE(OFFSET($H$3,0,0,'Données projet'!$E$14+1,1))</f>
        <v>295.92103934364718</v>
      </c>
      <c r="DU165" s="59">
        <f t="shared" si="152"/>
        <v>304.84379909635476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0.32662998647641694</v>
      </c>
      <c r="EB165" s="21">
        <f>EXP(-LN(2)/25)*EB164+(1-EXP(-LN(2)/25))/(LN(2)/25)*Calculateur!DW165*Calculateur!DY165*VLOOKUP('Données projet'!$B$14,Paramètres!$A$1:$I$89,3,0)*0.475*44/12</f>
        <v>0.18407648320853517</v>
      </c>
      <c r="EC165" s="21">
        <f>EXP(-LN(2)/2)*EC164+(1-EXP(-LN(2)/2))/(LN(2)/2)*DW165*DZ165*VLOOKUP('Données projet'!$B$14,Paramètres!$A$1:$I$89,3,0)*0.475*44/12</f>
        <v>7.7990924556638702E-20</v>
      </c>
      <c r="ED165" s="22">
        <f t="shared" si="178"/>
        <v>0.51070646968495215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-1.1368683772161603E-13</v>
      </c>
      <c r="O166" s="13">
        <f>N166*VLOOKUP('Données projet'!$B$9,Paramètres!$A$1:$I$89,3,0)*VLOOKUP('Données projet'!$B$9,Paramètres!$A$1:$I$89,5,0)</f>
        <v>-5.3205440053716299E-14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319.22903094674564</v>
      </c>
      <c r="T166" s="59">
        <f t="shared" si="142"/>
        <v>254.58690973142848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0.6516111411031722</v>
      </c>
      <c r="AA166" s="21">
        <f>EXP(-LN(2)/25)*AA165+(1-EXP(-LN(2)/25))/(LN(2)/25)*Calculateur!V166*Calculateur!X166*VLOOKUP('Données projet'!$B$9,Paramètres!$A$1:$I$89,3,0)*0.475*44/12</f>
        <v>0.27915583502957769</v>
      </c>
      <c r="AB166" s="21">
        <f>EXP(-LN(2)/2)*AB165+(1-EXP(-LN(2)/2))/(LN(2)/2)*V166*Y166*VLOOKUP('Données projet'!$B$9,Paramètres!$A$1:$I$89,3,0)*0.475*44/12</f>
        <v>1.0582722780510705E-19</v>
      </c>
      <c r="AC166" s="22">
        <f t="shared" si="163"/>
        <v>0.93076697613274995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-3.4106051316484809E-13</v>
      </c>
      <c r="AJ166" s="13">
        <f>AI166*VLOOKUP('Données projet'!$B$10,Paramètres!$A$1:$I$89,3,0)*VLOOKUP('Données projet'!$B$10,Paramètres!$A$1:$I$89,5,0)</f>
        <v>-1.9065282685915009E-13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544.48194192356823</v>
      </c>
      <c r="AO166" s="59">
        <f t="shared" si="144"/>
        <v>668.20427590250733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0.5270615991743598</v>
      </c>
      <c r="AV166" s="21">
        <f>EXP(-LN(2)/25)*AV165+(1-EXP(-LN(2)/25))/(LN(2)/25)*Calculateur!AQ166*Calculateur!AS166*VLOOKUP('Données projet'!$B$10,Paramètres!$A$1:$I$89,3,0)*0.475*44/12</f>
        <v>1.066730272834403</v>
      </c>
      <c r="AW166" s="21">
        <f>EXP(-LN(2)/2)*AW165+(1-EXP(-LN(2)/2))/(LN(2)/2)*AQ166*AT166*VLOOKUP('Données projet'!$B$10,Paramètres!$A$1:$I$89,3,0)*0.475*44/12</f>
        <v>1.3816849826681976E-19</v>
      </c>
      <c r="AX166" s="21">
        <f t="shared" si="166"/>
        <v>1.5937918720087629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>
        <f>BD166*VLOOKUP('Données projet'!$B$11,Paramètres!$A$1:$I$89,3,0)*VLOOKUP('Données projet'!$B$11,Paramètres!$A$1:$I$89,5,0)</f>
        <v>0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405.7176439604217</v>
      </c>
      <c r="BJ166" s="59">
        <f t="shared" si="146"/>
        <v>278.21741231699929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0.52469988939100187</v>
      </c>
      <c r="BQ166" s="21">
        <f>EXP(-LN(2)/25)*BQ165+(1-EXP(-LN(2)/25))/(LN(2)/25)*Calculateur!BL166*Calculateur!BN166*VLOOKUP('Données projet'!$B$11,Paramètres!$A$1:$I$89,3,0)*0.475*44/12</f>
        <v>0.23443225173183152</v>
      </c>
      <c r="BR166" s="21">
        <f>EXP(-LN(2)/2)*BR165+(1-EXP(-LN(2)/2))/(LN(2)/2)*BL166*BO166*VLOOKUP('Données projet'!$B$11,Paramètres!$A$1:$I$89,3,0)*0.475*44/12</f>
        <v>8.179001638578887E-20</v>
      </c>
      <c r="BS166" s="22">
        <f t="shared" si="169"/>
        <v>0.75913214112283334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259.99999999999983</v>
      </c>
      <c r="BZ166" s="13">
        <f>BY166*VLOOKUP('Données projet'!$B$12,Paramètres!$A$1:$I$89,3,0)*VLOOKUP('Données projet'!$B$12,Paramètres!$A$1:$I$89,5,0)</f>
        <v>227.13599999999985</v>
      </c>
      <c r="CA166" s="13">
        <f t="shared" si="170"/>
        <v>55.662966886685133</v>
      </c>
      <c r="CB166" s="20">
        <f t="shared" si="171"/>
        <v>492.5415339943097</v>
      </c>
      <c r="CC166" s="59">
        <f t="shared" si="119"/>
        <v>785.87486732764296</v>
      </c>
      <c r="CD166" s="59">
        <f ca="1">AVERAGE(OFFSET($CC$3,0,0,'Données projet'!$E$12+1,1))-AVERAGE(OFFSET($H$3,0,0,'Données projet'!$E$12+1,1))</f>
        <v>381.72225529388083</v>
      </c>
      <c r="CE166" s="59">
        <f t="shared" si="148"/>
        <v>360.05900046417361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0.34544154383182429</v>
      </c>
      <c r="CL166" s="21">
        <f>EXP(-LN(2)/25)*CL165+(1-EXP(-LN(2)/25))/(LN(2)/25)*Calculateur!CG166*Calculateur!CI166*VLOOKUP('Données projet'!$B$12,Paramètres!$A$1:$I$89,3,0)*0.475*44/12</f>
        <v>0.28238113856288466</v>
      </c>
      <c r="CM166" s="21">
        <f>EXP(-LN(2)/2)*CM165+(1-EXP(-LN(2)/2))/(LN(2)/2)*CG166*CJ166*VLOOKUP('Données projet'!$B$12,Paramètres!$A$1:$I$89,3,0)*0.475*44/12</f>
        <v>6.7057684981519865E-20</v>
      </c>
      <c r="CN166" s="22">
        <f t="shared" si="172"/>
        <v>0.62782268239470895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-1.7053025658242404E-13</v>
      </c>
      <c r="CU166" s="17">
        <f>CT166*VLOOKUP('Données projet'!$B$13,Paramètres!$A$1:$I$89,3,0)*VLOOKUP('Données projet'!$B$13,Paramètres!$A$1:$I$89,5,0)</f>
        <v>-1.3567387213697657E-13</v>
      </c>
      <c r="CV166" s="13" t="e">
        <f t="shared" si="173"/>
        <v>#NUM!</v>
      </c>
      <c r="CW166" s="20" t="e">
        <f t="shared" si="174"/>
        <v>#NUM!</v>
      </c>
      <c r="CX166" s="59" t="e">
        <f t="shared" si="122"/>
        <v>#NUM!</v>
      </c>
      <c r="CY166" s="59">
        <f ca="1">AVERAGE(OFFSET($CX$3,0,0,'Données projet'!$E$13+1,1))-AVERAGE(OFFSET($H$3,0,0,'Données projet'!$E$13+1,1))</f>
        <v>299.10536994156814</v>
      </c>
      <c r="CZ166" s="59">
        <f t="shared" si="150"/>
        <v>292.57799203101769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0.60459438072961091</v>
      </c>
      <c r="DG166" s="21">
        <f>EXP(-LN(2)/25)*DG165+(1-EXP(-LN(2)/25))/(LN(2)/25)*Calculateur!DB166*Calculateur!DD166*VLOOKUP('Données projet'!$B$13,Paramètres!$A$1:$I$89,3,0)*0.475*44/12</f>
        <v>0.27068032076037057</v>
      </c>
      <c r="DH166" s="21">
        <f>EXP(-LN(2)/2)*DH165+(1-EXP(-LN(2)/2))/(LN(2)/2)*DB166*DE166*VLOOKUP('Données projet'!$B$13,Paramètres!$A$1:$I$89,3,0)*0.475*44/12</f>
        <v>8.5985643649122048E-20</v>
      </c>
      <c r="DI166" s="22">
        <f t="shared" si="175"/>
        <v>0.87527470148998154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2.2737367544323206E-13</v>
      </c>
      <c r="DP166" s="17">
        <f>DO166*VLOOKUP('Données projet'!$B$14,Paramètres!$A$1:$I$89,3,0)*VLOOKUP('Données projet'!$B$14,Paramètres!$A$1:$I$89,5,0)</f>
        <v>1.4897523215040565E-13</v>
      </c>
      <c r="DQ166" s="13">
        <f t="shared" si="176"/>
        <v>2.136562777003313E-12</v>
      </c>
      <c r="DR166" s="20">
        <f t="shared" si="177"/>
        <v>3.9806453659427267E-12</v>
      </c>
      <c r="DS166" s="59">
        <f t="shared" si="125"/>
        <v>293.33333333333729</v>
      </c>
      <c r="DT166" s="59">
        <f ca="1">AVERAGE(OFFSET($DS$3,0,0,'Données projet'!$E$14+1,1))-AVERAGE(OFFSET($H$3,0,0,'Données projet'!$E$14+1,1))</f>
        <v>295.92103934364718</v>
      </c>
      <c r="DU166" s="59">
        <f t="shared" si="152"/>
        <v>304.84379909635476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0.32022497166623437</v>
      </c>
      <c r="EB166" s="21">
        <f>EXP(-LN(2)/25)*EB165+(1-EXP(-LN(2)/25))/(LN(2)/25)*Calculateur!DW166*Calculateur!DY166*VLOOKUP('Données projet'!$B$14,Paramètres!$A$1:$I$89,3,0)*0.475*44/12</f>
        <v>0.17904290209503623</v>
      </c>
      <c r="EC166" s="21">
        <f>EXP(-LN(2)/2)*EC165+(1-EXP(-LN(2)/2))/(LN(2)/2)*DW166*DZ166*VLOOKUP('Données projet'!$B$14,Paramètres!$A$1:$I$89,3,0)*0.475*44/12</f>
        <v>5.5147911625007658E-20</v>
      </c>
      <c r="ED166" s="22">
        <f t="shared" si="178"/>
        <v>0.49926787376127058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-1.1368683772161603E-13</v>
      </c>
      <c r="O167" s="13">
        <f>N167*VLOOKUP('Données projet'!$B$9,Paramètres!$A$1:$I$89,3,0)*VLOOKUP('Données projet'!$B$9,Paramètres!$A$1:$I$89,5,0)</f>
        <v>-5.3205440053716299E-14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319.22903094674564</v>
      </c>
      <c r="T167" s="59">
        <f t="shared" si="142"/>
        <v>254.58690973142848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0.63883344406969078</v>
      </c>
      <c r="AA167" s="21">
        <f>EXP(-LN(2)/25)*AA166+(1-EXP(-LN(2)/25))/(LN(2)/25)*Calculateur!V167*Calculateur!X167*VLOOKUP('Données projet'!$B$9,Paramètres!$A$1:$I$89,3,0)*0.475*44/12</f>
        <v>0.27152230404052652</v>
      </c>
      <c r="AB167" s="21">
        <f>EXP(-LN(2)/2)*AB166+(1-EXP(-LN(2)/2))/(LN(2)/2)*V167*Y167*VLOOKUP('Données projet'!$B$9,Paramètres!$A$1:$I$89,3,0)*0.475*44/12</f>
        <v>7.4831150415164756E-20</v>
      </c>
      <c r="AC167" s="22">
        <f t="shared" si="163"/>
        <v>0.91035574811021736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-3.4106051316484809E-13</v>
      </c>
      <c r="AJ167" s="13">
        <f>AI167*VLOOKUP('Données projet'!$B$10,Paramètres!$A$1:$I$89,3,0)*VLOOKUP('Données projet'!$B$10,Paramètres!$A$1:$I$89,5,0)</f>
        <v>-1.9065282685915009E-13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544.48194192356823</v>
      </c>
      <c r="AO167" s="59">
        <f t="shared" si="144"/>
        <v>668.20427590250733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0.51672624269038303</v>
      </c>
      <c r="AV167" s="21">
        <f>EXP(-LN(2)/25)*AV166+(1-EXP(-LN(2)/25))/(LN(2)/25)*Calculateur!AQ167*Calculateur!AS167*VLOOKUP('Données projet'!$B$10,Paramètres!$A$1:$I$89,3,0)*0.475*44/12</f>
        <v>1.0375604774268392</v>
      </c>
      <c r="AW167" s="21">
        <f>EXP(-LN(2)/2)*AW166+(1-EXP(-LN(2)/2))/(LN(2)/2)*AQ167*AT167*VLOOKUP('Données projet'!$B$10,Paramètres!$A$1:$I$89,3,0)*0.475*44/12</f>
        <v>9.769988207082999E-20</v>
      </c>
      <c r="AX167" s="21">
        <f t="shared" si="166"/>
        <v>1.5542867201172221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>
        <f>BD167*VLOOKUP('Données projet'!$B$11,Paramètres!$A$1:$I$89,3,0)*VLOOKUP('Données projet'!$B$11,Paramètres!$A$1:$I$89,5,0)</f>
        <v>0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405.7176439604217</v>
      </c>
      <c r="BJ167" s="59">
        <f t="shared" si="146"/>
        <v>278.21741231699929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0.514410844595376</v>
      </c>
      <c r="BQ167" s="21">
        <f>EXP(-LN(2)/25)*BQ166+(1-EXP(-LN(2)/25))/(LN(2)/25)*Calculateur!BL167*Calculateur!BN167*VLOOKUP('Données projet'!$B$11,Paramètres!$A$1:$I$89,3,0)*0.475*44/12</f>
        <v>0.22802168947996826</v>
      </c>
      <c r="BR167" s="21">
        <f>EXP(-LN(2)/2)*BR166+(1-EXP(-LN(2)/2))/(LN(2)/2)*BL167*BO167*VLOOKUP('Données projet'!$B$11,Paramètres!$A$1:$I$89,3,0)*0.475*44/12</f>
        <v>5.7834275219750146E-20</v>
      </c>
      <c r="BS167" s="22">
        <f t="shared" si="169"/>
        <v>0.74243253407534426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259.99999999999983</v>
      </c>
      <c r="BZ167" s="13">
        <f>BY167*VLOOKUP('Données projet'!$B$12,Paramètres!$A$1:$I$89,3,0)*VLOOKUP('Données projet'!$B$12,Paramètres!$A$1:$I$89,5,0)</f>
        <v>227.13599999999985</v>
      </c>
      <c r="CA167" s="13">
        <f t="shared" si="170"/>
        <v>55.662966886685133</v>
      </c>
      <c r="CB167" s="20">
        <f t="shared" si="171"/>
        <v>492.5415339943097</v>
      </c>
      <c r="CC167" s="59">
        <f t="shared" si="119"/>
        <v>785.87486732764296</v>
      </c>
      <c r="CD167" s="59">
        <f ca="1">AVERAGE(OFFSET($CC$3,0,0,'Données projet'!$E$12+1,1))-AVERAGE(OFFSET($H$3,0,0,'Données projet'!$E$12+1,1))</f>
        <v>381.72225529388083</v>
      </c>
      <c r="CE167" s="59">
        <f t="shared" si="148"/>
        <v>360.05900046417361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0.33866764585581921</v>
      </c>
      <c r="CL167" s="21">
        <f>EXP(-LN(2)/25)*CL166+(1-EXP(-LN(2)/25))/(LN(2)/25)*Calculateur!CG167*Calculateur!CI167*VLOOKUP('Données projet'!$B$12,Paramètres!$A$1:$I$89,3,0)*0.475*44/12</f>
        <v>0.27465941147910389</v>
      </c>
      <c r="CM167" s="21">
        <f>EXP(-LN(2)/2)*CM166+(1-EXP(-LN(2)/2))/(LN(2)/2)*CG167*CJ167*VLOOKUP('Données projet'!$B$12,Paramètres!$A$1:$I$89,3,0)*0.475*44/12</f>
        <v>4.7416943781104003E-20</v>
      </c>
      <c r="CN167" s="22">
        <f t="shared" si="172"/>
        <v>0.6133270573349231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-1.7053025658242404E-13</v>
      </c>
      <c r="CU167" s="17">
        <f>CT167*VLOOKUP('Données projet'!$B$13,Paramètres!$A$1:$I$89,3,0)*VLOOKUP('Données projet'!$B$13,Paramètres!$A$1:$I$89,5,0)</f>
        <v>-1.3567387213697657E-13</v>
      </c>
      <c r="CV167" s="13" t="e">
        <f t="shared" si="173"/>
        <v>#NUM!</v>
      </c>
      <c r="CW167" s="20" t="e">
        <f t="shared" si="174"/>
        <v>#NUM!</v>
      </c>
      <c r="CX167" s="59" t="e">
        <f t="shared" si="122"/>
        <v>#NUM!</v>
      </c>
      <c r="CY167" s="59">
        <f ca="1">AVERAGE(OFFSET($CX$3,0,0,'Données projet'!$E$13+1,1))-AVERAGE(OFFSET($H$3,0,0,'Données projet'!$E$13+1,1))</f>
        <v>299.10536994156814</v>
      </c>
      <c r="CZ167" s="59">
        <f t="shared" si="150"/>
        <v>292.57799203101769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0.59273865368966283</v>
      </c>
      <c r="DG167" s="21">
        <f>EXP(-LN(2)/25)*DG166+(1-EXP(-LN(2)/25))/(LN(2)/25)*Calculateur!DB167*Calculateur!DD167*VLOOKUP('Données projet'!$B$13,Paramètres!$A$1:$I$89,3,0)*0.475*44/12</f>
        <v>0.26327855315471882</v>
      </c>
      <c r="DH167" s="21">
        <f>EXP(-LN(2)/2)*DH166+(1-EXP(-LN(2)/2))/(LN(2)/2)*DB167*DE167*VLOOKUP('Données projet'!$B$13,Paramètres!$A$1:$I$89,3,0)*0.475*44/12</f>
        <v>6.0801031708984192E-20</v>
      </c>
      <c r="DI167" s="22">
        <f t="shared" si="175"/>
        <v>0.85601720684438165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2.2737367544323206E-13</v>
      </c>
      <c r="DP167" s="17">
        <f>DO167*VLOOKUP('Données projet'!$B$14,Paramètres!$A$1:$I$89,3,0)*VLOOKUP('Données projet'!$B$14,Paramètres!$A$1:$I$89,5,0)</f>
        <v>1.4897523215040565E-13</v>
      </c>
      <c r="DQ167" s="13">
        <f t="shared" si="176"/>
        <v>2.136562777003313E-12</v>
      </c>
      <c r="DR167" s="20">
        <f t="shared" si="177"/>
        <v>3.9806453659427267E-12</v>
      </c>
      <c r="DS167" s="59">
        <f t="shared" si="125"/>
        <v>293.33333333333729</v>
      </c>
      <c r="DT167" s="59">
        <f ca="1">AVERAGE(OFFSET($DS$3,0,0,'Données projet'!$E$14+1,1))-AVERAGE(OFFSET($H$3,0,0,'Données projet'!$E$14+1,1))</f>
        <v>295.92103934364718</v>
      </c>
      <c r="DU167" s="59">
        <f t="shared" si="152"/>
        <v>304.84379909635476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0.31394555528980617</v>
      </c>
      <c r="EB167" s="21">
        <f>EXP(-LN(2)/25)*EB166+(1-EXP(-LN(2)/25))/(LN(2)/25)*Calculateur!DW167*Calculateur!DY167*VLOOKUP('Données projet'!$B$14,Paramètres!$A$1:$I$89,3,0)*0.475*44/12</f>
        <v>0.17414696452179046</v>
      </c>
      <c r="EC167" s="21">
        <f>EXP(-LN(2)/2)*EC166+(1-EXP(-LN(2)/2))/(LN(2)/2)*DW167*DZ167*VLOOKUP('Données projet'!$B$14,Paramètres!$A$1:$I$89,3,0)*0.475*44/12</f>
        <v>3.8995462278319351E-20</v>
      </c>
      <c r="ED167" s="22">
        <f t="shared" si="178"/>
        <v>0.48809251981159663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-1.1368683772161603E-13</v>
      </c>
      <c r="O168" s="13">
        <f>N168*VLOOKUP('Données projet'!$B$9,Paramètres!$A$1:$I$89,3,0)*VLOOKUP('Données projet'!$B$9,Paramètres!$A$1:$I$89,5,0)</f>
        <v>-5.3205440053716299E-14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319.22903094674564</v>
      </c>
      <c r="T168" s="59">
        <f t="shared" si="142"/>
        <v>254.58690973142848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0.62630630988141034</v>
      </c>
      <c r="AA168" s="21">
        <f>EXP(-LN(2)/25)*AA167+(1-EXP(-LN(2)/25))/(LN(2)/25)*Calculateur!V168*Calculateur!X168*VLOOKUP('Données projet'!$B$9,Paramètres!$A$1:$I$89,3,0)*0.475*44/12</f>
        <v>0.26409751235780093</v>
      </c>
      <c r="AB168" s="21">
        <f>EXP(-LN(2)/2)*AB167+(1-EXP(-LN(2)/2))/(LN(2)/2)*V168*Y168*VLOOKUP('Données projet'!$B$9,Paramètres!$A$1:$I$89,3,0)*0.475*44/12</f>
        <v>5.2913613902553535E-20</v>
      </c>
      <c r="AC168" s="22">
        <f t="shared" si="163"/>
        <v>0.89040382223921122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-3.4106051316484809E-13</v>
      </c>
      <c r="AJ168" s="13">
        <f>AI168*VLOOKUP('Données projet'!$B$10,Paramètres!$A$1:$I$89,3,0)*VLOOKUP('Données projet'!$B$10,Paramètres!$A$1:$I$89,5,0)</f>
        <v>-1.9065282685915009E-13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544.48194192356823</v>
      </c>
      <c r="AO168" s="59">
        <f t="shared" si="144"/>
        <v>668.20427590250733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0.50659355624311198</v>
      </c>
      <c r="AV168" s="21">
        <f>EXP(-LN(2)/25)*AV167+(1-EXP(-LN(2)/25))/(LN(2)/25)*Calculateur!AQ168*Calculateur!AS168*VLOOKUP('Données projet'!$B$10,Paramètres!$A$1:$I$89,3,0)*0.475*44/12</f>
        <v>1.0091883316086681</v>
      </c>
      <c r="AW168" s="21">
        <f>EXP(-LN(2)/2)*AW167+(1-EXP(-LN(2)/2))/(LN(2)/2)*AQ168*AT168*VLOOKUP('Données projet'!$B$10,Paramètres!$A$1:$I$89,3,0)*0.475*44/12</f>
        <v>6.9084249133409878E-20</v>
      </c>
      <c r="AX168" s="21">
        <f t="shared" si="166"/>
        <v>1.5157818878517801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>
        <f>BD168*VLOOKUP('Données projet'!$B$11,Paramètres!$A$1:$I$89,3,0)*VLOOKUP('Données projet'!$B$11,Paramètres!$A$1:$I$89,5,0)</f>
        <v>0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405.7176439604217</v>
      </c>
      <c r="BJ168" s="59">
        <f t="shared" si="146"/>
        <v>278.21741231699929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0.5043235616924947</v>
      </c>
      <c r="BQ168" s="21">
        <f>EXP(-LN(2)/25)*BQ167+(1-EXP(-LN(2)/25))/(LN(2)/25)*Calculateur!BL168*Calculateur!BN168*VLOOKUP('Données projet'!$B$11,Paramètres!$A$1:$I$89,3,0)*0.475*44/12</f>
        <v>0.22178642438999902</v>
      </c>
      <c r="BR168" s="21">
        <f>EXP(-LN(2)/2)*BR167+(1-EXP(-LN(2)/2))/(LN(2)/2)*BL168*BO168*VLOOKUP('Données projet'!$B$11,Paramètres!$A$1:$I$89,3,0)*0.475*44/12</f>
        <v>4.0895008192894435E-20</v>
      </c>
      <c r="BS168" s="22">
        <f t="shared" si="169"/>
        <v>0.72610998608249377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259.99999999999983</v>
      </c>
      <c r="BZ168" s="13">
        <f>BY168*VLOOKUP('Données projet'!$B$12,Paramètres!$A$1:$I$89,3,0)*VLOOKUP('Données projet'!$B$12,Paramètres!$A$1:$I$89,5,0)</f>
        <v>227.13599999999985</v>
      </c>
      <c r="CA168" s="13">
        <f t="shared" si="170"/>
        <v>55.662966886685133</v>
      </c>
      <c r="CB168" s="20">
        <f t="shared" si="171"/>
        <v>492.5415339943097</v>
      </c>
      <c r="CC168" s="59">
        <f t="shared" si="119"/>
        <v>785.87486732764296</v>
      </c>
      <c r="CD168" s="59">
        <f ca="1">AVERAGE(OFFSET($CC$3,0,0,'Données projet'!$E$12+1,1))-AVERAGE(OFFSET($H$3,0,0,'Données projet'!$E$12+1,1))</f>
        <v>381.72225529388083</v>
      </c>
      <c r="CE168" s="59">
        <f t="shared" si="148"/>
        <v>360.05900046417361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0.33202657988745377</v>
      </c>
      <c r="CL168" s="21">
        <f>EXP(-LN(2)/25)*CL167+(1-EXP(-LN(2)/25))/(LN(2)/25)*Calculateur!CG168*Calculateur!CI168*VLOOKUP('Données projet'!$B$12,Paramètres!$A$1:$I$89,3,0)*0.475*44/12</f>
        <v>0.2671488354284971</v>
      </c>
      <c r="CM168" s="21">
        <f>EXP(-LN(2)/2)*CM167+(1-EXP(-LN(2)/2))/(LN(2)/2)*CG168*CJ168*VLOOKUP('Données projet'!$B$12,Paramètres!$A$1:$I$89,3,0)*0.475*44/12</f>
        <v>3.3528842490759933E-20</v>
      </c>
      <c r="CN168" s="22">
        <f t="shared" si="172"/>
        <v>0.59917541531595087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-1.7053025658242404E-13</v>
      </c>
      <c r="CU168" s="17">
        <f>CT168*VLOOKUP('Données projet'!$B$13,Paramètres!$A$1:$I$89,3,0)*VLOOKUP('Données projet'!$B$13,Paramètres!$A$1:$I$89,5,0)</f>
        <v>-1.3567387213697657E-13</v>
      </c>
      <c r="CV168" s="13" t="e">
        <f t="shared" si="173"/>
        <v>#NUM!</v>
      </c>
      <c r="CW168" s="20" t="e">
        <f t="shared" si="174"/>
        <v>#NUM!</v>
      </c>
      <c r="CX168" s="59" t="e">
        <f t="shared" si="122"/>
        <v>#NUM!</v>
      </c>
      <c r="CY168" s="59">
        <f ca="1">AVERAGE(OFFSET($CX$3,0,0,'Données projet'!$E$13+1,1))-AVERAGE(OFFSET($H$3,0,0,'Données projet'!$E$13+1,1))</f>
        <v>299.10536994156814</v>
      </c>
      <c r="CZ168" s="59">
        <f t="shared" si="150"/>
        <v>292.57799203101769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0.58111541022568869</v>
      </c>
      <c r="DG168" s="21">
        <f>EXP(-LN(2)/25)*DG167+(1-EXP(-LN(2)/25))/(LN(2)/25)*Calculateur!DB168*Calculateur!DD168*VLOOKUP('Données projet'!$B$13,Paramètres!$A$1:$I$89,3,0)*0.475*44/12</f>
        <v>0.25607918727348566</v>
      </c>
      <c r="DH168" s="21">
        <f>EXP(-LN(2)/2)*DH167+(1-EXP(-LN(2)/2))/(LN(2)/2)*DB168*DE168*VLOOKUP('Données projet'!$B$13,Paramètres!$A$1:$I$89,3,0)*0.475*44/12</f>
        <v>4.2992821824561024E-20</v>
      </c>
      <c r="DI168" s="22">
        <f t="shared" si="175"/>
        <v>0.83719459749917435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2.2737367544323206E-13</v>
      </c>
      <c r="DP168" s="17">
        <f>DO168*VLOOKUP('Données projet'!$B$14,Paramètres!$A$1:$I$89,3,0)*VLOOKUP('Données projet'!$B$14,Paramètres!$A$1:$I$89,5,0)</f>
        <v>1.4897523215040565E-13</v>
      </c>
      <c r="DQ168" s="13">
        <f t="shared" si="176"/>
        <v>2.136562777003313E-12</v>
      </c>
      <c r="DR168" s="20">
        <f t="shared" si="177"/>
        <v>3.9806453659427267E-12</v>
      </c>
      <c r="DS168" s="59">
        <f t="shared" si="125"/>
        <v>293.33333333333729</v>
      </c>
      <c r="DT168" s="59">
        <f ca="1">AVERAGE(OFFSET($DS$3,0,0,'Données projet'!$E$14+1,1))-AVERAGE(OFFSET($H$3,0,0,'Données projet'!$E$14+1,1))</f>
        <v>295.92103934364718</v>
      </c>
      <c r="DU168" s="59">
        <f t="shared" si="152"/>
        <v>304.84379909635476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0.30778927443845394</v>
      </c>
      <c r="EB168" s="21">
        <f>EXP(-LN(2)/25)*EB167+(1-EXP(-LN(2)/25))/(LN(2)/25)*Calculateur!DW168*Calculateur!DY168*VLOOKUP('Données projet'!$B$14,Paramètres!$A$1:$I$89,3,0)*0.475*44/12</f>
        <v>0.16938490661895125</v>
      </c>
      <c r="EC168" s="21">
        <f>EXP(-LN(2)/2)*EC167+(1-EXP(-LN(2)/2))/(LN(2)/2)*DW168*DZ168*VLOOKUP('Données projet'!$B$14,Paramètres!$A$1:$I$89,3,0)*0.475*44/12</f>
        <v>2.7573955812503829E-20</v>
      </c>
      <c r="ED168" s="22">
        <f t="shared" si="178"/>
        <v>0.47717418105740517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-1.1368683772161603E-13</v>
      </c>
      <c r="O169" s="13">
        <f>N169*VLOOKUP('Données projet'!$B$9,Paramètres!$A$1:$I$89,3,0)*VLOOKUP('Données projet'!$B$9,Paramètres!$A$1:$I$89,5,0)</f>
        <v>-5.3205440053716299E-14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319.22903094674564</v>
      </c>
      <c r="T169" s="59">
        <f t="shared" si="142"/>
        <v>254.58690973142848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0.61402482515376466</v>
      </c>
      <c r="AA169" s="21">
        <f>EXP(-LN(2)/25)*AA168+(1-EXP(-LN(2)/25))/(LN(2)/25)*Calculateur!V169*Calculateur!X169*VLOOKUP('Données projet'!$B$9,Paramètres!$A$1:$I$89,3,0)*0.475*44/12</f>
        <v>0.25687575199409229</v>
      </c>
      <c r="AB169" s="21">
        <f>EXP(-LN(2)/2)*AB168+(1-EXP(-LN(2)/2))/(LN(2)/2)*V169*Y169*VLOOKUP('Données projet'!$B$9,Paramètres!$A$1:$I$89,3,0)*0.475*44/12</f>
        <v>3.7415575207582384E-20</v>
      </c>
      <c r="AC169" s="22">
        <f t="shared" si="163"/>
        <v>0.87090057714785696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-3.4106051316484809E-13</v>
      </c>
      <c r="AJ169" s="13">
        <f>AI169*VLOOKUP('Données projet'!$B$10,Paramètres!$A$1:$I$89,3,0)*VLOOKUP('Données projet'!$B$10,Paramètres!$A$1:$I$89,5,0)</f>
        <v>-1.9065282685915009E-13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544.48194192356823</v>
      </c>
      <c r="AO169" s="59">
        <f t="shared" si="144"/>
        <v>668.20427590250733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0.49665956559674346</v>
      </c>
      <c r="AV169" s="21">
        <f>EXP(-LN(2)/25)*AV168+(1-EXP(-LN(2)/25))/(LN(2)/25)*Calculateur!AQ169*Calculateur!AS169*VLOOKUP('Données projet'!$B$10,Paramètres!$A$1:$I$89,3,0)*0.475*44/12</f>
        <v>0.98159202360992115</v>
      </c>
      <c r="AW169" s="21">
        <f>EXP(-LN(2)/2)*AW168+(1-EXP(-LN(2)/2))/(LN(2)/2)*AQ169*AT169*VLOOKUP('Données projet'!$B$10,Paramètres!$A$1:$I$89,3,0)*0.475*44/12</f>
        <v>4.8849941035414995E-20</v>
      </c>
      <c r="AX169" s="21">
        <f t="shared" si="166"/>
        <v>1.4782515892066646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>
        <f>BD169*VLOOKUP('Données projet'!$B$11,Paramètres!$A$1:$I$89,3,0)*VLOOKUP('Données projet'!$B$11,Paramètres!$A$1:$I$89,5,0)</f>
        <v>0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405.7176439604217</v>
      </c>
      <c r="BJ169" s="59">
        <f t="shared" si="146"/>
        <v>278.21741231699929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0.49443408425470387</v>
      </c>
      <c r="BQ169" s="21">
        <f>EXP(-LN(2)/25)*BQ168+(1-EXP(-LN(2)/25))/(LN(2)/25)*Calculateur!BL169*Calculateur!BN169*VLOOKUP('Données projet'!$B$11,Paramètres!$A$1:$I$89,3,0)*0.475*44/12</f>
        <v>0.21572166295181333</v>
      </c>
      <c r="BR169" s="21">
        <f>EXP(-LN(2)/2)*BR168+(1-EXP(-LN(2)/2))/(LN(2)/2)*BL169*BO169*VLOOKUP('Données projet'!$B$11,Paramètres!$A$1:$I$89,3,0)*0.475*44/12</f>
        <v>2.8917137609875073E-20</v>
      </c>
      <c r="BS169" s="22">
        <f t="shared" si="169"/>
        <v>0.7101557472065172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259.99999999999983</v>
      </c>
      <c r="BZ169" s="13">
        <f>BY169*VLOOKUP('Données projet'!$B$12,Paramètres!$A$1:$I$89,3,0)*VLOOKUP('Données projet'!$B$12,Paramètres!$A$1:$I$89,5,0)</f>
        <v>227.13599999999985</v>
      </c>
      <c r="CA169" s="13">
        <f t="shared" si="170"/>
        <v>55.662966886685133</v>
      </c>
      <c r="CB169" s="20">
        <f t="shared" si="171"/>
        <v>492.5415339943097</v>
      </c>
      <c r="CC169" s="59">
        <f t="shared" si="119"/>
        <v>785.87486732764296</v>
      </c>
      <c r="CD169" s="59">
        <f ca="1">AVERAGE(OFFSET($CC$3,0,0,'Données projet'!$E$12+1,1))-AVERAGE(OFFSET($H$3,0,0,'Données projet'!$E$12+1,1))</f>
        <v>381.72225529388083</v>
      </c>
      <c r="CE169" s="59">
        <f t="shared" si="148"/>
        <v>360.05900046417361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0.32551574117207771</v>
      </c>
      <c r="CL169" s="21">
        <f>EXP(-LN(2)/25)*CL168+(1-EXP(-LN(2)/25))/(LN(2)/25)*Calculateur!CG169*Calculateur!CI169*VLOOKUP('Données projet'!$B$12,Paramètres!$A$1:$I$89,3,0)*0.475*44/12</f>
        <v>0.25984363647495817</v>
      </c>
      <c r="CM169" s="21">
        <f>EXP(-LN(2)/2)*CM168+(1-EXP(-LN(2)/2))/(LN(2)/2)*CG169*CJ169*VLOOKUP('Données projet'!$B$12,Paramètres!$A$1:$I$89,3,0)*0.475*44/12</f>
        <v>2.3708471890552001E-20</v>
      </c>
      <c r="CN169" s="22">
        <f t="shared" si="172"/>
        <v>0.58535937764703583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-1.7053025658242404E-13</v>
      </c>
      <c r="CU169" s="17">
        <f>CT169*VLOOKUP('Données projet'!$B$13,Paramètres!$A$1:$I$89,3,0)*VLOOKUP('Données projet'!$B$13,Paramètres!$A$1:$I$89,5,0)</f>
        <v>-1.3567387213697657E-13</v>
      </c>
      <c r="CV169" s="13" t="e">
        <f t="shared" si="173"/>
        <v>#NUM!</v>
      </c>
      <c r="CW169" s="20" t="e">
        <f t="shared" si="174"/>
        <v>#NUM!</v>
      </c>
      <c r="CX169" s="59" t="e">
        <f t="shared" si="122"/>
        <v>#NUM!</v>
      </c>
      <c r="CY169" s="59">
        <f ca="1">AVERAGE(OFFSET($CX$3,0,0,'Données projet'!$E$13+1,1))-AVERAGE(OFFSET($H$3,0,0,'Données projet'!$E$13+1,1))</f>
        <v>299.10536994156814</v>
      </c>
      <c r="CZ169" s="59">
        <f t="shared" si="150"/>
        <v>292.57799203101769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0.56972009147656455</v>
      </c>
      <c r="DG169" s="21">
        <f>EXP(-LN(2)/25)*DG168+(1-EXP(-LN(2)/25))/(LN(2)/25)*Calculateur!DB169*Calculateur!DD169*VLOOKUP('Données projet'!$B$13,Paramètres!$A$1:$I$89,3,0)*0.475*44/12</f>
        <v>0.24907668843087302</v>
      </c>
      <c r="DH169" s="21">
        <f>EXP(-LN(2)/2)*DH168+(1-EXP(-LN(2)/2))/(LN(2)/2)*DB169*DE169*VLOOKUP('Données projet'!$B$13,Paramètres!$A$1:$I$89,3,0)*0.475*44/12</f>
        <v>3.0400515854492096E-20</v>
      </c>
      <c r="DI169" s="22">
        <f t="shared" si="175"/>
        <v>0.8187967799074376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2.2737367544323206E-13</v>
      </c>
      <c r="DP169" s="17">
        <f>DO169*VLOOKUP('Données projet'!$B$14,Paramètres!$A$1:$I$89,3,0)*VLOOKUP('Données projet'!$B$14,Paramètres!$A$1:$I$89,5,0)</f>
        <v>1.4897523215040565E-13</v>
      </c>
      <c r="DQ169" s="13">
        <f t="shared" si="176"/>
        <v>2.136562777003313E-12</v>
      </c>
      <c r="DR169" s="20">
        <f t="shared" si="177"/>
        <v>3.9806453659427267E-12</v>
      </c>
      <c r="DS169" s="59">
        <f t="shared" si="125"/>
        <v>293.33333333333729</v>
      </c>
      <c r="DT169" s="59">
        <f ca="1">AVERAGE(OFFSET($DS$3,0,0,'Données projet'!$E$14+1,1))-AVERAGE(OFFSET($H$3,0,0,'Données projet'!$E$14+1,1))</f>
        <v>295.92103934364718</v>
      </c>
      <c r="DU169" s="59">
        <f t="shared" si="152"/>
        <v>304.84379909635476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0.30175371449963617</v>
      </c>
      <c r="EB169" s="21">
        <f>EXP(-LN(2)/25)*EB168+(1-EXP(-LN(2)/25))/(LN(2)/25)*Calculateur!DW169*Calculateur!DY169*VLOOKUP('Données projet'!$B$14,Paramètres!$A$1:$I$89,3,0)*0.475*44/12</f>
        <v>0.16475306743989093</v>
      </c>
      <c r="EC169" s="21">
        <f>EXP(-LN(2)/2)*EC168+(1-EXP(-LN(2)/2))/(LN(2)/2)*DW169*DZ169*VLOOKUP('Données projet'!$B$14,Paramètres!$A$1:$I$89,3,0)*0.475*44/12</f>
        <v>1.9497731139159675E-20</v>
      </c>
      <c r="ED169" s="22">
        <f t="shared" si="178"/>
        <v>0.4665067819395271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-1.1368683772161603E-13</v>
      </c>
      <c r="O170" s="13">
        <f>N170*VLOOKUP('Données projet'!$B$9,Paramètres!$A$1:$I$89,3,0)*VLOOKUP('Données projet'!$B$9,Paramètres!$A$1:$I$89,5,0)</f>
        <v>-5.3205440053716299E-14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319.22903094674564</v>
      </c>
      <c r="T170" s="59">
        <f t="shared" si="142"/>
        <v>254.58690973142848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0.60198417285066208</v>
      </c>
      <c r="AA170" s="21">
        <f>EXP(-LN(2)/25)*AA169+(1-EXP(-LN(2)/25))/(LN(2)/25)*Calculateur!V170*Calculateur!X170*VLOOKUP('Données projet'!$B$9,Paramètres!$A$1:$I$89,3,0)*0.475*44/12</f>
        <v>0.24985147104730515</v>
      </c>
      <c r="AB170" s="21">
        <f>EXP(-LN(2)/2)*AB169+(1-EXP(-LN(2)/2))/(LN(2)/2)*V170*Y170*VLOOKUP('Données projet'!$B$9,Paramètres!$A$1:$I$89,3,0)*0.475*44/12</f>
        <v>2.645680695127677E-20</v>
      </c>
      <c r="AC170" s="22">
        <f t="shared" si="163"/>
        <v>0.85183564389796729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-3.4106051316484809E-13</v>
      </c>
      <c r="AJ170" s="13">
        <f>AI170*VLOOKUP('Données projet'!$B$10,Paramètres!$A$1:$I$89,3,0)*VLOOKUP('Données projet'!$B$10,Paramètres!$A$1:$I$89,5,0)</f>
        <v>-1.9065282685915009E-13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544.48194192356823</v>
      </c>
      <c r="AO170" s="59">
        <f t="shared" si="144"/>
        <v>668.20427590250733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0.48692037444781422</v>
      </c>
      <c r="AV170" s="21">
        <f>EXP(-LN(2)/25)*AV169+(1-EXP(-LN(2)/25))/(LN(2)/25)*Calculateur!AQ170*Calculateur!AS170*VLOOKUP('Données projet'!$B$10,Paramètres!$A$1:$I$89,3,0)*0.475*44/12</f>
        <v>0.95475033810462684</v>
      </c>
      <c r="AW170" s="21">
        <f>EXP(-LN(2)/2)*AW169+(1-EXP(-LN(2)/2))/(LN(2)/2)*AQ170*AT170*VLOOKUP('Données projet'!$B$10,Paramètres!$A$1:$I$89,3,0)*0.475*44/12</f>
        <v>3.4542124566704939E-20</v>
      </c>
      <c r="AX170" s="21">
        <f t="shared" si="166"/>
        <v>1.4416707125524411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>
        <f>BD170*VLOOKUP('Données projet'!$B$11,Paramètres!$A$1:$I$89,3,0)*VLOOKUP('Données projet'!$B$11,Paramètres!$A$1:$I$89,5,0)</f>
        <v>0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405.7176439604217</v>
      </c>
      <c r="BJ170" s="59">
        <f t="shared" si="146"/>
        <v>278.21741231699929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0.48473853343748247</v>
      </c>
      <c r="BQ170" s="21">
        <f>EXP(-LN(2)/25)*BQ169+(1-EXP(-LN(2)/25))/(LN(2)/25)*Calculateur!BL170*Calculateur!BN170*VLOOKUP('Données projet'!$B$11,Paramètres!$A$1:$I$89,3,0)*0.475*44/12</f>
        <v>0.20982274273408677</v>
      </c>
      <c r="BR170" s="21">
        <f>EXP(-LN(2)/2)*BR169+(1-EXP(-LN(2)/2))/(LN(2)/2)*BL170*BO170*VLOOKUP('Données projet'!$B$11,Paramètres!$A$1:$I$89,3,0)*0.475*44/12</f>
        <v>2.0447504096447217E-20</v>
      </c>
      <c r="BS170" s="22">
        <f t="shared" si="169"/>
        <v>0.69456127617156926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259.99999999999983</v>
      </c>
      <c r="BZ170" s="13">
        <f>BY170*VLOOKUP('Données projet'!$B$12,Paramètres!$A$1:$I$89,3,0)*VLOOKUP('Données projet'!$B$12,Paramètres!$A$1:$I$89,5,0)</f>
        <v>227.13599999999985</v>
      </c>
      <c r="CA170" s="13">
        <f t="shared" si="170"/>
        <v>55.662966886685133</v>
      </c>
      <c r="CB170" s="20">
        <f t="shared" si="171"/>
        <v>492.5415339943097</v>
      </c>
      <c r="CC170" s="59">
        <f t="shared" si="119"/>
        <v>785.87486732764296</v>
      </c>
      <c r="CD170" s="59">
        <f ca="1">AVERAGE(OFFSET($CC$3,0,0,'Données projet'!$E$12+1,1))-AVERAGE(OFFSET($H$3,0,0,'Données projet'!$E$12+1,1))</f>
        <v>381.72225529388083</v>
      </c>
      <c r="CE170" s="59">
        <f t="shared" si="148"/>
        <v>360.05900046417361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0.31913257603269068</v>
      </c>
      <c r="CL170" s="21">
        <f>EXP(-LN(2)/25)*CL169+(1-EXP(-LN(2)/25))/(LN(2)/25)*Calculateur!CG170*Calculateur!CI170*VLOOKUP('Données projet'!$B$12,Paramètres!$A$1:$I$89,3,0)*0.475*44/12</f>
        <v>0.25273819857096746</v>
      </c>
      <c r="CM170" s="21">
        <f>EXP(-LN(2)/2)*CM169+(1-EXP(-LN(2)/2))/(LN(2)/2)*CG170*CJ170*VLOOKUP('Données projet'!$B$12,Paramètres!$A$1:$I$89,3,0)*0.475*44/12</f>
        <v>1.6764421245379966E-20</v>
      </c>
      <c r="CN170" s="22">
        <f t="shared" si="172"/>
        <v>0.57187077460365821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-1.7053025658242404E-13</v>
      </c>
      <c r="CU170" s="17">
        <f>CT170*VLOOKUP('Données projet'!$B$13,Paramètres!$A$1:$I$89,3,0)*VLOOKUP('Données projet'!$B$13,Paramètres!$A$1:$I$89,5,0)</f>
        <v>-1.3567387213697657E-13</v>
      </c>
      <c r="CV170" s="13" t="e">
        <f t="shared" si="173"/>
        <v>#NUM!</v>
      </c>
      <c r="CW170" s="20" t="e">
        <f t="shared" si="174"/>
        <v>#NUM!</v>
      </c>
      <c r="CX170" s="59" t="e">
        <f t="shared" si="122"/>
        <v>#NUM!</v>
      </c>
      <c r="CY170" s="59">
        <f ca="1">AVERAGE(OFFSET($CX$3,0,0,'Données projet'!$E$13+1,1))-AVERAGE(OFFSET($H$3,0,0,'Données projet'!$E$13+1,1))</f>
        <v>299.10536994156814</v>
      </c>
      <c r="CZ170" s="59">
        <f t="shared" si="150"/>
        <v>292.57799203101769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0.55854822797765269</v>
      </c>
      <c r="DG170" s="21">
        <f>EXP(-LN(2)/25)*DG169+(1-EXP(-LN(2)/25))/(LN(2)/25)*Calculateur!DB170*Calculateur!DD170*VLOOKUP('Données projet'!$B$13,Paramètres!$A$1:$I$89,3,0)*0.475*44/12</f>
        <v>0.24226567328735701</v>
      </c>
      <c r="DH170" s="21">
        <f>EXP(-LN(2)/2)*DH169+(1-EXP(-LN(2)/2))/(LN(2)/2)*DB170*DE170*VLOOKUP('Données projet'!$B$13,Paramètres!$A$1:$I$89,3,0)*0.475*44/12</f>
        <v>2.1496410912280512E-20</v>
      </c>
      <c r="DI170" s="22">
        <f t="shared" si="175"/>
        <v>0.80081390126500973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2.2737367544323206E-13</v>
      </c>
      <c r="DP170" s="17">
        <f>DO170*VLOOKUP('Données projet'!$B$14,Paramètres!$A$1:$I$89,3,0)*VLOOKUP('Données projet'!$B$14,Paramètres!$A$1:$I$89,5,0)</f>
        <v>1.4897523215040565E-13</v>
      </c>
      <c r="DQ170" s="13">
        <f t="shared" si="176"/>
        <v>2.136562777003313E-12</v>
      </c>
      <c r="DR170" s="20">
        <f t="shared" si="177"/>
        <v>3.9806453659427267E-12</v>
      </c>
      <c r="DS170" s="59">
        <f t="shared" si="125"/>
        <v>293.33333333333729</v>
      </c>
      <c r="DT170" s="59">
        <f ca="1">AVERAGE(OFFSET($DS$3,0,0,'Données projet'!$E$14+1,1))-AVERAGE(OFFSET($H$3,0,0,'Données projet'!$E$14+1,1))</f>
        <v>295.92103934364718</v>
      </c>
      <c r="DU170" s="59">
        <f t="shared" si="152"/>
        <v>304.84379909635476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0.29583650820989055</v>
      </c>
      <c r="EB170" s="21">
        <f>EXP(-LN(2)/25)*EB169+(1-EXP(-LN(2)/25))/(LN(2)/25)*Calculateur!DW170*Calculateur!DY170*VLOOKUP('Données projet'!$B$14,Paramètres!$A$1:$I$89,3,0)*0.475*44/12</f>
        <v>0.16024788614675983</v>
      </c>
      <c r="EC170" s="21">
        <f>EXP(-LN(2)/2)*EC169+(1-EXP(-LN(2)/2))/(LN(2)/2)*DW170*DZ170*VLOOKUP('Données projet'!$B$14,Paramètres!$A$1:$I$89,3,0)*0.475*44/12</f>
        <v>1.3786977906251914E-20</v>
      </c>
      <c r="ED170" s="22">
        <f t="shared" si="178"/>
        <v>0.45608439435665038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-1.1368683772161603E-13</v>
      </c>
      <c r="O171" s="13">
        <f>N171*VLOOKUP('Données projet'!$B$9,Paramètres!$A$1:$I$89,3,0)*VLOOKUP('Données projet'!$B$9,Paramètres!$A$1:$I$89,5,0)</f>
        <v>-5.3205440053716299E-14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319.22903094674564</v>
      </c>
      <c r="T171" s="59">
        <f t="shared" si="142"/>
        <v>254.58690973142848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0.59017963039515065</v>
      </c>
      <c r="AA171" s="21">
        <f>EXP(-LN(2)/25)*AA170+(1-EXP(-LN(2)/25))/(LN(2)/25)*Calculateur!V171*Calculateur!X171*VLOOKUP('Données projet'!$B$9,Paramètres!$A$1:$I$89,3,0)*0.475*44/12</f>
        <v>0.24301926943239877</v>
      </c>
      <c r="AB171" s="21">
        <f>EXP(-LN(2)/2)*AB170+(1-EXP(-LN(2)/2))/(LN(2)/2)*V171*Y171*VLOOKUP('Données projet'!$B$9,Paramètres!$A$1:$I$89,3,0)*0.475*44/12</f>
        <v>1.8707787603791195E-20</v>
      </c>
      <c r="AC171" s="22">
        <f t="shared" si="163"/>
        <v>0.83319889982754947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-3.4106051316484809E-13</v>
      </c>
      <c r="AJ171" s="13">
        <f>AI171*VLOOKUP('Données projet'!$B$10,Paramètres!$A$1:$I$89,3,0)*VLOOKUP('Données projet'!$B$10,Paramètres!$A$1:$I$89,5,0)</f>
        <v>-1.9065282685915009E-13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544.48194192356823</v>
      </c>
      <c r="AO171" s="59">
        <f t="shared" si="144"/>
        <v>668.20427590250733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0.47737216289699547</v>
      </c>
      <c r="AV171" s="21">
        <f>EXP(-LN(2)/25)*AV170+(1-EXP(-LN(2)/25))/(LN(2)/25)*Calculateur!AQ171*Calculateur!AS171*VLOOKUP('Données projet'!$B$10,Paramètres!$A$1:$I$89,3,0)*0.475*44/12</f>
        <v>0.9286426399010177</v>
      </c>
      <c r="AW171" s="21">
        <f>EXP(-LN(2)/2)*AW170+(1-EXP(-LN(2)/2))/(LN(2)/2)*AQ171*AT171*VLOOKUP('Données projet'!$B$10,Paramètres!$A$1:$I$89,3,0)*0.475*44/12</f>
        <v>2.4424970517707498E-20</v>
      </c>
      <c r="AX171" s="21">
        <f t="shared" si="166"/>
        <v>1.4060148027980133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>
        <f>BD171*VLOOKUP('Données projet'!$B$11,Paramètres!$A$1:$I$89,3,0)*VLOOKUP('Données projet'!$B$11,Paramètres!$A$1:$I$89,5,0)</f>
        <v>0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405.7176439604217</v>
      </c>
      <c r="BJ171" s="59">
        <f t="shared" si="146"/>
        <v>278.21741231699929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0.4752331064580847</v>
      </c>
      <c r="BQ171" s="21">
        <f>EXP(-LN(2)/25)*BQ170+(1-EXP(-LN(2)/25))/(LN(2)/25)*Calculateur!BL171*Calculateur!BN171*VLOOKUP('Données projet'!$B$11,Paramètres!$A$1:$I$89,3,0)*0.475*44/12</f>
        <v>0.20408512879992469</v>
      </c>
      <c r="BR171" s="21">
        <f>EXP(-LN(2)/2)*BR170+(1-EXP(-LN(2)/2))/(LN(2)/2)*BL171*BO171*VLOOKUP('Données projet'!$B$11,Paramètres!$A$1:$I$89,3,0)*0.475*44/12</f>
        <v>1.4458568804937537E-20</v>
      </c>
      <c r="BS171" s="22">
        <f t="shared" si="169"/>
        <v>0.67931823525800938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259.99999999999983</v>
      </c>
      <c r="BZ171" s="13">
        <f>BY171*VLOOKUP('Données projet'!$B$12,Paramètres!$A$1:$I$89,3,0)*VLOOKUP('Données projet'!$B$12,Paramètres!$A$1:$I$89,5,0)</f>
        <v>227.13599999999985</v>
      </c>
      <c r="CA171" s="13">
        <f t="shared" si="170"/>
        <v>55.662966886685133</v>
      </c>
      <c r="CB171" s="20">
        <f t="shared" si="171"/>
        <v>492.5415339943097</v>
      </c>
      <c r="CC171" s="59">
        <f t="shared" si="119"/>
        <v>785.87486732764296</v>
      </c>
      <c r="CD171" s="59">
        <f ca="1">AVERAGE(OFFSET($CC$3,0,0,'Données projet'!$E$12+1,1))-AVERAGE(OFFSET($H$3,0,0,'Données projet'!$E$12+1,1))</f>
        <v>381.72225529388083</v>
      </c>
      <c r="CE171" s="59">
        <f t="shared" si="148"/>
        <v>360.05900046417361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0.31287458086834075</v>
      </c>
      <c r="CL171" s="21">
        <f>EXP(-LN(2)/25)*CL170+(1-EXP(-LN(2)/25))/(LN(2)/25)*Calculateur!CG171*Calculateur!CI171*VLOOKUP('Données projet'!$B$12,Paramètres!$A$1:$I$89,3,0)*0.475*44/12</f>
        <v>0.24582705924012013</v>
      </c>
      <c r="CM171" s="21">
        <f>EXP(-LN(2)/2)*CM170+(1-EXP(-LN(2)/2))/(LN(2)/2)*CG171*CJ171*VLOOKUP('Données projet'!$B$12,Paramètres!$A$1:$I$89,3,0)*0.475*44/12</f>
        <v>1.1854235945276001E-20</v>
      </c>
      <c r="CN171" s="22">
        <f t="shared" si="172"/>
        <v>0.55870164010846091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-1.7053025658242404E-13</v>
      </c>
      <c r="CU171" s="17">
        <f>CT171*VLOOKUP('Données projet'!$B$13,Paramètres!$A$1:$I$89,3,0)*VLOOKUP('Données projet'!$B$13,Paramètres!$A$1:$I$89,5,0)</f>
        <v>-1.3567387213697657E-13</v>
      </c>
      <c r="CV171" s="13" t="e">
        <f t="shared" si="173"/>
        <v>#NUM!</v>
      </c>
      <c r="CW171" s="20" t="e">
        <f t="shared" si="174"/>
        <v>#NUM!</v>
      </c>
      <c r="CX171" s="59" t="e">
        <f t="shared" si="122"/>
        <v>#NUM!</v>
      </c>
      <c r="CY171" s="59">
        <f ca="1">AVERAGE(OFFSET($CX$3,0,0,'Données projet'!$E$13+1,1))-AVERAGE(OFFSET($H$3,0,0,'Données projet'!$E$13+1,1))</f>
        <v>299.10536994156814</v>
      </c>
      <c r="CZ171" s="59">
        <f t="shared" si="150"/>
        <v>292.57799203101769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0.54759543790779053</v>
      </c>
      <c r="DG171" s="21">
        <f>EXP(-LN(2)/25)*DG170+(1-EXP(-LN(2)/25))/(LN(2)/25)*Calculateur!DB171*Calculateur!DD171*VLOOKUP('Données projet'!$B$13,Paramètres!$A$1:$I$89,3,0)*0.475*44/12</f>
        <v>0.23564090571111618</v>
      </c>
      <c r="DH171" s="21">
        <f>EXP(-LN(2)/2)*DH170+(1-EXP(-LN(2)/2))/(LN(2)/2)*DB171*DE171*VLOOKUP('Données projet'!$B$13,Paramètres!$A$1:$I$89,3,0)*0.475*44/12</f>
        <v>1.5200257927246048E-20</v>
      </c>
      <c r="DI171" s="22">
        <f t="shared" si="175"/>
        <v>0.78323634361890671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2.2737367544323206E-13</v>
      </c>
      <c r="DP171" s="17">
        <f>DO171*VLOOKUP('Données projet'!$B$14,Paramètres!$A$1:$I$89,3,0)*VLOOKUP('Données projet'!$B$14,Paramètres!$A$1:$I$89,5,0)</f>
        <v>1.4897523215040565E-13</v>
      </c>
      <c r="DQ171" s="13">
        <f t="shared" si="176"/>
        <v>2.136562777003313E-12</v>
      </c>
      <c r="DR171" s="20">
        <f t="shared" si="177"/>
        <v>3.9806453659427267E-12</v>
      </c>
      <c r="DS171" s="59">
        <f t="shared" si="125"/>
        <v>293.33333333333729</v>
      </c>
      <c r="DT171" s="59">
        <f ca="1">AVERAGE(OFFSET($DS$3,0,0,'Données projet'!$E$14+1,1))-AVERAGE(OFFSET($H$3,0,0,'Données projet'!$E$14+1,1))</f>
        <v>295.92103934364718</v>
      </c>
      <c r="DU171" s="59">
        <f t="shared" si="152"/>
        <v>304.84379909635476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0.2900353347263474</v>
      </c>
      <c r="EB171" s="21">
        <f>EXP(-LN(2)/25)*EB170+(1-EXP(-LN(2)/25))/(LN(2)/25)*Calculateur!DW171*Calculateur!DY171*VLOOKUP('Données projet'!$B$14,Paramètres!$A$1:$I$89,3,0)*0.475*44/12</f>
        <v>0.15586589927300659</v>
      </c>
      <c r="EC171" s="21">
        <f>EXP(-LN(2)/2)*EC170+(1-EXP(-LN(2)/2))/(LN(2)/2)*DW171*DZ171*VLOOKUP('Données projet'!$B$14,Paramètres!$A$1:$I$89,3,0)*0.475*44/12</f>
        <v>9.7488655695798377E-21</v>
      </c>
      <c r="ED171" s="22">
        <f t="shared" si="178"/>
        <v>0.445901233999354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-1.1368683772161603E-13</v>
      </c>
      <c r="O172" s="13">
        <f>N172*VLOOKUP('Données projet'!$B$9,Paramètres!$A$1:$I$89,3,0)*VLOOKUP('Données projet'!$B$9,Paramètres!$A$1:$I$89,5,0)</f>
        <v>-5.3205440053716299E-14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319.22903094674564</v>
      </c>
      <c r="T172" s="59">
        <f t="shared" si="142"/>
        <v>254.58690973142848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0.57860656781713182</v>
      </c>
      <c r="AA172" s="21">
        <f>EXP(-LN(2)/25)*AA171+(1-EXP(-LN(2)/25))/(LN(2)/25)*Calculateur!V172*Calculateur!X172*VLOOKUP('Données projet'!$B$9,Paramètres!$A$1:$I$89,3,0)*0.475*44/12</f>
        <v>0.23637389472994186</v>
      </c>
      <c r="AB172" s="21">
        <f>EXP(-LN(2)/2)*AB171+(1-EXP(-LN(2)/2))/(LN(2)/2)*V172*Y172*VLOOKUP('Données projet'!$B$9,Paramètres!$A$1:$I$89,3,0)*0.475*44/12</f>
        <v>1.3228403475638388E-20</v>
      </c>
      <c r="AC172" s="22">
        <f t="shared" si="163"/>
        <v>0.81498046254707368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-3.4106051316484809E-13</v>
      </c>
      <c r="AJ172" s="13">
        <f>AI172*VLOOKUP('Données projet'!$B$10,Paramètres!$A$1:$I$89,3,0)*VLOOKUP('Données projet'!$B$10,Paramètres!$A$1:$I$89,5,0)</f>
        <v>-1.9065282685915009E-13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544.48194192356823</v>
      </c>
      <c r="AO172" s="59">
        <f t="shared" si="144"/>
        <v>668.20427590250733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0.46801118595085428</v>
      </c>
      <c r="AV172" s="21">
        <f>EXP(-LN(2)/25)*AV171+(1-EXP(-LN(2)/25))/(LN(2)/25)*Calculateur!AQ172*Calculateur!AS172*VLOOKUP('Données projet'!$B$10,Paramètres!$A$1:$I$89,3,0)*0.475*44/12</f>
        <v>0.90324885807773037</v>
      </c>
      <c r="AW172" s="21">
        <f>EXP(-LN(2)/2)*AW171+(1-EXP(-LN(2)/2))/(LN(2)/2)*AQ172*AT172*VLOOKUP('Données projet'!$B$10,Paramètres!$A$1:$I$89,3,0)*0.475*44/12</f>
        <v>1.727106228335247E-20</v>
      </c>
      <c r="AX172" s="21">
        <f t="shared" si="166"/>
        <v>1.3712600440285847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>
        <f>BD172*VLOOKUP('Données projet'!$B$11,Paramètres!$A$1:$I$89,3,0)*VLOOKUP('Données projet'!$B$11,Paramètres!$A$1:$I$89,5,0)</f>
        <v>0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405.7176439604217</v>
      </c>
      <c r="BJ172" s="59">
        <f t="shared" si="146"/>
        <v>278.21741231699929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0.46591407510401495</v>
      </c>
      <c r="BQ172" s="21">
        <f>EXP(-LN(2)/25)*BQ171+(1-EXP(-LN(2)/25))/(LN(2)/25)*Calculateur!BL172*Calculateur!BN172*VLOOKUP('Données projet'!$B$11,Paramètres!$A$1:$I$89,3,0)*0.475*44/12</f>
        <v>0.19850441022052026</v>
      </c>
      <c r="BR172" s="21">
        <f>EXP(-LN(2)/2)*BR171+(1-EXP(-LN(2)/2))/(LN(2)/2)*BL172*BO172*VLOOKUP('Données projet'!$B$11,Paramètres!$A$1:$I$89,3,0)*0.475*44/12</f>
        <v>1.0223752048223609E-20</v>
      </c>
      <c r="BS172" s="22">
        <f t="shared" si="169"/>
        <v>0.66441848532453518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259.99999999999983</v>
      </c>
      <c r="BZ172" s="13">
        <f>BY172*VLOOKUP('Données projet'!$B$12,Paramètres!$A$1:$I$89,3,0)*VLOOKUP('Données projet'!$B$12,Paramètres!$A$1:$I$89,5,0)</f>
        <v>227.13599999999985</v>
      </c>
      <c r="CA172" s="13">
        <f t="shared" si="170"/>
        <v>55.662966886685133</v>
      </c>
      <c r="CB172" s="20">
        <f t="shared" si="171"/>
        <v>492.5415339943097</v>
      </c>
      <c r="CC172" s="59">
        <f t="shared" si="119"/>
        <v>785.87486732764296</v>
      </c>
      <c r="CD172" s="59">
        <f ca="1">AVERAGE(OFFSET($CC$3,0,0,'Données projet'!$E$12+1,1))-AVERAGE(OFFSET($H$3,0,0,'Données projet'!$E$12+1,1))</f>
        <v>381.72225529388083</v>
      </c>
      <c r="CE172" s="59">
        <f t="shared" si="148"/>
        <v>360.05900046417361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0.30673930117216358</v>
      </c>
      <c r="CL172" s="21">
        <f>EXP(-LN(2)/25)*CL171+(1-EXP(-LN(2)/25))/(LN(2)/25)*Calculateur!CG172*Calculateur!CI172*VLOOKUP('Données projet'!$B$12,Paramètres!$A$1:$I$89,3,0)*0.475*44/12</f>
        <v>0.23910490537771584</v>
      </c>
      <c r="CM172" s="21">
        <f>EXP(-LN(2)/2)*CM171+(1-EXP(-LN(2)/2))/(LN(2)/2)*CG172*CJ172*VLOOKUP('Données projet'!$B$12,Paramètres!$A$1:$I$89,3,0)*0.475*44/12</f>
        <v>8.3822106226899832E-21</v>
      </c>
      <c r="CN172" s="22">
        <f t="shared" si="172"/>
        <v>0.54584420654987942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-1.7053025658242404E-13</v>
      </c>
      <c r="CU172" s="17">
        <f>CT172*VLOOKUP('Données projet'!$B$13,Paramètres!$A$1:$I$89,3,0)*VLOOKUP('Données projet'!$B$13,Paramètres!$A$1:$I$89,5,0)</f>
        <v>-1.3567387213697657E-13</v>
      </c>
      <c r="CV172" s="13" t="e">
        <f t="shared" si="173"/>
        <v>#NUM!</v>
      </c>
      <c r="CW172" s="20" t="e">
        <f t="shared" si="174"/>
        <v>#NUM!</v>
      </c>
      <c r="CX172" s="59" t="e">
        <f t="shared" si="122"/>
        <v>#NUM!</v>
      </c>
      <c r="CY172" s="59">
        <f ca="1">AVERAGE(OFFSET($CX$3,0,0,'Données projet'!$E$13+1,1))-AVERAGE(OFFSET($H$3,0,0,'Données projet'!$E$13+1,1))</f>
        <v>299.10536994156814</v>
      </c>
      <c r="CZ172" s="59">
        <f t="shared" si="150"/>
        <v>292.57799203101769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0.53685742537065606</v>
      </c>
      <c r="DG172" s="21">
        <f>EXP(-LN(2)/25)*DG171+(1-EXP(-LN(2)/25))/(LN(2)/25)*Calculateur!DB172*Calculateur!DD172*VLOOKUP('Données projet'!$B$13,Paramètres!$A$1:$I$89,3,0)*0.475*44/12</f>
        <v>0.22919729275262904</v>
      </c>
      <c r="DH172" s="21">
        <f>EXP(-LN(2)/2)*DH171+(1-EXP(-LN(2)/2))/(LN(2)/2)*DB172*DE172*VLOOKUP('Données projet'!$B$13,Paramètres!$A$1:$I$89,3,0)*0.475*44/12</f>
        <v>1.0748205456140256E-20</v>
      </c>
      <c r="DI172" s="22">
        <f t="shared" si="175"/>
        <v>0.76605471812328507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2.2737367544323206E-13</v>
      </c>
      <c r="DP172" s="17">
        <f>DO172*VLOOKUP('Données projet'!$B$14,Paramètres!$A$1:$I$89,3,0)*VLOOKUP('Données projet'!$B$14,Paramètres!$A$1:$I$89,5,0)</f>
        <v>1.4897523215040565E-13</v>
      </c>
      <c r="DQ172" s="13">
        <f t="shared" si="176"/>
        <v>2.136562777003313E-12</v>
      </c>
      <c r="DR172" s="20">
        <f t="shared" si="177"/>
        <v>3.9806453659427267E-12</v>
      </c>
      <c r="DS172" s="59">
        <f t="shared" si="125"/>
        <v>293.33333333333729</v>
      </c>
      <c r="DT172" s="59">
        <f ca="1">AVERAGE(OFFSET($DS$3,0,0,'Données projet'!$E$14+1,1))-AVERAGE(OFFSET($H$3,0,0,'Données projet'!$E$14+1,1))</f>
        <v>295.92103934364718</v>
      </c>
      <c r="DU172" s="59">
        <f t="shared" si="152"/>
        <v>304.84379909635476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0.2843479187164501</v>
      </c>
      <c r="EB172" s="21">
        <f>EXP(-LN(2)/25)*EB171+(1-EXP(-LN(2)/25))/(LN(2)/25)*Calculateur!DW172*Calculateur!DY172*VLOOKUP('Données projet'!$B$14,Paramètres!$A$1:$I$89,3,0)*0.475*44/12</f>
        <v>0.15160373806075483</v>
      </c>
      <c r="EC172" s="21">
        <f>EXP(-LN(2)/2)*EC171+(1-EXP(-LN(2)/2))/(LN(2)/2)*DW172*DZ172*VLOOKUP('Données projet'!$B$14,Paramètres!$A$1:$I$89,3,0)*0.475*44/12</f>
        <v>6.8934889531259572E-21</v>
      </c>
      <c r="ED172" s="22">
        <f t="shared" si="178"/>
        <v>0.43595165677720493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-1.1368683772161603E-13</v>
      </c>
      <c r="O173" s="13">
        <f>N173*VLOOKUP('Données projet'!$B$9,Paramètres!$A$1:$I$89,3,0)*VLOOKUP('Données projet'!$B$9,Paramètres!$A$1:$I$89,5,0)</f>
        <v>-5.3205440053716299E-14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319.22903094674564</v>
      </c>
      <c r="T173" s="59">
        <f t="shared" si="142"/>
        <v>254.58690973142848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0.56726044593739677</v>
      </c>
      <c r="AA173" s="21">
        <f>EXP(-LN(2)/25)*AA172+(1-EXP(-LN(2)/25))/(LN(2)/25)*Calculateur!V173*Calculateur!X173*VLOOKUP('Données projet'!$B$9,Paramètres!$A$1:$I$89,3,0)*0.475*44/12</f>
        <v>0.2299102381481887</v>
      </c>
      <c r="AB173" s="21">
        <f>EXP(-LN(2)/2)*AB172+(1-EXP(-LN(2)/2))/(LN(2)/2)*V173*Y173*VLOOKUP('Données projet'!$B$9,Paramètres!$A$1:$I$89,3,0)*0.475*44/12</f>
        <v>9.353893801895599E-21</v>
      </c>
      <c r="AC173" s="22">
        <f t="shared" si="163"/>
        <v>0.79717068408558545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-3.4106051316484809E-13</v>
      </c>
      <c r="AJ173" s="13">
        <f>AI173*VLOOKUP('Données projet'!$B$10,Paramètres!$A$1:$I$89,3,0)*VLOOKUP('Données projet'!$B$10,Paramètres!$A$1:$I$89,5,0)</f>
        <v>-1.9065282685915009E-13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544.48194192356823</v>
      </c>
      <c r="AO173" s="59">
        <f t="shared" si="144"/>
        <v>668.20427590250733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0.45883377205299475</v>
      </c>
      <c r="AV173" s="21">
        <f>EXP(-LN(2)/25)*AV172+(1-EXP(-LN(2)/25))/(LN(2)/25)*Calculateur!AQ173*Calculateur!AS173*VLOOKUP('Données projet'!$B$10,Paramètres!$A$1:$I$89,3,0)*0.475*44/12</f>
        <v>0.87854947055380184</v>
      </c>
      <c r="AW173" s="21">
        <f>EXP(-LN(2)/2)*AW172+(1-EXP(-LN(2)/2))/(LN(2)/2)*AQ173*AT173*VLOOKUP('Données projet'!$B$10,Paramètres!$A$1:$I$89,3,0)*0.475*44/12</f>
        <v>1.2212485258853749E-20</v>
      </c>
      <c r="AX173" s="21">
        <f t="shared" si="166"/>
        <v>1.3373832426067966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>
        <f>BD173*VLOOKUP('Données projet'!$B$11,Paramètres!$A$1:$I$89,3,0)*VLOOKUP('Données projet'!$B$11,Paramètres!$A$1:$I$89,5,0)</f>
        <v>0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405.7176439604217</v>
      </c>
      <c r="BJ173" s="59">
        <f t="shared" si="146"/>
        <v>278.21741231699929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0.45677778427075061</v>
      </c>
      <c r="BQ173" s="21">
        <f>EXP(-LN(2)/25)*BQ172+(1-EXP(-LN(2)/25))/(LN(2)/25)*Calculateur!BL173*Calculateur!BN173*VLOOKUP('Données projet'!$B$11,Paramètres!$A$1:$I$89,3,0)*0.475*44/12</f>
        <v>0.19307629668414689</v>
      </c>
      <c r="BR173" s="21">
        <f>EXP(-LN(2)/2)*BR172+(1-EXP(-LN(2)/2))/(LN(2)/2)*BL173*BO173*VLOOKUP('Données projet'!$B$11,Paramètres!$A$1:$I$89,3,0)*0.475*44/12</f>
        <v>7.2292844024687683E-21</v>
      </c>
      <c r="BS173" s="22">
        <f t="shared" si="169"/>
        <v>0.6498540809548975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259.99999999999983</v>
      </c>
      <c r="BZ173" s="13">
        <f>BY173*VLOOKUP('Données projet'!$B$12,Paramètres!$A$1:$I$89,3,0)*VLOOKUP('Données projet'!$B$12,Paramètres!$A$1:$I$89,5,0)</f>
        <v>227.13599999999985</v>
      </c>
      <c r="CA173" s="13">
        <f t="shared" si="170"/>
        <v>55.662966886685133</v>
      </c>
      <c r="CB173" s="20">
        <f t="shared" si="171"/>
        <v>492.5415339943097</v>
      </c>
      <c r="CC173" s="59">
        <f t="shared" si="119"/>
        <v>785.87486732764296</v>
      </c>
      <c r="CD173" s="59">
        <f ca="1">AVERAGE(OFFSET($CC$3,0,0,'Données projet'!$E$12+1,1))-AVERAGE(OFFSET($H$3,0,0,'Données projet'!$E$12+1,1))</f>
        <v>381.72225529388083</v>
      </c>
      <c r="CE173" s="59">
        <f t="shared" si="148"/>
        <v>360.05900046417361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0.30072433056867731</v>
      </c>
      <c r="CL173" s="21">
        <f>EXP(-LN(2)/25)*CL172+(1-EXP(-LN(2)/25))/(LN(2)/25)*Calculateur!CG173*Calculateur!CI173*VLOOKUP('Données projet'!$B$12,Paramètres!$A$1:$I$89,3,0)*0.475*44/12</f>
        <v>0.23256656916618171</v>
      </c>
      <c r="CM173" s="21">
        <f>EXP(-LN(2)/2)*CM172+(1-EXP(-LN(2)/2))/(LN(2)/2)*CG173*CJ173*VLOOKUP('Données projet'!$B$12,Paramètres!$A$1:$I$89,3,0)*0.475*44/12</f>
        <v>5.9271179726380003E-21</v>
      </c>
      <c r="CN173" s="22">
        <f t="shared" si="172"/>
        <v>0.53329089973485899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-1.7053025658242404E-13</v>
      </c>
      <c r="CU173" s="17">
        <f>CT173*VLOOKUP('Données projet'!$B$13,Paramètres!$A$1:$I$89,3,0)*VLOOKUP('Données projet'!$B$13,Paramètres!$A$1:$I$89,5,0)</f>
        <v>-1.3567387213697657E-13</v>
      </c>
      <c r="CV173" s="13" t="e">
        <f t="shared" si="173"/>
        <v>#NUM!</v>
      </c>
      <c r="CW173" s="20" t="e">
        <f t="shared" si="174"/>
        <v>#NUM!</v>
      </c>
      <c r="CX173" s="59" t="e">
        <f t="shared" si="122"/>
        <v>#NUM!</v>
      </c>
      <c r="CY173" s="59">
        <f ca="1">AVERAGE(OFFSET($CX$3,0,0,'Données projet'!$E$13+1,1))-AVERAGE(OFFSET($H$3,0,0,'Données projet'!$E$13+1,1))</f>
        <v>299.10536994156814</v>
      </c>
      <c r="CZ173" s="59">
        <f t="shared" si="150"/>
        <v>292.57799203101769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0.52632997870983389</v>
      </c>
      <c r="DG173" s="21">
        <f>EXP(-LN(2)/25)*DG172+(1-EXP(-LN(2)/25))/(LN(2)/25)*Calculateur!DB173*Calculateur!DD173*VLOOKUP('Données projet'!$B$13,Paramètres!$A$1:$I$89,3,0)*0.475*44/12</f>
        <v>0.22292988072934661</v>
      </c>
      <c r="DH173" s="21">
        <f>EXP(-LN(2)/2)*DH172+(1-EXP(-LN(2)/2))/(LN(2)/2)*DB173*DE173*VLOOKUP('Données projet'!$B$13,Paramètres!$A$1:$I$89,3,0)*0.475*44/12</f>
        <v>7.600128963623024E-21</v>
      </c>
      <c r="DI173" s="22">
        <f t="shared" si="175"/>
        <v>0.7492598594391805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2.2737367544323206E-13</v>
      </c>
      <c r="DP173" s="17">
        <f>DO173*VLOOKUP('Données projet'!$B$14,Paramètres!$A$1:$I$89,3,0)*VLOOKUP('Données projet'!$B$14,Paramètres!$A$1:$I$89,5,0)</f>
        <v>1.4897523215040565E-13</v>
      </c>
      <c r="DQ173" s="13">
        <f t="shared" si="176"/>
        <v>2.136562777003313E-12</v>
      </c>
      <c r="DR173" s="20">
        <f t="shared" si="177"/>
        <v>3.9806453659427267E-12</v>
      </c>
      <c r="DS173" s="59">
        <f t="shared" si="125"/>
        <v>293.33333333333729</v>
      </c>
      <c r="DT173" s="59">
        <f ca="1">AVERAGE(OFFSET($DS$3,0,0,'Données projet'!$E$14+1,1))-AVERAGE(OFFSET($H$3,0,0,'Données projet'!$E$14+1,1))</f>
        <v>295.92103934364718</v>
      </c>
      <c r="DU173" s="59">
        <f t="shared" si="152"/>
        <v>304.84379909635476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0.27877202946552565</v>
      </c>
      <c r="EB173" s="21">
        <f>EXP(-LN(2)/25)*EB172+(1-EXP(-LN(2)/25))/(LN(2)/25)*Calculateur!DW173*Calculateur!DY173*VLOOKUP('Données projet'!$B$14,Paramètres!$A$1:$I$89,3,0)*0.475*44/12</f>
        <v>0.14745812587098941</v>
      </c>
      <c r="EC173" s="21">
        <f>EXP(-LN(2)/2)*EC172+(1-EXP(-LN(2)/2))/(LN(2)/2)*DW173*DZ173*VLOOKUP('Données projet'!$B$14,Paramètres!$A$1:$I$89,3,0)*0.475*44/12</f>
        <v>4.8744327847899189E-21</v>
      </c>
      <c r="ED173" s="22">
        <f t="shared" si="178"/>
        <v>0.42623015533651509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-1.1368683772161603E-13</v>
      </c>
      <c r="O174" s="13">
        <f>N174*VLOOKUP('Données projet'!$B$9,Paramètres!$A$1:$I$89,3,0)*VLOOKUP('Données projet'!$B$9,Paramètres!$A$1:$I$89,5,0)</f>
        <v>-5.3205440053716299E-14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319.22903094674564</v>
      </c>
      <c r="T174" s="59">
        <f t="shared" si="142"/>
        <v>254.58690973142848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0.55613681458727227</v>
      </c>
      <c r="AA174" s="21">
        <f>EXP(-LN(2)/25)*AA173+(1-EXP(-LN(2)/25))/(LN(2)/25)*Calculateur!V174*Calculateur!X174*VLOOKUP('Données projet'!$B$9,Paramètres!$A$1:$I$89,3,0)*0.475*44/12</f>
        <v>0.22362333059557252</v>
      </c>
      <c r="AB174" s="21">
        <f>EXP(-LN(2)/2)*AB173+(1-EXP(-LN(2)/2))/(LN(2)/2)*V174*Y174*VLOOKUP('Données projet'!$B$9,Paramètres!$A$1:$I$89,3,0)*0.475*44/12</f>
        <v>6.6142017378191949E-21</v>
      </c>
      <c r="AC174" s="22">
        <f t="shared" si="163"/>
        <v>0.77976014518284475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-3.4106051316484809E-13</v>
      </c>
      <c r="AJ174" s="13">
        <f>AI174*VLOOKUP('Données projet'!$B$10,Paramètres!$A$1:$I$89,3,0)*VLOOKUP('Données projet'!$B$10,Paramètres!$A$1:$I$89,5,0)</f>
        <v>-1.9065282685915009E-13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544.48194192356823</v>
      </c>
      <c r="AO174" s="59">
        <f t="shared" si="144"/>
        <v>668.20427590250733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0.4498363216440025</v>
      </c>
      <c r="AV174" s="21">
        <f>EXP(-LN(2)/25)*AV173+(1-EXP(-LN(2)/25))/(LN(2)/25)*Calculateur!AQ174*Calculateur!AS174*VLOOKUP('Données projet'!$B$10,Paramètres!$A$1:$I$89,3,0)*0.475*44/12</f>
        <v>0.85452548908059944</v>
      </c>
      <c r="AW174" s="21">
        <f>EXP(-LN(2)/2)*AW173+(1-EXP(-LN(2)/2))/(LN(2)/2)*AQ174*AT174*VLOOKUP('Données projet'!$B$10,Paramètres!$A$1:$I$89,3,0)*0.475*44/12</f>
        <v>8.6355311416762348E-21</v>
      </c>
      <c r="AX174" s="21">
        <f t="shared" si="166"/>
        <v>1.304361810724602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>
        <f>BD174*VLOOKUP('Données projet'!$B$11,Paramètres!$A$1:$I$89,3,0)*VLOOKUP('Données projet'!$B$11,Paramètres!$A$1:$I$89,5,0)</f>
        <v>0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405.7176439604217</v>
      </c>
      <c r="BJ174" s="59">
        <f t="shared" si="146"/>
        <v>278.21741231699929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0.44782065052813946</v>
      </c>
      <c r="BQ174" s="21">
        <f>EXP(-LN(2)/25)*BQ173+(1-EXP(-LN(2)/25))/(LN(2)/25)*Calculateur!BL174*Calculateur!BN174*VLOOKUP('Données projet'!$B$11,Paramètres!$A$1:$I$89,3,0)*0.475*44/12</f>
        <v>0.18779661519787774</v>
      </c>
      <c r="BR174" s="21">
        <f>EXP(-LN(2)/2)*BR173+(1-EXP(-LN(2)/2))/(LN(2)/2)*BL174*BO174*VLOOKUP('Données projet'!$B$11,Paramètres!$A$1:$I$89,3,0)*0.475*44/12</f>
        <v>5.1118760241118044E-21</v>
      </c>
      <c r="BS174" s="22">
        <f t="shared" si="169"/>
        <v>0.63561726572601718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259.99999999999983</v>
      </c>
      <c r="BZ174" s="13">
        <f>BY174*VLOOKUP('Données projet'!$B$12,Paramètres!$A$1:$I$89,3,0)*VLOOKUP('Données projet'!$B$12,Paramètres!$A$1:$I$89,5,0)</f>
        <v>227.13599999999985</v>
      </c>
      <c r="CA174" s="13">
        <f t="shared" si="170"/>
        <v>55.662966886685133</v>
      </c>
      <c r="CB174" s="20">
        <f t="shared" si="171"/>
        <v>492.5415339943097</v>
      </c>
      <c r="CC174" s="59">
        <f t="shared" si="119"/>
        <v>785.87486732764296</v>
      </c>
      <c r="CD174" s="59">
        <f ca="1">AVERAGE(OFFSET($CC$3,0,0,'Données projet'!$E$12+1,1))-AVERAGE(OFFSET($H$3,0,0,'Données projet'!$E$12+1,1))</f>
        <v>381.72225529388083</v>
      </c>
      <c r="CE174" s="59">
        <f t="shared" si="148"/>
        <v>360.05900046417361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0.29482730986995559</v>
      </c>
      <c r="CL174" s="21">
        <f>EXP(-LN(2)/25)*CL173+(1-EXP(-LN(2)/25))/(LN(2)/25)*Calculateur!CG174*Calculateur!CI174*VLOOKUP('Données projet'!$B$12,Paramètres!$A$1:$I$89,3,0)*0.475*44/12</f>
        <v>0.22620702410218813</v>
      </c>
      <c r="CM174" s="21">
        <f>EXP(-LN(2)/2)*CM173+(1-EXP(-LN(2)/2))/(LN(2)/2)*CG174*CJ174*VLOOKUP('Données projet'!$B$12,Paramètres!$A$1:$I$89,3,0)*0.475*44/12</f>
        <v>4.1911053113449916E-21</v>
      </c>
      <c r="CN174" s="22">
        <f t="shared" si="172"/>
        <v>0.52103433397214372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-1.7053025658242404E-13</v>
      </c>
      <c r="CU174" s="17">
        <f>CT174*VLOOKUP('Données projet'!$B$13,Paramètres!$A$1:$I$89,3,0)*VLOOKUP('Données projet'!$B$13,Paramètres!$A$1:$I$89,5,0)</f>
        <v>-1.3567387213697657E-13</v>
      </c>
      <c r="CV174" s="13" t="e">
        <f t="shared" si="173"/>
        <v>#NUM!</v>
      </c>
      <c r="CW174" s="20" t="e">
        <f t="shared" si="174"/>
        <v>#NUM!</v>
      </c>
      <c r="CX174" s="59" t="e">
        <f t="shared" si="122"/>
        <v>#NUM!</v>
      </c>
      <c r="CY174" s="59">
        <f ca="1">AVERAGE(OFFSET($CX$3,0,0,'Données projet'!$E$13+1,1))-AVERAGE(OFFSET($H$3,0,0,'Données projet'!$E$13+1,1))</f>
        <v>299.10536994156814</v>
      </c>
      <c r="CZ174" s="59">
        <f t="shared" si="150"/>
        <v>292.57799203101769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0.51600896885692205</v>
      </c>
      <c r="DG174" s="21">
        <f>EXP(-LN(2)/25)*DG173+(1-EXP(-LN(2)/25))/(LN(2)/25)*Calculateur!DB174*Calculateur!DD174*VLOOKUP('Données projet'!$B$13,Paramètres!$A$1:$I$89,3,0)*0.475*44/12</f>
        <v>0.21683385141742972</v>
      </c>
      <c r="DH174" s="21">
        <f>EXP(-LN(2)/2)*DH173+(1-EXP(-LN(2)/2))/(LN(2)/2)*DB174*DE174*VLOOKUP('Données projet'!$B$13,Paramètres!$A$1:$I$89,3,0)*0.475*44/12</f>
        <v>5.374102728070128E-21</v>
      </c>
      <c r="DI174" s="22">
        <f t="shared" si="175"/>
        <v>0.73284282027435177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2.2737367544323206E-13</v>
      </c>
      <c r="DP174" s="17">
        <f>DO174*VLOOKUP('Données projet'!$B$14,Paramètres!$A$1:$I$89,3,0)*VLOOKUP('Données projet'!$B$14,Paramètres!$A$1:$I$89,5,0)</f>
        <v>1.4897523215040565E-13</v>
      </c>
      <c r="DQ174" s="13">
        <f t="shared" si="176"/>
        <v>2.136562777003313E-12</v>
      </c>
      <c r="DR174" s="20">
        <f t="shared" si="177"/>
        <v>3.9806453659427267E-12</v>
      </c>
      <c r="DS174" s="59">
        <f t="shared" si="125"/>
        <v>293.33333333333729</v>
      </c>
      <c r="DT174" s="59">
        <f ca="1">AVERAGE(OFFSET($DS$3,0,0,'Données projet'!$E$14+1,1))-AVERAGE(OFFSET($H$3,0,0,'Données projet'!$E$14+1,1))</f>
        <v>295.92103934364718</v>
      </c>
      <c r="DU174" s="59">
        <f t="shared" si="152"/>
        <v>304.84379909635476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0.27330548000185517</v>
      </c>
      <c r="EB174" s="21">
        <f>EXP(-LN(2)/25)*EB173+(1-EXP(-LN(2)/25))/(LN(2)/25)*Calculateur!DW174*Calculateur!DY174*VLOOKUP('Données projet'!$B$14,Paramètres!$A$1:$I$89,3,0)*0.475*44/12</f>
        <v>0.14342587566456139</v>
      </c>
      <c r="EC174" s="21">
        <f>EXP(-LN(2)/2)*EC173+(1-EXP(-LN(2)/2))/(LN(2)/2)*DW174*DZ174*VLOOKUP('Données projet'!$B$14,Paramètres!$A$1:$I$89,3,0)*0.475*44/12</f>
        <v>3.4467444765629786E-21</v>
      </c>
      <c r="ED174" s="22">
        <f t="shared" si="178"/>
        <v>0.41673135566641656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-1.1368683772161603E-13</v>
      </c>
      <c r="O175" s="13">
        <f>N175*VLOOKUP('Données projet'!$B$9,Paramètres!$A$1:$I$89,3,0)*VLOOKUP('Données projet'!$B$9,Paramètres!$A$1:$I$89,5,0)</f>
        <v>-5.3205440053716299E-14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319.22903094674564</v>
      </c>
      <c r="T175" s="59">
        <f t="shared" si="142"/>
        <v>254.58690973142848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0.54523131086317855</v>
      </c>
      <c r="AA175" s="21">
        <f>EXP(-LN(2)/25)*AA174+(1-EXP(-LN(2)/25))/(LN(2)/25)*Calculateur!V175*Calculateur!X175*VLOOKUP('Données projet'!$B$9,Paramètres!$A$1:$I$89,3,0)*0.475*44/12</f>
        <v>0.21750833886059673</v>
      </c>
      <c r="AB175" s="21">
        <f>EXP(-LN(2)/2)*AB174+(1-EXP(-LN(2)/2))/(LN(2)/2)*V175*Y175*VLOOKUP('Données projet'!$B$9,Paramètres!$A$1:$I$89,3,0)*0.475*44/12</f>
        <v>4.6769469009478003E-21</v>
      </c>
      <c r="AC175" s="22">
        <f t="shared" si="163"/>
        <v>0.76273964972377528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-3.4106051316484809E-13</v>
      </c>
      <c r="AJ175" s="13">
        <f>AI175*VLOOKUP('Données projet'!$B$10,Paramètres!$A$1:$I$89,3,0)*VLOOKUP('Données projet'!$B$10,Paramètres!$A$1:$I$89,5,0)</f>
        <v>-1.9065282685915009E-13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544.48194192356823</v>
      </c>
      <c r="AO175" s="59">
        <f t="shared" si="144"/>
        <v>668.20427590250733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0.44101530574962772</v>
      </c>
      <c r="AV175" s="21">
        <f>EXP(-LN(2)/25)*AV174+(1-EXP(-LN(2)/25))/(LN(2)/25)*Calculateur!AQ175*Calculateur!AS175*VLOOKUP('Données projet'!$B$10,Paramètres!$A$1:$I$89,3,0)*0.475*44/12</f>
        <v>0.83115844464414801</v>
      </c>
      <c r="AW175" s="21">
        <f>EXP(-LN(2)/2)*AW174+(1-EXP(-LN(2)/2))/(LN(2)/2)*AQ175*AT175*VLOOKUP('Données projet'!$B$10,Paramètres!$A$1:$I$89,3,0)*0.475*44/12</f>
        <v>6.1062426294268744E-21</v>
      </c>
      <c r="AX175" s="21">
        <f t="shared" si="166"/>
        <v>1.2721737503937758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>
        <f>BD175*VLOOKUP('Données projet'!$B$11,Paramètres!$A$1:$I$89,3,0)*VLOOKUP('Données projet'!$B$11,Paramètres!$A$1:$I$89,5,0)</f>
        <v>0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405.7176439604217</v>
      </c>
      <c r="BJ175" s="59">
        <f t="shared" si="146"/>
        <v>278.21741231699929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0.43903916071490878</v>
      </c>
      <c r="BQ175" s="21">
        <f>EXP(-LN(2)/25)*BQ174+(1-EXP(-LN(2)/25))/(LN(2)/25)*Calculateur!BL175*Calculateur!BN175*VLOOKUP('Données projet'!$B$11,Paramètres!$A$1:$I$89,3,0)*0.475*44/12</f>
        <v>0.182661306879497</v>
      </c>
      <c r="BR175" s="21">
        <f>EXP(-LN(2)/2)*BR174+(1-EXP(-LN(2)/2))/(LN(2)/2)*BL175*BO175*VLOOKUP('Données projet'!$B$11,Paramètres!$A$1:$I$89,3,0)*0.475*44/12</f>
        <v>3.6146422012343841E-21</v>
      </c>
      <c r="BS175" s="22">
        <f t="shared" si="169"/>
        <v>0.62170046759440578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259.99999999999983</v>
      </c>
      <c r="BZ175" s="13">
        <f>BY175*VLOOKUP('Données projet'!$B$12,Paramètres!$A$1:$I$89,3,0)*VLOOKUP('Données projet'!$B$12,Paramètres!$A$1:$I$89,5,0)</f>
        <v>227.13599999999985</v>
      </c>
      <c r="CA175" s="13">
        <f t="shared" si="170"/>
        <v>55.662966886685133</v>
      </c>
      <c r="CB175" s="20">
        <f t="shared" si="171"/>
        <v>492.5415339943097</v>
      </c>
      <c r="CC175" s="59">
        <f t="shared" si="119"/>
        <v>785.87486732764296</v>
      </c>
      <c r="CD175" s="59">
        <f ca="1">AVERAGE(OFFSET($CC$3,0,0,'Données projet'!$E$12+1,1))-AVERAGE(OFFSET($H$3,0,0,'Données projet'!$E$12+1,1))</f>
        <v>381.72225529388083</v>
      </c>
      <c r="CE175" s="59">
        <f t="shared" si="148"/>
        <v>360.05900046417361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0.28904592615030833</v>
      </c>
      <c r="CL175" s="21">
        <f>EXP(-LN(2)/25)*CL174+(1-EXP(-LN(2)/25))/(LN(2)/25)*Calculateur!CG175*Calculateur!CI175*VLOOKUP('Données projet'!$B$12,Paramètres!$A$1:$I$89,3,0)*0.475*44/12</f>
        <v>0.22002138113240341</v>
      </c>
      <c r="CM175" s="21">
        <f>EXP(-LN(2)/2)*CM174+(1-EXP(-LN(2)/2))/(LN(2)/2)*CG175*CJ175*VLOOKUP('Données projet'!$B$12,Paramètres!$A$1:$I$89,3,0)*0.475*44/12</f>
        <v>2.9635589863190002E-21</v>
      </c>
      <c r="CN175" s="22">
        <f t="shared" si="172"/>
        <v>0.50906730728271177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-1.7053025658242404E-13</v>
      </c>
      <c r="CU175" s="17">
        <f>CT175*VLOOKUP('Données projet'!$B$13,Paramètres!$A$1:$I$89,3,0)*VLOOKUP('Données projet'!$B$13,Paramètres!$A$1:$I$89,5,0)</f>
        <v>-1.3567387213697657E-13</v>
      </c>
      <c r="CV175" s="13" t="e">
        <f t="shared" si="173"/>
        <v>#NUM!</v>
      </c>
      <c r="CW175" s="20" t="e">
        <f t="shared" si="174"/>
        <v>#NUM!</v>
      </c>
      <c r="CX175" s="59" t="e">
        <f t="shared" si="122"/>
        <v>#NUM!</v>
      </c>
      <c r="CY175" s="59">
        <f ca="1">AVERAGE(OFFSET($CX$3,0,0,'Données projet'!$E$13+1,1))-AVERAGE(OFFSET($H$3,0,0,'Données projet'!$E$13+1,1))</f>
        <v>299.10536994156814</v>
      </c>
      <c r="CZ175" s="59">
        <f t="shared" si="150"/>
        <v>292.57799203101769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0.50589034771203134</v>
      </c>
      <c r="DG175" s="21">
        <f>EXP(-LN(2)/25)*DG174+(1-EXP(-LN(2)/25))/(LN(2)/25)*Calculateur!DB175*Calculateur!DD175*VLOOKUP('Données projet'!$B$13,Paramètres!$A$1:$I$89,3,0)*0.475*44/12</f>
        <v>0.21090451834762344</v>
      </c>
      <c r="DH175" s="21">
        <f>EXP(-LN(2)/2)*DH174+(1-EXP(-LN(2)/2))/(LN(2)/2)*DB175*DE175*VLOOKUP('Données projet'!$B$13,Paramètres!$A$1:$I$89,3,0)*0.475*44/12</f>
        <v>3.800064481811512E-21</v>
      </c>
      <c r="DI175" s="22">
        <f t="shared" si="175"/>
        <v>0.71679486605965481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2.2737367544323206E-13</v>
      </c>
      <c r="DP175" s="17">
        <f>DO175*VLOOKUP('Données projet'!$B$14,Paramètres!$A$1:$I$89,3,0)*VLOOKUP('Données projet'!$B$14,Paramètres!$A$1:$I$89,5,0)</f>
        <v>1.4897523215040565E-13</v>
      </c>
      <c r="DQ175" s="13">
        <f t="shared" si="176"/>
        <v>2.136562777003313E-12</v>
      </c>
      <c r="DR175" s="20">
        <f t="shared" si="177"/>
        <v>3.9806453659427267E-12</v>
      </c>
      <c r="DS175" s="59">
        <f t="shared" si="125"/>
        <v>293.33333333333729</v>
      </c>
      <c r="DT175" s="59">
        <f ca="1">AVERAGE(OFFSET($DS$3,0,0,'Données projet'!$E$14+1,1))-AVERAGE(OFFSET($H$3,0,0,'Données projet'!$E$14+1,1))</f>
        <v>295.92103934364718</v>
      </c>
      <c r="DU175" s="59">
        <f t="shared" si="152"/>
        <v>304.84379909635476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0.26794612623890135</v>
      </c>
      <c r="EB175" s="21">
        <f>EXP(-LN(2)/25)*EB174+(1-EXP(-LN(2)/25))/(LN(2)/25)*Calculateur!DW175*Calculateur!DY175*VLOOKUP('Données projet'!$B$14,Paramètres!$A$1:$I$89,3,0)*0.475*44/12</f>
        <v>0.13950388755207496</v>
      </c>
      <c r="EC175" s="21">
        <f>EXP(-LN(2)/2)*EC174+(1-EXP(-LN(2)/2))/(LN(2)/2)*DW175*DZ175*VLOOKUP('Données projet'!$B$14,Paramètres!$A$1:$I$89,3,0)*0.475*44/12</f>
        <v>2.4372163923949594E-21</v>
      </c>
      <c r="ED175" s="22">
        <f t="shared" si="178"/>
        <v>0.40745001379097634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-1.1368683772161603E-13</v>
      </c>
      <c r="O176" s="13">
        <f>N176*VLOOKUP('Données projet'!$B$9,Paramètres!$A$1:$I$89,3,0)*VLOOKUP('Données projet'!$B$9,Paramètres!$A$1:$I$89,5,0)</f>
        <v>-5.3205440053716299E-14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319.22903094674564</v>
      </c>
      <c r="T176" s="59">
        <f t="shared" si="142"/>
        <v>254.58690973142848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0.53453965741541387</v>
      </c>
      <c r="AA176" s="21">
        <f>EXP(-LN(2)/25)*AA175+(1-EXP(-LN(2)/25))/(LN(2)/25)*Calculateur!V176*Calculateur!X176*VLOOKUP('Données projet'!$B$9,Paramètres!$A$1:$I$89,3,0)*0.475*44/12</f>
        <v>0.2115605618961873</v>
      </c>
      <c r="AB176" s="21">
        <f>EXP(-LN(2)/2)*AB175+(1-EXP(-LN(2)/2))/(LN(2)/2)*V176*Y176*VLOOKUP('Données projet'!$B$9,Paramètres!$A$1:$I$89,3,0)*0.475*44/12</f>
        <v>3.3071008689095978E-21</v>
      </c>
      <c r="AC176" s="22">
        <f t="shared" si="163"/>
        <v>0.7461002193116012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-3.4106051316484809E-13</v>
      </c>
      <c r="AJ176" s="13">
        <f>AI176*VLOOKUP('Données projet'!$B$10,Paramètres!$A$1:$I$89,3,0)*VLOOKUP('Données projet'!$B$10,Paramètres!$A$1:$I$89,5,0)</f>
        <v>-1.9065282685915009E-13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544.48194192356823</v>
      </c>
      <c r="AO176" s="59">
        <f t="shared" si="144"/>
        <v>668.20427590250733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0.4323672645966532</v>
      </c>
      <c r="AV176" s="21">
        <f>EXP(-LN(2)/25)*AV175+(1-EXP(-LN(2)/25))/(LN(2)/25)*Calculateur!AQ176*Calculateur!AS176*VLOOKUP('Données projet'!$B$10,Paramètres!$A$1:$I$89,3,0)*0.475*44/12</f>
        <v>0.80843037326663081</v>
      </c>
      <c r="AW176" s="21">
        <f>EXP(-LN(2)/2)*AW175+(1-EXP(-LN(2)/2))/(LN(2)/2)*AQ176*AT176*VLOOKUP('Données projet'!$B$10,Paramètres!$A$1:$I$89,3,0)*0.475*44/12</f>
        <v>4.3177655708381174E-21</v>
      </c>
      <c r="AX176" s="21">
        <f t="shared" si="166"/>
        <v>1.2407976378632841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>
        <f>BD176*VLOOKUP('Données projet'!$B$11,Paramètres!$A$1:$I$89,3,0)*VLOOKUP('Données projet'!$B$11,Paramètres!$A$1:$I$89,5,0)</f>
        <v>0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405.7176439604217</v>
      </c>
      <c r="BJ176" s="59">
        <f t="shared" si="146"/>
        <v>278.21741231699929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0.43042987056073562</v>
      </c>
      <c r="BQ176" s="21">
        <f>EXP(-LN(2)/25)*BQ175+(1-EXP(-LN(2)/25))/(LN(2)/25)*Calculateur!BL176*Calculateur!BN176*VLOOKUP('Données projet'!$B$11,Paramètres!$A$1:$I$89,3,0)*0.475*44/12</f>
        <v>0.17766642383713649</v>
      </c>
      <c r="BR176" s="21">
        <f>EXP(-LN(2)/2)*BR175+(1-EXP(-LN(2)/2))/(LN(2)/2)*BL176*BO176*VLOOKUP('Données projet'!$B$11,Paramètres!$A$1:$I$89,3,0)*0.475*44/12</f>
        <v>2.5559380120559022E-21</v>
      </c>
      <c r="BS176" s="22">
        <f t="shared" si="169"/>
        <v>0.60809629439787205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259.99999999999983</v>
      </c>
      <c r="BZ176" s="13">
        <f>BY176*VLOOKUP('Données projet'!$B$12,Paramètres!$A$1:$I$89,3,0)*VLOOKUP('Données projet'!$B$12,Paramètres!$A$1:$I$89,5,0)</f>
        <v>227.13599999999985</v>
      </c>
      <c r="CA176" s="13">
        <f t="shared" si="170"/>
        <v>55.662966886685133</v>
      </c>
      <c r="CB176" s="20">
        <f t="shared" si="171"/>
        <v>492.5415339943097</v>
      </c>
      <c r="CC176" s="59">
        <f t="shared" si="119"/>
        <v>785.87486732764296</v>
      </c>
      <c r="CD176" s="59">
        <f ca="1">AVERAGE(OFFSET($CC$3,0,0,'Données projet'!$E$12+1,1))-AVERAGE(OFFSET($H$3,0,0,'Données projet'!$E$12+1,1))</f>
        <v>381.72225529388083</v>
      </c>
      <c r="CE176" s="59">
        <f t="shared" si="148"/>
        <v>360.05900046417361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0.28337791183910749</v>
      </c>
      <c r="CL176" s="21">
        <f>EXP(-LN(2)/25)*CL175+(1-EXP(-LN(2)/25))/(LN(2)/25)*Calculateur!CG176*Calculateur!CI176*VLOOKUP('Données projet'!$B$12,Paramètres!$A$1:$I$89,3,0)*0.475*44/12</f>
        <v>0.21400488489491626</v>
      </c>
      <c r="CM176" s="21">
        <f>EXP(-LN(2)/2)*CM175+(1-EXP(-LN(2)/2))/(LN(2)/2)*CG176*CJ176*VLOOKUP('Données projet'!$B$12,Paramètres!$A$1:$I$89,3,0)*0.475*44/12</f>
        <v>2.0955526556724958E-21</v>
      </c>
      <c r="CN176" s="22">
        <f t="shared" si="172"/>
        <v>0.49738279673402375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-1.7053025658242404E-13</v>
      </c>
      <c r="CU176" s="17">
        <f>CT176*VLOOKUP('Données projet'!$B$13,Paramètres!$A$1:$I$89,3,0)*VLOOKUP('Données projet'!$B$13,Paramètres!$A$1:$I$89,5,0)</f>
        <v>-1.3567387213697657E-13</v>
      </c>
      <c r="CV176" s="13" t="e">
        <f t="shared" si="173"/>
        <v>#NUM!</v>
      </c>
      <c r="CW176" s="20" t="e">
        <f t="shared" si="174"/>
        <v>#NUM!</v>
      </c>
      <c r="CX176" s="59" t="e">
        <f t="shared" si="122"/>
        <v>#NUM!</v>
      </c>
      <c r="CY176" s="59">
        <f ca="1">AVERAGE(OFFSET($CX$3,0,0,'Données projet'!$E$13+1,1))-AVERAGE(OFFSET($H$3,0,0,'Données projet'!$E$13+1,1))</f>
        <v>299.10536994156814</v>
      </c>
      <c r="CZ176" s="59">
        <f t="shared" si="150"/>
        <v>292.57799203101769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0.49597014655604249</v>
      </c>
      <c r="DG176" s="21">
        <f>EXP(-LN(2)/25)*DG175+(1-EXP(-LN(2)/25))/(LN(2)/25)*Calculateur!DB176*Calculateur!DD176*VLOOKUP('Données projet'!$B$13,Paramètres!$A$1:$I$89,3,0)*0.475*44/12</f>
        <v>0.20513732320242109</v>
      </c>
      <c r="DH176" s="21">
        <f>EXP(-LN(2)/2)*DH175+(1-EXP(-LN(2)/2))/(LN(2)/2)*DB176*DE176*VLOOKUP('Données projet'!$B$13,Paramètres!$A$1:$I$89,3,0)*0.475*44/12</f>
        <v>2.687051364035064E-21</v>
      </c>
      <c r="DI176" s="22">
        <f t="shared" si="175"/>
        <v>0.70110746975846361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2.2737367544323206E-13</v>
      </c>
      <c r="DP176" s="17">
        <f>DO176*VLOOKUP('Données projet'!$B$14,Paramètres!$A$1:$I$89,3,0)*VLOOKUP('Données projet'!$B$14,Paramètres!$A$1:$I$89,5,0)</f>
        <v>1.4897523215040565E-13</v>
      </c>
      <c r="DQ176" s="13">
        <f t="shared" si="176"/>
        <v>2.136562777003313E-12</v>
      </c>
      <c r="DR176" s="20">
        <f t="shared" si="177"/>
        <v>3.9806453659427267E-12</v>
      </c>
      <c r="DS176" s="59">
        <f t="shared" si="125"/>
        <v>293.33333333333729</v>
      </c>
      <c r="DT176" s="59">
        <f ca="1">AVERAGE(OFFSET($DS$3,0,0,'Données projet'!$E$14+1,1))-AVERAGE(OFFSET($H$3,0,0,'Données projet'!$E$14+1,1))</f>
        <v>295.92103934364718</v>
      </c>
      <c r="DU176" s="59">
        <f t="shared" si="152"/>
        <v>304.84379909635476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0.26269186613435602</v>
      </c>
      <c r="EB176" s="21">
        <f>EXP(-LN(2)/25)*EB175+(1-EXP(-LN(2)/25))/(LN(2)/25)*Calculateur!DW176*Calculateur!DY176*VLOOKUP('Données projet'!$B$14,Paramètres!$A$1:$I$89,3,0)*0.475*44/12</f>
        <v>0.13568914641077287</v>
      </c>
      <c r="EC176" s="21">
        <f>EXP(-LN(2)/2)*EC175+(1-EXP(-LN(2)/2))/(LN(2)/2)*DW176*DZ176*VLOOKUP('Données projet'!$B$14,Paramètres!$A$1:$I$89,3,0)*0.475*44/12</f>
        <v>1.7233722382814893E-21</v>
      </c>
      <c r="ED176" s="22">
        <f t="shared" si="178"/>
        <v>0.39838101254512892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-1.1368683772161603E-13</v>
      </c>
      <c r="O177" s="13">
        <f>N177*VLOOKUP('Données projet'!$B$9,Paramètres!$A$1:$I$89,3,0)*VLOOKUP('Données projet'!$B$9,Paramètres!$A$1:$I$89,5,0)</f>
        <v>-5.3205440053716299E-14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319.22903094674564</v>
      </c>
      <c r="T177" s="59">
        <f t="shared" si="142"/>
        <v>254.58690973142848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0.5240576607704952</v>
      </c>
      <c r="AA177" s="21">
        <f>EXP(-LN(2)/25)*AA176+(1-EXP(-LN(2)/25))/(LN(2)/25)*Calculateur!V177*Calculateur!X177*VLOOKUP('Données projet'!$B$9,Paramètres!$A$1:$I$89,3,0)*0.475*44/12</f>
        <v>0.20577542720564965</v>
      </c>
      <c r="AB177" s="21">
        <f>EXP(-LN(2)/2)*AB176+(1-EXP(-LN(2)/2))/(LN(2)/2)*V177*Y177*VLOOKUP('Données projet'!$B$9,Paramètres!$A$1:$I$89,3,0)*0.475*44/12</f>
        <v>2.3384734504739005E-21</v>
      </c>
      <c r="AC177" s="22">
        <f t="shared" si="163"/>
        <v>0.72983308797614488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-3.4106051316484809E-13</v>
      </c>
      <c r="AJ177" s="13">
        <f>AI177*VLOOKUP('Données projet'!$B$10,Paramètres!$A$1:$I$89,3,0)*VLOOKUP('Données projet'!$B$10,Paramètres!$A$1:$I$89,5,0)</f>
        <v>-1.9065282685915009E-13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544.48194192356823</v>
      </c>
      <c r="AO177" s="59">
        <f t="shared" si="144"/>
        <v>668.20427590250733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0.42388880625590425</v>
      </c>
      <c r="AV177" s="21">
        <f>EXP(-LN(2)/25)*AV176+(1-EXP(-LN(2)/25))/(LN(2)/25)*Calculateur!AQ177*Calculateur!AS177*VLOOKUP('Données projet'!$B$10,Paramètres!$A$1:$I$89,3,0)*0.475*44/12</f>
        <v>0.78632380219614917</v>
      </c>
      <c r="AW177" s="21">
        <f>EXP(-LN(2)/2)*AW176+(1-EXP(-LN(2)/2))/(LN(2)/2)*AQ177*AT177*VLOOKUP('Données projet'!$B$10,Paramètres!$A$1:$I$89,3,0)*0.475*44/12</f>
        <v>3.0531213147134372E-21</v>
      </c>
      <c r="AX177" s="21">
        <f t="shared" si="166"/>
        <v>1.2102126084520535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>
        <f>BD177*VLOOKUP('Données projet'!$B$11,Paramètres!$A$1:$I$89,3,0)*VLOOKUP('Données projet'!$B$11,Paramètres!$A$1:$I$89,5,0)</f>
        <v>0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405.7176439604217</v>
      </c>
      <c r="BJ177" s="59">
        <f t="shared" si="146"/>
        <v>278.21741231699929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0.42198940333533735</v>
      </c>
      <c r="BQ177" s="21">
        <f>EXP(-LN(2)/25)*BQ176+(1-EXP(-LN(2)/25))/(LN(2)/25)*Calculateur!BL177*Calculateur!BN177*VLOOKUP('Données projet'!$B$11,Paramètres!$A$1:$I$89,3,0)*0.475*44/12</f>
        <v>0.17280812613423882</v>
      </c>
      <c r="BR177" s="21">
        <f>EXP(-LN(2)/2)*BR176+(1-EXP(-LN(2)/2))/(LN(2)/2)*BL177*BO177*VLOOKUP('Données projet'!$B$11,Paramètres!$A$1:$I$89,3,0)*0.475*44/12</f>
        <v>1.8073211006171921E-21</v>
      </c>
      <c r="BS177" s="22">
        <f t="shared" si="169"/>
        <v>0.5947975294695762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259.99999999999983</v>
      </c>
      <c r="BZ177" s="13">
        <f>BY177*VLOOKUP('Données projet'!$B$12,Paramètres!$A$1:$I$89,3,0)*VLOOKUP('Données projet'!$B$12,Paramètres!$A$1:$I$89,5,0)</f>
        <v>227.13599999999985</v>
      </c>
      <c r="CA177" s="13">
        <f t="shared" si="170"/>
        <v>55.662966886685133</v>
      </c>
      <c r="CB177" s="20">
        <f t="shared" si="171"/>
        <v>492.5415339943097</v>
      </c>
      <c r="CC177" s="59">
        <f t="shared" si="119"/>
        <v>785.87486732764296</v>
      </c>
      <c r="CD177" s="59">
        <f ca="1">AVERAGE(OFFSET($CC$3,0,0,'Données projet'!$E$12+1,1))-AVERAGE(OFFSET($H$3,0,0,'Données projet'!$E$12+1,1))</f>
        <v>381.72225529388083</v>
      </c>
      <c r="CE177" s="59">
        <f t="shared" si="148"/>
        <v>360.05900046417361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0.27782104383140194</v>
      </c>
      <c r="CL177" s="21">
        <f>EXP(-LN(2)/25)*CL176+(1-EXP(-LN(2)/25))/(LN(2)/25)*Calculateur!CG177*Calculateur!CI177*VLOOKUP('Données projet'!$B$12,Paramètres!$A$1:$I$89,3,0)*0.475*44/12</f>
        <v>0.208152910063437</v>
      </c>
      <c r="CM177" s="21">
        <f>EXP(-LN(2)/2)*CM176+(1-EXP(-LN(2)/2))/(LN(2)/2)*CG177*CJ177*VLOOKUP('Données projet'!$B$12,Paramètres!$A$1:$I$89,3,0)*0.475*44/12</f>
        <v>1.4817794931595001E-21</v>
      </c>
      <c r="CN177" s="22">
        <f t="shared" si="172"/>
        <v>0.48597395389483894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-1.7053025658242404E-13</v>
      </c>
      <c r="CU177" s="17">
        <f>CT177*VLOOKUP('Données projet'!$B$13,Paramètres!$A$1:$I$89,3,0)*VLOOKUP('Données projet'!$B$13,Paramètres!$A$1:$I$89,5,0)</f>
        <v>-1.3567387213697657E-13</v>
      </c>
      <c r="CV177" s="13" t="e">
        <f t="shared" si="173"/>
        <v>#NUM!</v>
      </c>
      <c r="CW177" s="20" t="e">
        <f t="shared" si="174"/>
        <v>#NUM!</v>
      </c>
      <c r="CX177" s="59" t="e">
        <f t="shared" si="122"/>
        <v>#NUM!</v>
      </c>
      <c r="CY177" s="59">
        <f ca="1">AVERAGE(OFFSET($CX$3,0,0,'Données projet'!$E$13+1,1))-AVERAGE(OFFSET($H$3,0,0,'Données projet'!$E$13+1,1))</f>
        <v>299.10536994156814</v>
      </c>
      <c r="CZ177" s="59">
        <f t="shared" si="150"/>
        <v>292.57799203101769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0.48624447449399733</v>
      </c>
      <c r="DG177" s="21">
        <f>EXP(-LN(2)/25)*DG176+(1-EXP(-LN(2)/25))/(LN(2)/25)*Calculateur!DB177*Calculateur!DD177*VLOOKUP('Données projet'!$B$13,Paramètres!$A$1:$I$89,3,0)*0.475*44/12</f>
        <v>0.19952783231174789</v>
      </c>
      <c r="DH177" s="21">
        <f>EXP(-LN(2)/2)*DH176+(1-EXP(-LN(2)/2))/(LN(2)/2)*DB177*DE177*VLOOKUP('Données projet'!$B$13,Paramètres!$A$1:$I$89,3,0)*0.475*44/12</f>
        <v>1.900032240905756E-21</v>
      </c>
      <c r="DI177" s="22">
        <f t="shared" si="175"/>
        <v>0.68577230680574519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2.2737367544323206E-13</v>
      </c>
      <c r="DP177" s="17">
        <f>DO177*VLOOKUP('Données projet'!$B$14,Paramètres!$A$1:$I$89,3,0)*VLOOKUP('Données projet'!$B$14,Paramètres!$A$1:$I$89,5,0)</f>
        <v>1.4897523215040565E-13</v>
      </c>
      <c r="DQ177" s="13">
        <f t="shared" si="176"/>
        <v>2.136562777003313E-12</v>
      </c>
      <c r="DR177" s="20">
        <f t="shared" si="177"/>
        <v>3.9806453659427267E-12</v>
      </c>
      <c r="DS177" s="59">
        <f t="shared" si="125"/>
        <v>293.33333333333729</v>
      </c>
      <c r="DT177" s="59">
        <f ca="1">AVERAGE(OFFSET($DS$3,0,0,'Données projet'!$E$14+1,1))-AVERAGE(OFFSET($H$3,0,0,'Données projet'!$E$14+1,1))</f>
        <v>295.92103934364718</v>
      </c>
      <c r="DU177" s="59">
        <f t="shared" si="152"/>
        <v>304.84379909635476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0.25754063886567863</v>
      </c>
      <c r="EB177" s="21">
        <f>EXP(-LN(2)/25)*EB176+(1-EXP(-LN(2)/25))/(LN(2)/25)*Calculateur!DW177*Calculateur!DY177*VLOOKUP('Données projet'!$B$14,Paramètres!$A$1:$I$89,3,0)*0.475*44/12</f>
        <v>0.13197871956658819</v>
      </c>
      <c r="EC177" s="21">
        <f>EXP(-LN(2)/2)*EC176+(1-EXP(-LN(2)/2))/(LN(2)/2)*DW177*DZ177*VLOOKUP('Données projet'!$B$14,Paramètres!$A$1:$I$89,3,0)*0.475*44/12</f>
        <v>1.2186081961974797E-21</v>
      </c>
      <c r="ED177" s="22">
        <f t="shared" si="178"/>
        <v>0.38951935843226682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-1.1368683772161603E-13</v>
      </c>
      <c r="O178" s="13">
        <f>N178*VLOOKUP('Données projet'!$B$9,Paramètres!$A$1:$I$89,3,0)*VLOOKUP('Données projet'!$B$9,Paramètres!$A$1:$I$89,5,0)</f>
        <v>-5.3205440053716299E-14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319.22903094674564</v>
      </c>
      <c r="T178" s="59">
        <f t="shared" si="142"/>
        <v>254.58690973142848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0.51378120968639662</v>
      </c>
      <c r="AA178" s="21">
        <f>EXP(-LN(2)/25)*AA177+(1-EXP(-LN(2)/25))/(LN(2)/25)*Calculateur!V178*Calculateur!X178*VLOOKUP('Données projet'!$B$9,Paramètres!$A$1:$I$89,3,0)*0.475*44/12</f>
        <v>0.20014848732745175</v>
      </c>
      <c r="AB178" s="21">
        <f>EXP(-LN(2)/2)*AB177+(1-EXP(-LN(2)/2))/(LN(2)/2)*V178*Y178*VLOOKUP('Données projet'!$B$9,Paramètres!$A$1:$I$89,3,0)*0.475*44/12</f>
        <v>1.6535504344547993E-21</v>
      </c>
      <c r="AC178" s="22">
        <f t="shared" si="163"/>
        <v>0.71392969701384834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-3.4106051316484809E-13</v>
      </c>
      <c r="AJ178" s="13">
        <f>AI178*VLOOKUP('Données projet'!$B$10,Paramètres!$A$1:$I$89,3,0)*VLOOKUP('Données projet'!$B$10,Paramètres!$A$1:$I$89,5,0)</f>
        <v>-1.9065282685915009E-13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544.48194192356823</v>
      </c>
      <c r="AO178" s="59">
        <f t="shared" si="144"/>
        <v>668.20427590250733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0.41557660531186841</v>
      </c>
      <c r="AV178" s="21">
        <f>EXP(-LN(2)/25)*AV177+(1-EXP(-LN(2)/25))/(LN(2)/25)*Calculateur!AQ178*Calculateur!AS178*VLOOKUP('Données projet'!$B$10,Paramètres!$A$1:$I$89,3,0)*0.475*44/12</f>
        <v>0.76482173647412388</v>
      </c>
      <c r="AW178" s="21">
        <f>EXP(-LN(2)/2)*AW177+(1-EXP(-LN(2)/2))/(LN(2)/2)*AQ178*AT178*VLOOKUP('Données projet'!$B$10,Paramètres!$A$1:$I$89,3,0)*0.475*44/12</f>
        <v>2.1588827854190587E-21</v>
      </c>
      <c r="AX178" s="21">
        <f t="shared" si="166"/>
        <v>1.1803983417859922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>
        <f>BD178*VLOOKUP('Données projet'!$B$11,Paramètres!$A$1:$I$89,3,0)*VLOOKUP('Données projet'!$B$11,Paramètres!$A$1:$I$89,5,0)</f>
        <v>0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405.7176439604217</v>
      </c>
      <c r="BJ178" s="59">
        <f t="shared" si="146"/>
        <v>278.21741231699929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0.41371444852405248</v>
      </c>
      <c r="BQ178" s="21">
        <f>EXP(-LN(2)/25)*BQ177+(1-EXP(-LN(2)/25))/(LN(2)/25)*Calculateur!BL178*Calculateur!BN178*VLOOKUP('Données projet'!$B$11,Paramètres!$A$1:$I$89,3,0)*0.475*44/12</f>
        <v>0.16808267883751365</v>
      </c>
      <c r="BR178" s="21">
        <f>EXP(-LN(2)/2)*BR177+(1-EXP(-LN(2)/2))/(LN(2)/2)*BL178*BO178*VLOOKUP('Données projet'!$B$11,Paramètres!$A$1:$I$89,3,0)*0.475*44/12</f>
        <v>1.2779690060279511E-21</v>
      </c>
      <c r="BS178" s="22">
        <f t="shared" si="169"/>
        <v>0.58179712736156608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259.99999999999983</v>
      </c>
      <c r="BZ178" s="13">
        <f>BY178*VLOOKUP('Données projet'!$B$12,Paramètres!$A$1:$I$89,3,0)*VLOOKUP('Données projet'!$B$12,Paramètres!$A$1:$I$89,5,0)</f>
        <v>227.13599999999985</v>
      </c>
      <c r="CA178" s="13">
        <f t="shared" si="170"/>
        <v>55.662966886685133</v>
      </c>
      <c r="CB178" s="20">
        <f t="shared" si="171"/>
        <v>492.5415339943097</v>
      </c>
      <c r="CC178" s="59">
        <f t="shared" si="119"/>
        <v>785.87486732764296</v>
      </c>
      <c r="CD178" s="59">
        <f ca="1">AVERAGE(OFFSET($CC$3,0,0,'Données projet'!$E$12+1,1))-AVERAGE(OFFSET($H$3,0,0,'Données projet'!$E$12+1,1))</f>
        <v>381.72225529388083</v>
      </c>
      <c r="CE178" s="59">
        <f t="shared" si="148"/>
        <v>360.05900046417361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0.27237314261597267</v>
      </c>
      <c r="CL178" s="21">
        <f>EXP(-LN(2)/25)*CL177+(1-EXP(-LN(2)/25))/(LN(2)/25)*Calculateur!CG178*Calculateur!CI178*VLOOKUP('Données projet'!$B$12,Paramètres!$A$1:$I$89,3,0)*0.475*44/12</f>
        <v>0.20246095779146653</v>
      </c>
      <c r="CM178" s="21">
        <f>EXP(-LN(2)/2)*CM177+(1-EXP(-LN(2)/2))/(LN(2)/2)*CG178*CJ178*VLOOKUP('Données projet'!$B$12,Paramètres!$A$1:$I$89,3,0)*0.475*44/12</f>
        <v>1.0477763278362479E-21</v>
      </c>
      <c r="CN178" s="22">
        <f t="shared" si="172"/>
        <v>0.47483410040743923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-1.7053025658242404E-13</v>
      </c>
      <c r="CU178" s="17">
        <f>CT178*VLOOKUP('Données projet'!$B$13,Paramètres!$A$1:$I$89,3,0)*VLOOKUP('Données projet'!$B$13,Paramètres!$A$1:$I$89,5,0)</f>
        <v>-1.3567387213697657E-13</v>
      </c>
      <c r="CV178" s="13" t="e">
        <f t="shared" si="173"/>
        <v>#NUM!</v>
      </c>
      <c r="CW178" s="20" t="e">
        <f t="shared" si="174"/>
        <v>#NUM!</v>
      </c>
      <c r="CX178" s="59" t="e">
        <f t="shared" si="122"/>
        <v>#NUM!</v>
      </c>
      <c r="CY178" s="59">
        <f ca="1">AVERAGE(OFFSET($CX$3,0,0,'Données projet'!$E$13+1,1))-AVERAGE(OFFSET($H$3,0,0,'Données projet'!$E$13+1,1))</f>
        <v>299.10536994156814</v>
      </c>
      <c r="CZ178" s="59">
        <f t="shared" si="150"/>
        <v>292.57799203101769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0.47670951692901464</v>
      </c>
      <c r="DG178" s="21">
        <f>EXP(-LN(2)/25)*DG177+(1-EXP(-LN(2)/25))/(LN(2)/25)*Calculateur!DB178*Calculateur!DD178*VLOOKUP('Données projet'!$B$13,Paramètres!$A$1:$I$89,3,0)*0.475*44/12</f>
        <v>0.19407173324447047</v>
      </c>
      <c r="DH178" s="21">
        <f>EXP(-LN(2)/2)*DH177+(1-EXP(-LN(2)/2))/(LN(2)/2)*DB178*DE178*VLOOKUP('Données projet'!$B$13,Paramètres!$A$1:$I$89,3,0)*0.475*44/12</f>
        <v>1.343525682017532E-21</v>
      </c>
      <c r="DI178" s="22">
        <f t="shared" si="175"/>
        <v>0.67078125017348511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2.2737367544323206E-13</v>
      </c>
      <c r="DP178" s="17">
        <f>DO178*VLOOKUP('Données projet'!$B$14,Paramètres!$A$1:$I$89,3,0)*VLOOKUP('Données projet'!$B$14,Paramètres!$A$1:$I$89,5,0)</f>
        <v>1.4897523215040565E-13</v>
      </c>
      <c r="DQ178" s="13">
        <f t="shared" si="176"/>
        <v>2.136562777003313E-12</v>
      </c>
      <c r="DR178" s="20">
        <f t="shared" si="177"/>
        <v>3.9806453659427267E-12</v>
      </c>
      <c r="DS178" s="59">
        <f t="shared" si="125"/>
        <v>293.33333333333729</v>
      </c>
      <c r="DT178" s="59">
        <f ca="1">AVERAGE(OFFSET($DS$3,0,0,'Données projet'!$E$14+1,1))-AVERAGE(OFFSET($H$3,0,0,'Données projet'!$E$14+1,1))</f>
        <v>295.92103934364718</v>
      </c>
      <c r="DU178" s="59">
        <f t="shared" si="152"/>
        <v>304.84379909635476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0.25249042402180161</v>
      </c>
      <c r="EB178" s="21">
        <f>EXP(-LN(2)/25)*EB177+(1-EXP(-LN(2)/25))/(LN(2)/25)*Calculateur!DW178*Calculateur!DY178*VLOOKUP('Données projet'!$B$14,Paramètres!$A$1:$I$89,3,0)*0.475*44/12</f>
        <v>0.12836975453958061</v>
      </c>
      <c r="EC178" s="21">
        <f>EXP(-LN(2)/2)*EC177+(1-EXP(-LN(2)/2))/(LN(2)/2)*DW178*DZ178*VLOOKUP('Données projet'!$B$14,Paramètres!$A$1:$I$89,3,0)*0.475*44/12</f>
        <v>8.6168611914074465E-22</v>
      </c>
      <c r="ED178" s="22">
        <f t="shared" si="178"/>
        <v>0.38086017856138221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-1.1368683772161603E-13</v>
      </c>
      <c r="O179" s="13">
        <f>N179*VLOOKUP('Données projet'!$B$9,Paramètres!$A$1:$I$89,3,0)*VLOOKUP('Données projet'!$B$9,Paramètres!$A$1:$I$89,5,0)</f>
        <v>-5.3205440053716299E-14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319.22903094674564</v>
      </c>
      <c r="T179" s="59">
        <f t="shared" si="142"/>
        <v>254.58690973142848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0.50370627354004105</v>
      </c>
      <c r="AA179" s="21">
        <f>EXP(-LN(2)/25)*AA178+(1-EXP(-LN(2)/25))/(LN(2)/25)*Calculateur!V179*Calculateur!X179*VLOOKUP('Données projet'!$B$9,Paramètres!$A$1:$I$89,3,0)*0.475*44/12</f>
        <v>0.19467541641613106</v>
      </c>
      <c r="AB179" s="21">
        <f>EXP(-LN(2)/2)*AB178+(1-EXP(-LN(2)/2))/(LN(2)/2)*V179*Y179*VLOOKUP('Données projet'!$B$9,Paramètres!$A$1:$I$89,3,0)*0.475*44/12</f>
        <v>1.1692367252369504E-21</v>
      </c>
      <c r="AC179" s="22">
        <f t="shared" si="163"/>
        <v>0.69838168995617211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-3.4106051316484809E-13</v>
      </c>
      <c r="AJ179" s="13">
        <f>AI179*VLOOKUP('Données projet'!$B$10,Paramètres!$A$1:$I$89,3,0)*VLOOKUP('Données projet'!$B$10,Paramètres!$A$1:$I$89,5,0)</f>
        <v>-1.9065282685915009E-13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544.48194192356823</v>
      </c>
      <c r="AO179" s="59">
        <f t="shared" si="144"/>
        <v>668.20427590250733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0.40742740155840318</v>
      </c>
      <c r="AV179" s="21">
        <f>EXP(-LN(2)/25)*AV178+(1-EXP(-LN(2)/25))/(LN(2)/25)*Calculateur!AQ179*Calculateur!AS179*VLOOKUP('Données projet'!$B$10,Paramètres!$A$1:$I$89,3,0)*0.475*44/12</f>
        <v>0.7439076458700119</v>
      </c>
      <c r="AW179" s="21">
        <f>EXP(-LN(2)/2)*AW178+(1-EXP(-LN(2)/2))/(LN(2)/2)*AQ179*AT179*VLOOKUP('Données projet'!$B$10,Paramètres!$A$1:$I$89,3,0)*0.475*44/12</f>
        <v>1.5265606573567186E-21</v>
      </c>
      <c r="AX179" s="21">
        <f t="shared" si="166"/>
        <v>1.151335047428415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>
        <f>BD179*VLOOKUP('Données projet'!$B$11,Paramètres!$A$1:$I$89,3,0)*VLOOKUP('Données projet'!$B$11,Paramètres!$A$1:$I$89,5,0)</f>
        <v>0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405.7176439604217</v>
      </c>
      <c r="BJ179" s="59">
        <f t="shared" si="146"/>
        <v>278.21741231699929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0.40560176052939284</v>
      </c>
      <c r="BQ179" s="21">
        <f>EXP(-LN(2)/25)*BQ178+(1-EXP(-LN(2)/25))/(LN(2)/25)*Calculateur!BL179*Calculateur!BN179*VLOOKUP('Données projet'!$B$11,Paramètres!$A$1:$I$89,3,0)*0.475*44/12</f>
        <v>0.16348644914561791</v>
      </c>
      <c r="BR179" s="21">
        <f>EXP(-LN(2)/2)*BR178+(1-EXP(-LN(2)/2))/(LN(2)/2)*BL179*BO179*VLOOKUP('Données projet'!$B$11,Paramètres!$A$1:$I$89,3,0)*0.475*44/12</f>
        <v>9.0366055030859604E-22</v>
      </c>
      <c r="BS179" s="22">
        <f t="shared" si="169"/>
        <v>0.56908820967501073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259.99999999999983</v>
      </c>
      <c r="BZ179" s="13">
        <f>BY179*VLOOKUP('Données projet'!$B$12,Paramètres!$A$1:$I$89,3,0)*VLOOKUP('Données projet'!$B$12,Paramètres!$A$1:$I$89,5,0)</f>
        <v>227.13599999999985</v>
      </c>
      <c r="CA179" s="13">
        <f t="shared" si="170"/>
        <v>55.662966886685133</v>
      </c>
      <c r="CB179" s="20">
        <f t="shared" si="171"/>
        <v>492.5415339943097</v>
      </c>
      <c r="CC179" s="59">
        <f t="shared" si="119"/>
        <v>785.87486732764296</v>
      </c>
      <c r="CD179" s="59">
        <f ca="1">AVERAGE(OFFSET($CC$3,0,0,'Données projet'!$E$12+1,1))-AVERAGE(OFFSET($H$3,0,0,'Données projet'!$E$12+1,1))</f>
        <v>381.72225529388083</v>
      </c>
      <c r="CE179" s="59">
        <f t="shared" si="148"/>
        <v>360.05900046417361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0.26703207142048635</v>
      </c>
      <c r="CL179" s="21">
        <f>EXP(-LN(2)/25)*CL178+(1-EXP(-LN(2)/25))/(LN(2)/25)*Calculateur!CG179*Calculateur!CI179*VLOOKUP('Données projet'!$B$12,Paramètres!$A$1:$I$89,3,0)*0.475*44/12</f>
        <v>0.19692465225369984</v>
      </c>
      <c r="CM179" s="21">
        <f>EXP(-LN(2)/2)*CM178+(1-EXP(-LN(2)/2))/(LN(2)/2)*CG179*CJ179*VLOOKUP('Données projet'!$B$12,Paramètres!$A$1:$I$89,3,0)*0.475*44/12</f>
        <v>7.4088974657975004E-22</v>
      </c>
      <c r="CN179" s="22">
        <f t="shared" si="172"/>
        <v>0.46395672367418617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-1.7053025658242404E-13</v>
      </c>
      <c r="CU179" s="17">
        <f>CT179*VLOOKUP('Données projet'!$B$13,Paramètres!$A$1:$I$89,3,0)*VLOOKUP('Données projet'!$B$13,Paramètres!$A$1:$I$89,5,0)</f>
        <v>-1.3567387213697657E-13</v>
      </c>
      <c r="CV179" s="13" t="e">
        <f t="shared" si="173"/>
        <v>#NUM!</v>
      </c>
      <c r="CW179" s="20" t="e">
        <f t="shared" si="174"/>
        <v>#NUM!</v>
      </c>
      <c r="CX179" s="59" t="e">
        <f t="shared" si="122"/>
        <v>#NUM!</v>
      </c>
      <c r="CY179" s="59">
        <f ca="1">AVERAGE(OFFSET($CX$3,0,0,'Données projet'!$E$13+1,1))-AVERAGE(OFFSET($H$3,0,0,'Données projet'!$E$13+1,1))</f>
        <v>299.10536994156814</v>
      </c>
      <c r="CZ179" s="59">
        <f t="shared" si="150"/>
        <v>292.57799203101769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0.4673615340661314</v>
      </c>
      <c r="DG179" s="21">
        <f>EXP(-LN(2)/25)*DG178+(1-EXP(-LN(2)/25))/(LN(2)/25)*Calculateur!DB179*Calculateur!DD179*VLOOKUP('Données projet'!$B$13,Paramètres!$A$1:$I$89,3,0)*0.475*44/12</f>
        <v>0.18876483149311152</v>
      </c>
      <c r="DH179" s="21">
        <f>EXP(-LN(2)/2)*DH178+(1-EXP(-LN(2)/2))/(LN(2)/2)*DB179*DE179*VLOOKUP('Données projet'!$B$13,Paramètres!$A$1:$I$89,3,0)*0.475*44/12</f>
        <v>9.50016120452878E-22</v>
      </c>
      <c r="DI179" s="22">
        <f t="shared" si="175"/>
        <v>0.65612636555924286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2.2737367544323206E-13</v>
      </c>
      <c r="DP179" s="17">
        <f>DO179*VLOOKUP('Données projet'!$B$14,Paramètres!$A$1:$I$89,3,0)*VLOOKUP('Données projet'!$B$14,Paramètres!$A$1:$I$89,5,0)</f>
        <v>1.4897523215040565E-13</v>
      </c>
      <c r="DQ179" s="13">
        <f t="shared" si="176"/>
        <v>2.136562777003313E-12</v>
      </c>
      <c r="DR179" s="20">
        <f t="shared" si="177"/>
        <v>3.9806453659427267E-12</v>
      </c>
      <c r="DS179" s="59">
        <f t="shared" si="125"/>
        <v>293.33333333333729</v>
      </c>
      <c r="DT179" s="59">
        <f ca="1">AVERAGE(OFFSET($DS$3,0,0,'Données projet'!$E$14+1,1))-AVERAGE(OFFSET($H$3,0,0,'Données projet'!$E$14+1,1))</f>
        <v>295.92103934364718</v>
      </c>
      <c r="DU179" s="59">
        <f t="shared" si="152"/>
        <v>304.84379909635476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0.2475392408106861</v>
      </c>
      <c r="EB179" s="21">
        <f>EXP(-LN(2)/25)*EB178+(1-EXP(-LN(2)/25))/(LN(2)/25)*Calculateur!DW179*Calculateur!DY179*VLOOKUP('Données projet'!$B$14,Paramètres!$A$1:$I$89,3,0)*0.475*44/12</f>
        <v>0.12485947685102378</v>
      </c>
      <c r="EC179" s="21">
        <f>EXP(-LN(2)/2)*EC178+(1-EXP(-LN(2)/2))/(LN(2)/2)*DW179*DZ179*VLOOKUP('Données projet'!$B$14,Paramètres!$A$1:$I$89,3,0)*0.475*44/12</f>
        <v>6.0930409809873986E-22</v>
      </c>
      <c r="ED179" s="22">
        <f t="shared" si="178"/>
        <v>0.37239871766170984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-1.1368683772161603E-13</v>
      </c>
      <c r="O180" s="13">
        <f>N180*VLOOKUP('Données projet'!$B$9,Paramètres!$A$1:$I$89,3,0)*VLOOKUP('Données projet'!$B$9,Paramètres!$A$1:$I$89,5,0)</f>
        <v>-5.3205440053716299E-14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319.22903094674564</v>
      </c>
      <c r="T180" s="59">
        <f t="shared" si="142"/>
        <v>254.58690973142848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0.49382890074641123</v>
      </c>
      <c r="AA180" s="21">
        <f>EXP(-LN(2)/25)*AA179+(1-EXP(-LN(2)/25))/(LN(2)/25)*Calculateur!V180*Calculateur!X180*VLOOKUP('Données projet'!$B$9,Paramètres!$A$1:$I$89,3,0)*0.475*44/12</f>
        <v>0.18935200691669674</v>
      </c>
      <c r="AB180" s="21">
        <f>EXP(-LN(2)/2)*AB179+(1-EXP(-LN(2)/2))/(LN(2)/2)*V180*Y180*VLOOKUP('Données projet'!$B$9,Paramètres!$A$1:$I$89,3,0)*0.475*44/12</f>
        <v>8.2677521722739973E-22</v>
      </c>
      <c r="AC180" s="22">
        <f t="shared" si="163"/>
        <v>0.68318090766310791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-3.4106051316484809E-13</v>
      </c>
      <c r="AJ180" s="13">
        <f>AI180*VLOOKUP('Données projet'!$B$10,Paramètres!$A$1:$I$89,3,0)*VLOOKUP('Données projet'!$B$10,Paramètres!$A$1:$I$89,5,0)</f>
        <v>-1.9065282685915009E-13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544.48194192356823</v>
      </c>
      <c r="AO180" s="59">
        <f t="shared" si="144"/>
        <v>668.20427590250733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0.39943799872001989</v>
      </c>
      <c r="AV180" s="21">
        <f>EXP(-LN(2)/25)*AV179+(1-EXP(-LN(2)/25))/(LN(2)/25)*Calculateur!AQ180*Calculateur!AS180*VLOOKUP('Données projet'!$B$10,Paramètres!$A$1:$I$89,3,0)*0.475*44/12</f>
        <v>0.7235654521732936</v>
      </c>
      <c r="AW180" s="21">
        <f>EXP(-LN(2)/2)*AW179+(1-EXP(-LN(2)/2))/(LN(2)/2)*AQ180*AT180*VLOOKUP('Données projet'!$B$10,Paramètres!$A$1:$I$89,3,0)*0.475*44/12</f>
        <v>1.0794413927095294E-21</v>
      </c>
      <c r="AX180" s="21">
        <f t="shared" si="166"/>
        <v>1.1230034508933135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>
        <f>BD180*VLOOKUP('Données projet'!$B$11,Paramètres!$A$1:$I$89,3,0)*VLOOKUP('Données projet'!$B$11,Paramètres!$A$1:$I$89,5,0)</f>
        <v>0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405.7176439604217</v>
      </c>
      <c r="BJ180" s="59">
        <f t="shared" si="146"/>
        <v>278.21741231699929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0.39764815739805737</v>
      </c>
      <c r="BQ180" s="21">
        <f>EXP(-LN(2)/25)*BQ179+(1-EXP(-LN(2)/25))/(LN(2)/25)*Calculateur!BL180*Calculateur!BN180*VLOOKUP('Données projet'!$B$11,Paramètres!$A$1:$I$89,3,0)*0.475*44/12</f>
        <v>0.15901590359635229</v>
      </c>
      <c r="BR180" s="21">
        <f>EXP(-LN(2)/2)*BR179+(1-EXP(-LN(2)/2))/(LN(2)/2)*BL180*BO180*VLOOKUP('Données projet'!$B$11,Paramètres!$A$1:$I$89,3,0)*0.475*44/12</f>
        <v>6.3898450301397555E-22</v>
      </c>
      <c r="BS180" s="22">
        <f t="shared" si="169"/>
        <v>0.55666406099440968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259.99999999999983</v>
      </c>
      <c r="BZ180" s="13">
        <f>BY180*VLOOKUP('Données projet'!$B$12,Paramètres!$A$1:$I$89,3,0)*VLOOKUP('Données projet'!$B$12,Paramètres!$A$1:$I$89,5,0)</f>
        <v>227.13599999999985</v>
      </c>
      <c r="CA180" s="13">
        <f t="shared" si="170"/>
        <v>55.662966886685133</v>
      </c>
      <c r="CB180" s="20">
        <f t="shared" si="171"/>
        <v>492.5415339943097</v>
      </c>
      <c r="CC180" s="59">
        <f t="shared" si="119"/>
        <v>785.87486732764296</v>
      </c>
      <c r="CD180" s="59">
        <f ca="1">AVERAGE(OFFSET($CC$3,0,0,'Données projet'!$E$12+1,1))-AVERAGE(OFFSET($H$3,0,0,'Données projet'!$E$12+1,1))</f>
        <v>381.72225529388083</v>
      </c>
      <c r="CE180" s="59">
        <f t="shared" si="148"/>
        <v>360.05900046417361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0.26179573537341178</v>
      </c>
      <c r="CL180" s="21">
        <f>EXP(-LN(2)/25)*CL179+(1-EXP(-LN(2)/25))/(LN(2)/25)*Calculateur!CG180*Calculateur!CI180*VLOOKUP('Données projet'!$B$12,Paramètres!$A$1:$I$89,3,0)*0.475*44/12</f>
        <v>0.19153973728200505</v>
      </c>
      <c r="CM180" s="21">
        <f>EXP(-LN(2)/2)*CM179+(1-EXP(-LN(2)/2))/(LN(2)/2)*CG180*CJ180*VLOOKUP('Données projet'!$B$12,Paramètres!$A$1:$I$89,3,0)*0.475*44/12</f>
        <v>5.2388816391812395E-22</v>
      </c>
      <c r="CN180" s="22">
        <f t="shared" si="172"/>
        <v>0.45333547265541685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-1.7053025658242404E-13</v>
      </c>
      <c r="CU180" s="17">
        <f>CT180*VLOOKUP('Données projet'!$B$13,Paramètres!$A$1:$I$89,3,0)*VLOOKUP('Données projet'!$B$13,Paramètres!$A$1:$I$89,5,0)</f>
        <v>-1.3567387213697657E-13</v>
      </c>
      <c r="CV180" s="13" t="e">
        <f t="shared" si="173"/>
        <v>#NUM!</v>
      </c>
      <c r="CW180" s="20" t="e">
        <f t="shared" si="174"/>
        <v>#NUM!</v>
      </c>
      <c r="CX180" s="59" t="e">
        <f t="shared" si="122"/>
        <v>#NUM!</v>
      </c>
      <c r="CY180" s="59">
        <f ca="1">AVERAGE(OFFSET($CX$3,0,0,'Données projet'!$E$13+1,1))-AVERAGE(OFFSET($H$3,0,0,'Données projet'!$E$13+1,1))</f>
        <v>299.10536994156814</v>
      </c>
      <c r="CZ180" s="59">
        <f t="shared" si="150"/>
        <v>292.57799203101769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0.45819685944548277</v>
      </c>
      <c r="DG180" s="21">
        <f>EXP(-LN(2)/25)*DG179+(1-EXP(-LN(2)/25))/(LN(2)/25)*Calculateur!DB180*Calculateur!DD180*VLOOKUP('Données projet'!$B$13,Paramètres!$A$1:$I$89,3,0)*0.475*44/12</f>
        <v>0.18360304724922133</v>
      </c>
      <c r="DH180" s="21">
        <f>EXP(-LN(2)/2)*DH179+(1-EXP(-LN(2)/2))/(LN(2)/2)*DB180*DE180*VLOOKUP('Données projet'!$B$13,Paramètres!$A$1:$I$89,3,0)*0.475*44/12</f>
        <v>6.71762841008766E-22</v>
      </c>
      <c r="DI180" s="22">
        <f t="shared" si="175"/>
        <v>0.6417999066947041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2.2737367544323206E-13</v>
      </c>
      <c r="DP180" s="17">
        <f>DO180*VLOOKUP('Données projet'!$B$14,Paramètres!$A$1:$I$89,3,0)*VLOOKUP('Données projet'!$B$14,Paramètres!$A$1:$I$89,5,0)</f>
        <v>1.4897523215040565E-13</v>
      </c>
      <c r="DQ180" s="13">
        <f t="shared" si="176"/>
        <v>2.136562777003313E-12</v>
      </c>
      <c r="DR180" s="20">
        <f t="shared" si="177"/>
        <v>3.9806453659427267E-12</v>
      </c>
      <c r="DS180" s="59">
        <f t="shared" si="125"/>
        <v>293.33333333333729</v>
      </c>
      <c r="DT180" s="59">
        <f ca="1">AVERAGE(OFFSET($DS$3,0,0,'Données projet'!$E$14+1,1))-AVERAGE(OFFSET($H$3,0,0,'Données projet'!$E$14+1,1))</f>
        <v>295.92103934364718</v>
      </c>
      <c r="DU180" s="59">
        <f t="shared" si="152"/>
        <v>304.84379909635476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0.242685147282417</v>
      </c>
      <c r="EB180" s="21">
        <f>EXP(-LN(2)/25)*EB179+(1-EXP(-LN(2)/25))/(LN(2)/25)*Calculateur!DW180*Calculateur!DY180*VLOOKUP('Données projet'!$B$14,Paramètres!$A$1:$I$89,3,0)*0.475*44/12</f>
        <v>0.12144518789045801</v>
      </c>
      <c r="EC180" s="21">
        <f>EXP(-LN(2)/2)*EC179+(1-EXP(-LN(2)/2))/(LN(2)/2)*DW180*DZ180*VLOOKUP('Données projet'!$B$14,Paramètres!$A$1:$I$89,3,0)*0.475*44/12</f>
        <v>4.3084305957037233E-22</v>
      </c>
      <c r="ED180" s="22">
        <f t="shared" si="178"/>
        <v>0.36413033517287502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-1.1368683772161603E-13</v>
      </c>
      <c r="O181" s="13">
        <f>N181*VLOOKUP('Données projet'!$B$9,Paramètres!$A$1:$I$89,3,0)*VLOOKUP('Données projet'!$B$9,Paramètres!$A$1:$I$89,5,0)</f>
        <v>-5.3205440053716299E-14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319.22903094674564</v>
      </c>
      <c r="T181" s="59">
        <f t="shared" si="142"/>
        <v>254.58690973142848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0.48414521720866194</v>
      </c>
      <c r="AA181" s="21">
        <f>EXP(-LN(2)/25)*AA180+(1-EXP(-LN(2)/25))/(LN(2)/25)*Calculateur!V181*Calculateur!X181*VLOOKUP('Données projet'!$B$9,Paramètres!$A$1:$I$89,3,0)*0.475*44/12</f>
        <v>0.18417416632997038</v>
      </c>
      <c r="AB181" s="21">
        <f>EXP(-LN(2)/2)*AB180+(1-EXP(-LN(2)/2))/(LN(2)/2)*V181*Y181*VLOOKUP('Données projet'!$B$9,Paramètres!$A$1:$I$89,3,0)*0.475*44/12</f>
        <v>5.8461836261847531E-22</v>
      </c>
      <c r="AC181" s="22">
        <f t="shared" si="163"/>
        <v>0.66831938353863229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-3.4106051316484809E-13</v>
      </c>
      <c r="AJ181" s="13">
        <f>AI181*VLOOKUP('Données projet'!$B$10,Paramètres!$A$1:$I$89,3,0)*VLOOKUP('Données projet'!$B$10,Paramètres!$A$1:$I$89,5,0)</f>
        <v>-1.9065282685915009E-13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544.48194192356823</v>
      </c>
      <c r="AO181" s="59">
        <f t="shared" si="144"/>
        <v>668.20427590250733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0.39160526319824274</v>
      </c>
      <c r="AV181" s="21">
        <f>EXP(-LN(2)/25)*AV180+(1-EXP(-LN(2)/25))/(LN(2)/25)*Calculateur!AQ181*Calculateur!AS181*VLOOKUP('Données projet'!$B$10,Paramètres!$A$1:$I$89,3,0)*0.475*44/12</f>
        <v>0.70377951683296147</v>
      </c>
      <c r="AW181" s="21">
        <f>EXP(-LN(2)/2)*AW180+(1-EXP(-LN(2)/2))/(LN(2)/2)*AQ181*AT181*VLOOKUP('Données projet'!$B$10,Paramètres!$A$1:$I$89,3,0)*0.475*44/12</f>
        <v>7.632803286783593E-22</v>
      </c>
      <c r="AX181" s="21">
        <f t="shared" si="166"/>
        <v>1.0953847800312042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>
        <f>BD181*VLOOKUP('Données projet'!$B$11,Paramètres!$A$1:$I$89,3,0)*VLOOKUP('Données projet'!$B$11,Paramètres!$A$1:$I$89,5,0)</f>
        <v>0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405.7176439604217</v>
      </c>
      <c r="BJ181" s="59">
        <f t="shared" si="146"/>
        <v>278.21741231699929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0.3898505195729085</v>
      </c>
      <c r="BQ181" s="21">
        <f>EXP(-LN(2)/25)*BQ180+(1-EXP(-LN(2)/25))/(LN(2)/25)*Calculateur!BL181*Calculateur!BN181*VLOOKUP('Données projet'!$B$11,Paramètres!$A$1:$I$89,3,0)*0.475*44/12</f>
        <v>0.15466760535022711</v>
      </c>
      <c r="BR181" s="21">
        <f>EXP(-LN(2)/2)*BR180+(1-EXP(-LN(2)/2))/(LN(2)/2)*BL181*BO181*VLOOKUP('Données projet'!$B$11,Paramètres!$A$1:$I$89,3,0)*0.475*44/12</f>
        <v>4.5183027515429802E-22</v>
      </c>
      <c r="BS181" s="22">
        <f t="shared" si="169"/>
        <v>0.54451812492313567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259.99999999999983</v>
      </c>
      <c r="BZ181" s="13">
        <f>BY181*VLOOKUP('Données projet'!$B$12,Paramètres!$A$1:$I$89,3,0)*VLOOKUP('Données projet'!$B$12,Paramètres!$A$1:$I$89,5,0)</f>
        <v>227.13599999999985</v>
      </c>
      <c r="CA181" s="13">
        <f t="shared" si="170"/>
        <v>55.662966886685133</v>
      </c>
      <c r="CB181" s="20">
        <f t="shared" si="171"/>
        <v>492.5415339943097</v>
      </c>
      <c r="CC181" s="59">
        <f t="shared" si="119"/>
        <v>785.87486732764296</v>
      </c>
      <c r="CD181" s="59">
        <f ca="1">AVERAGE(OFFSET($CC$3,0,0,'Données projet'!$E$12+1,1))-AVERAGE(OFFSET($H$3,0,0,'Données projet'!$E$12+1,1))</f>
        <v>381.72225529388083</v>
      </c>
      <c r="CE181" s="59">
        <f t="shared" si="148"/>
        <v>360.05900046417361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0.25666208068237067</v>
      </c>
      <c r="CL181" s="21">
        <f>EXP(-LN(2)/25)*CL180+(1-EXP(-LN(2)/25))/(LN(2)/25)*Calculateur!CG181*Calculateur!CI181*VLOOKUP('Données projet'!$B$12,Paramètres!$A$1:$I$89,3,0)*0.475*44/12</f>
        <v>0.18630207309339161</v>
      </c>
      <c r="CM181" s="21">
        <f>EXP(-LN(2)/2)*CM180+(1-EXP(-LN(2)/2))/(LN(2)/2)*CG181*CJ181*VLOOKUP('Données projet'!$B$12,Paramètres!$A$1:$I$89,3,0)*0.475*44/12</f>
        <v>3.7044487328987502E-22</v>
      </c>
      <c r="CN181" s="22">
        <f t="shared" si="172"/>
        <v>0.44296415377576226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-1.7053025658242404E-13</v>
      </c>
      <c r="CU181" s="17">
        <f>CT181*VLOOKUP('Données projet'!$B$13,Paramètres!$A$1:$I$89,3,0)*VLOOKUP('Données projet'!$B$13,Paramètres!$A$1:$I$89,5,0)</f>
        <v>-1.3567387213697657E-13</v>
      </c>
      <c r="CV181" s="13" t="e">
        <f t="shared" si="173"/>
        <v>#NUM!</v>
      </c>
      <c r="CW181" s="20" t="e">
        <f t="shared" si="174"/>
        <v>#NUM!</v>
      </c>
      <c r="CX181" s="59" t="e">
        <f t="shared" si="122"/>
        <v>#NUM!</v>
      </c>
      <c r="CY181" s="59">
        <f ca="1">AVERAGE(OFFSET($CX$3,0,0,'Données projet'!$E$13+1,1))-AVERAGE(OFFSET($H$3,0,0,'Données projet'!$E$13+1,1))</f>
        <v>299.10536994156814</v>
      </c>
      <c r="CZ181" s="59">
        <f t="shared" si="150"/>
        <v>292.57799203101769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0.44921189850424548</v>
      </c>
      <c r="DG181" s="21">
        <f>EXP(-LN(2)/25)*DG180+(1-EXP(-LN(2)/25))/(LN(2)/25)*Calculateur!DB181*Calculateur!DD181*VLOOKUP('Données projet'!$B$13,Paramètres!$A$1:$I$89,3,0)*0.475*44/12</f>
        <v>0.17858241226692675</v>
      </c>
      <c r="DH181" s="21">
        <f>EXP(-LN(2)/2)*DH180+(1-EXP(-LN(2)/2))/(LN(2)/2)*DB181*DE181*VLOOKUP('Données projet'!$B$13,Paramètres!$A$1:$I$89,3,0)*0.475*44/12</f>
        <v>4.75008060226439E-22</v>
      </c>
      <c r="DI181" s="22">
        <f t="shared" si="175"/>
        <v>0.6277943107711722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2.2737367544323206E-13</v>
      </c>
      <c r="DP181" s="17">
        <f>DO181*VLOOKUP('Données projet'!$B$14,Paramètres!$A$1:$I$89,3,0)*VLOOKUP('Données projet'!$B$14,Paramètres!$A$1:$I$89,5,0)</f>
        <v>1.4897523215040565E-13</v>
      </c>
      <c r="DQ181" s="13">
        <f t="shared" si="176"/>
        <v>2.136562777003313E-12</v>
      </c>
      <c r="DR181" s="20">
        <f t="shared" si="177"/>
        <v>3.9806453659427267E-12</v>
      </c>
      <c r="DS181" s="59">
        <f t="shared" si="125"/>
        <v>293.33333333333729</v>
      </c>
      <c r="DT181" s="59">
        <f ca="1">AVERAGE(OFFSET($DS$3,0,0,'Données projet'!$E$14+1,1))-AVERAGE(OFFSET($H$3,0,0,'Données projet'!$E$14+1,1))</f>
        <v>295.92103934364718</v>
      </c>
      <c r="DU181" s="59">
        <f t="shared" si="152"/>
        <v>304.84379909635476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0.23792623956753256</v>
      </c>
      <c r="EB181" s="21">
        <f>EXP(-LN(2)/25)*EB180+(1-EXP(-LN(2)/25))/(LN(2)/25)*Calculateur!DW181*Calculateur!DY181*VLOOKUP('Données projet'!$B$14,Paramètres!$A$1:$I$89,3,0)*0.475*44/12</f>
        <v>0.11812426284106857</v>
      </c>
      <c r="EC181" s="21">
        <f>EXP(-LN(2)/2)*EC180+(1-EXP(-LN(2)/2))/(LN(2)/2)*DW181*DZ181*VLOOKUP('Données projet'!$B$14,Paramètres!$A$1:$I$89,3,0)*0.475*44/12</f>
        <v>3.0465204904936993E-22</v>
      </c>
      <c r="ED181" s="22">
        <f t="shared" si="178"/>
        <v>0.35605050240860114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-1.1368683772161603E-13</v>
      </c>
      <c r="O182" s="13">
        <f>N182*VLOOKUP('Données projet'!$B$9,Paramètres!$A$1:$I$89,3,0)*VLOOKUP('Données projet'!$B$9,Paramètres!$A$1:$I$89,5,0)</f>
        <v>-5.3205440053716299E-14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319.22903094674564</v>
      </c>
      <c r="T182" s="59">
        <f t="shared" si="142"/>
        <v>254.58690973142848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0.47465142479862416</v>
      </c>
      <c r="AA182" s="21">
        <f>EXP(-LN(2)/25)*AA181+(1-EXP(-LN(2)/25))/(LN(2)/25)*Calculateur!V182*Calculateur!X182*VLOOKUP('Données projet'!$B$9,Paramètres!$A$1:$I$89,3,0)*0.475*44/12</f>
        <v>0.17913791406637888</v>
      </c>
      <c r="AB182" s="21">
        <f>EXP(-LN(2)/2)*AB181+(1-EXP(-LN(2)/2))/(LN(2)/2)*V182*Y182*VLOOKUP('Données projet'!$B$9,Paramètres!$A$1:$I$89,3,0)*0.475*44/12</f>
        <v>4.1338760861369996E-22</v>
      </c>
      <c r="AC182" s="22">
        <f t="shared" si="163"/>
        <v>0.65378933886500301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-3.4106051316484809E-13</v>
      </c>
      <c r="AJ182" s="13">
        <f>AI182*VLOOKUP('Données projet'!$B$10,Paramètres!$A$1:$I$89,3,0)*VLOOKUP('Données projet'!$B$10,Paramètres!$A$1:$I$89,5,0)</f>
        <v>-1.9065282685915009E-13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544.48194192356823</v>
      </c>
      <c r="AO182" s="59">
        <f t="shared" si="144"/>
        <v>668.20427590250733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0.38392612284255073</v>
      </c>
      <c r="AV182" s="21">
        <f>EXP(-LN(2)/25)*AV181+(1-EXP(-LN(2)/25))/(LN(2)/25)*Calculateur!AQ182*Calculateur!AS182*VLOOKUP('Données projet'!$B$10,Paramètres!$A$1:$I$89,3,0)*0.475*44/12</f>
        <v>0.68453462893500783</v>
      </c>
      <c r="AW182" s="21">
        <f>EXP(-LN(2)/2)*AW181+(1-EXP(-LN(2)/2))/(LN(2)/2)*AQ182*AT182*VLOOKUP('Données projet'!$B$10,Paramètres!$A$1:$I$89,3,0)*0.475*44/12</f>
        <v>5.3972069635476468E-22</v>
      </c>
      <c r="AX182" s="21">
        <f t="shared" si="166"/>
        <v>1.0684607517775586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>
        <f>BD182*VLOOKUP('Données projet'!$B$11,Paramètres!$A$1:$I$89,3,0)*VLOOKUP('Données projet'!$B$11,Paramètres!$A$1:$I$89,5,0)</f>
        <v>0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405.7176439604217</v>
      </c>
      <c r="BJ182" s="59">
        <f t="shared" si="146"/>
        <v>278.21741231699929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0.38220578866942134</v>
      </c>
      <c r="BQ182" s="21">
        <f>EXP(-LN(2)/25)*BQ181+(1-EXP(-LN(2)/25))/(LN(2)/25)*Calculateur!BL182*Calculateur!BN182*VLOOKUP('Données projet'!$B$11,Paramètres!$A$1:$I$89,3,0)*0.475*44/12</f>
        <v>0.15043821154830928</v>
      </c>
      <c r="BR182" s="21">
        <f>EXP(-LN(2)/2)*BR181+(1-EXP(-LN(2)/2))/(LN(2)/2)*BL182*BO182*VLOOKUP('Données projet'!$B$11,Paramètres!$A$1:$I$89,3,0)*0.475*44/12</f>
        <v>3.1949225150698777E-22</v>
      </c>
      <c r="BS182" s="22">
        <f t="shared" si="169"/>
        <v>0.53264400021773062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259.99999999999983</v>
      </c>
      <c r="BZ182" s="13">
        <f>BY182*VLOOKUP('Données projet'!$B$12,Paramètres!$A$1:$I$89,3,0)*VLOOKUP('Données projet'!$B$12,Paramètres!$A$1:$I$89,5,0)</f>
        <v>227.13599999999985</v>
      </c>
      <c r="CA182" s="13">
        <f t="shared" si="170"/>
        <v>55.662966886685133</v>
      </c>
      <c r="CB182" s="20">
        <f t="shared" si="171"/>
        <v>492.5415339943097</v>
      </c>
      <c r="CC182" s="59">
        <f t="shared" si="119"/>
        <v>785.87486732764296</v>
      </c>
      <c r="CD182" s="59">
        <f ca="1">AVERAGE(OFFSET($CC$3,0,0,'Données projet'!$E$12+1,1))-AVERAGE(OFFSET($H$3,0,0,'Données projet'!$E$12+1,1))</f>
        <v>381.72225529388083</v>
      </c>
      <c r="CE182" s="59">
        <f t="shared" si="148"/>
        <v>360.05900046417361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0.25162909382860071</v>
      </c>
      <c r="CL182" s="21">
        <f>EXP(-LN(2)/25)*CL181+(1-EXP(-LN(2)/25))/(LN(2)/25)*Calculateur!CG182*Calculateur!CI182*VLOOKUP('Données projet'!$B$12,Paramètres!$A$1:$I$89,3,0)*0.475*44/12</f>
        <v>0.18120763310745258</v>
      </c>
      <c r="CM182" s="21">
        <f>EXP(-LN(2)/2)*CM181+(1-EXP(-LN(2)/2))/(LN(2)/2)*CG182*CJ182*VLOOKUP('Données projet'!$B$12,Paramètres!$A$1:$I$89,3,0)*0.475*44/12</f>
        <v>2.6194408195906197E-22</v>
      </c>
      <c r="CN182" s="22">
        <f t="shared" si="172"/>
        <v>0.4328367269360533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-1.7053025658242404E-13</v>
      </c>
      <c r="CU182" s="17">
        <f>CT182*VLOOKUP('Données projet'!$B$13,Paramètres!$A$1:$I$89,3,0)*VLOOKUP('Données projet'!$B$13,Paramètres!$A$1:$I$89,5,0)</f>
        <v>-1.3567387213697657E-13</v>
      </c>
      <c r="CV182" s="13" t="e">
        <f t="shared" si="173"/>
        <v>#NUM!</v>
      </c>
      <c r="CW182" s="20" t="e">
        <f t="shared" si="174"/>
        <v>#NUM!</v>
      </c>
      <c r="CX182" s="59" t="e">
        <f t="shared" si="122"/>
        <v>#NUM!</v>
      </c>
      <c r="CY182" s="59">
        <f ca="1">AVERAGE(OFFSET($CX$3,0,0,'Données projet'!$E$13+1,1))-AVERAGE(OFFSET($H$3,0,0,'Données projet'!$E$13+1,1))</f>
        <v>299.10536994156814</v>
      </c>
      <c r="CZ182" s="59">
        <f t="shared" si="150"/>
        <v>292.57799203101769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0.44040312716678082</v>
      </c>
      <c r="DG182" s="21">
        <f>EXP(-LN(2)/25)*DG181+(1-EXP(-LN(2)/25))/(LN(2)/25)*Calculateur!DB182*Calculateur!DD182*VLOOKUP('Données projet'!$B$13,Paramètres!$A$1:$I$89,3,0)*0.475*44/12</f>
        <v>0.17369906681224673</v>
      </c>
      <c r="DH182" s="21">
        <f>EXP(-LN(2)/2)*DH181+(1-EXP(-LN(2)/2))/(LN(2)/2)*DB182*DE182*VLOOKUP('Données projet'!$B$13,Paramètres!$A$1:$I$89,3,0)*0.475*44/12</f>
        <v>3.35881420504383E-22</v>
      </c>
      <c r="DI182" s="22">
        <f t="shared" si="175"/>
        <v>0.61410219397902754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2.2737367544323206E-13</v>
      </c>
      <c r="DP182" s="17">
        <f>DO182*VLOOKUP('Données projet'!$B$14,Paramètres!$A$1:$I$89,3,0)*VLOOKUP('Données projet'!$B$14,Paramètres!$A$1:$I$89,5,0)</f>
        <v>1.4897523215040565E-13</v>
      </c>
      <c r="DQ182" s="13">
        <f t="shared" si="176"/>
        <v>2.136562777003313E-12</v>
      </c>
      <c r="DR182" s="20">
        <f t="shared" si="177"/>
        <v>3.9806453659427267E-12</v>
      </c>
      <c r="DS182" s="59">
        <f t="shared" si="125"/>
        <v>293.33333333333729</v>
      </c>
      <c r="DT182" s="59">
        <f ca="1">AVERAGE(OFFSET($DS$3,0,0,'Données projet'!$E$14+1,1))-AVERAGE(OFFSET($H$3,0,0,'Données projet'!$E$14+1,1))</f>
        <v>295.92103934364718</v>
      </c>
      <c r="DU182" s="59">
        <f t="shared" si="152"/>
        <v>304.84379909635476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0.2332606511302899</v>
      </c>
      <c r="EB182" s="21">
        <f>EXP(-LN(2)/25)*EB181+(1-EXP(-LN(2)/25))/(LN(2)/25)*Calculateur!DW182*Calculateur!DY182*VLOOKUP('Données projet'!$B$14,Paramètres!$A$1:$I$89,3,0)*0.475*44/12</f>
        <v>0.11489414866179454</v>
      </c>
      <c r="EC182" s="21">
        <f>EXP(-LN(2)/2)*EC181+(1-EXP(-LN(2)/2))/(LN(2)/2)*DW182*DZ182*VLOOKUP('Données projet'!$B$14,Paramètres!$A$1:$I$89,3,0)*0.475*44/12</f>
        <v>2.1542152978518616E-22</v>
      </c>
      <c r="ED182" s="22">
        <f t="shared" si="178"/>
        <v>0.34815479979208441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-1.1368683772161603E-13</v>
      </c>
      <c r="O183" s="13">
        <f>N183*VLOOKUP('Données projet'!$B$9,Paramètres!$A$1:$I$89,3,0)*VLOOKUP('Données projet'!$B$9,Paramètres!$A$1:$I$89,5,0)</f>
        <v>-5.3205440053716299E-14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319.22903094674564</v>
      </c>
      <c r="T183" s="59">
        <f t="shared" si="142"/>
        <v>254.58690973142848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0.46534379986710567</v>
      </c>
      <c r="AA183" s="21">
        <f>EXP(-LN(2)/25)*AA182+(1-EXP(-LN(2)/25))/(LN(2)/25)*Calculateur!V183*Calculateur!X183*VLOOKUP('Données projet'!$B$9,Paramètres!$A$1:$I$89,3,0)*0.475*44/12</f>
        <v>0.17423937838578027</v>
      </c>
      <c r="AB183" s="21">
        <f>EXP(-LN(2)/2)*AB182+(1-EXP(-LN(2)/2))/(LN(2)/2)*V183*Y183*VLOOKUP('Données projet'!$B$9,Paramètres!$A$1:$I$89,3,0)*0.475*44/12</f>
        <v>2.923091813092377E-22</v>
      </c>
      <c r="AC183" s="22">
        <f t="shared" si="163"/>
        <v>0.63958317825288591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-3.4106051316484809E-13</v>
      </c>
      <c r="AJ183" s="13">
        <f>AI183*VLOOKUP('Données projet'!$B$10,Paramètres!$A$1:$I$89,3,0)*VLOOKUP('Données projet'!$B$10,Paramètres!$A$1:$I$89,5,0)</f>
        <v>-1.9065282685915009E-13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544.48194192356823</v>
      </c>
      <c r="AO183" s="59">
        <f t="shared" si="144"/>
        <v>668.20427590250733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0.37639756574542071</v>
      </c>
      <c r="AV183" s="21">
        <f>EXP(-LN(2)/25)*AV182+(1-EXP(-LN(2)/25))/(LN(2)/25)*Calculateur!AQ183*Calculateur!AS183*VLOOKUP('Données projet'!$B$10,Paramètres!$A$1:$I$89,3,0)*0.475*44/12</f>
        <v>0.66581599350866838</v>
      </c>
      <c r="AW183" s="21">
        <f>EXP(-LN(2)/2)*AW182+(1-EXP(-LN(2)/2))/(LN(2)/2)*AQ183*AT183*VLOOKUP('Données projet'!$B$10,Paramètres!$A$1:$I$89,3,0)*0.475*44/12</f>
        <v>3.8164016433917965E-22</v>
      </c>
      <c r="AX183" s="21">
        <f t="shared" si="166"/>
        <v>1.0422135592540891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>
        <f>BD183*VLOOKUP('Données projet'!$B$11,Paramètres!$A$1:$I$89,3,0)*VLOOKUP('Données projet'!$B$11,Paramètres!$A$1:$I$89,5,0)</f>
        <v>0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405.7176439604217</v>
      </c>
      <c r="BJ183" s="59">
        <f t="shared" si="146"/>
        <v>278.21741231699929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0.37471096627612616</v>
      </c>
      <c r="BQ183" s="21">
        <f>EXP(-LN(2)/25)*BQ182+(1-EXP(-LN(2)/25))/(LN(2)/25)*Calculateur!BL183*Calculateur!BN183*VLOOKUP('Données projet'!$B$11,Paramètres!$A$1:$I$89,3,0)*0.475*44/12</f>
        <v>0.14632447074231905</v>
      </c>
      <c r="BR183" s="21">
        <f>EXP(-LN(2)/2)*BR182+(1-EXP(-LN(2)/2))/(LN(2)/2)*BL183*BO183*VLOOKUP('Données projet'!$B$11,Paramètres!$A$1:$I$89,3,0)*0.475*44/12</f>
        <v>2.2591513757714901E-22</v>
      </c>
      <c r="BS183" s="22">
        <f t="shared" si="169"/>
        <v>0.52103543701844524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259.99999999999983</v>
      </c>
      <c r="BZ183" s="13">
        <f>BY183*VLOOKUP('Données projet'!$B$12,Paramètres!$A$1:$I$89,3,0)*VLOOKUP('Données projet'!$B$12,Paramètres!$A$1:$I$89,5,0)</f>
        <v>227.13599999999985</v>
      </c>
      <c r="CA183" s="13">
        <f t="shared" si="170"/>
        <v>55.662966886685133</v>
      </c>
      <c r="CB183" s="20">
        <f t="shared" si="171"/>
        <v>492.5415339943097</v>
      </c>
      <c r="CC183" s="59">
        <f t="shared" si="119"/>
        <v>785.87486732764296</v>
      </c>
      <c r="CD183" s="59">
        <f ca="1">AVERAGE(OFFSET($CC$3,0,0,'Données projet'!$E$12+1,1))-AVERAGE(OFFSET($H$3,0,0,'Données projet'!$E$12+1,1))</f>
        <v>381.72225529388083</v>
      </c>
      <c r="CE183" s="59">
        <f t="shared" si="148"/>
        <v>360.05900046417361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0.24669480077721434</v>
      </c>
      <c r="CL183" s="21">
        <f>EXP(-LN(2)/25)*CL182+(1-EXP(-LN(2)/25))/(LN(2)/25)*Calculateur!CG183*Calculateur!CI183*VLOOKUP('Données projet'!$B$12,Paramètres!$A$1:$I$89,3,0)*0.475*44/12</f>
        <v>0.17625250085083402</v>
      </c>
      <c r="CM183" s="21">
        <f>EXP(-LN(2)/2)*CM182+(1-EXP(-LN(2)/2))/(LN(2)/2)*CG183*CJ183*VLOOKUP('Données projet'!$B$12,Paramètres!$A$1:$I$89,3,0)*0.475*44/12</f>
        <v>1.8522243664493751E-22</v>
      </c>
      <c r="CN183" s="22">
        <f t="shared" si="172"/>
        <v>0.42294730162804839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-1.7053025658242404E-13</v>
      </c>
      <c r="CU183" s="17">
        <f>CT183*VLOOKUP('Données projet'!$B$13,Paramètres!$A$1:$I$89,3,0)*VLOOKUP('Données projet'!$B$13,Paramètres!$A$1:$I$89,5,0)</f>
        <v>-1.3567387213697657E-13</v>
      </c>
      <c r="CV183" s="13" t="e">
        <f t="shared" si="173"/>
        <v>#NUM!</v>
      </c>
      <c r="CW183" s="20" t="e">
        <f t="shared" si="174"/>
        <v>#NUM!</v>
      </c>
      <c r="CX183" s="59" t="e">
        <f t="shared" si="122"/>
        <v>#NUM!</v>
      </c>
      <c r="CY183" s="59">
        <f ca="1">AVERAGE(OFFSET($CX$3,0,0,'Données projet'!$E$13+1,1))-AVERAGE(OFFSET($H$3,0,0,'Données projet'!$E$13+1,1))</f>
        <v>299.10536994156814</v>
      </c>
      <c r="CZ183" s="59">
        <f t="shared" si="150"/>
        <v>292.57799203101769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0.43176709046242384</v>
      </c>
      <c r="DG183" s="21">
        <f>EXP(-LN(2)/25)*DG182+(1-EXP(-LN(2)/25))/(LN(2)/25)*Calculateur!DB183*Calculateur!DD183*VLOOKUP('Données projet'!$B$13,Paramètres!$A$1:$I$89,3,0)*0.475*44/12</f>
        <v>0.16894925669582891</v>
      </c>
      <c r="DH183" s="21">
        <f>EXP(-LN(2)/2)*DH182+(1-EXP(-LN(2)/2))/(LN(2)/2)*DB183*DE183*VLOOKUP('Données projet'!$B$13,Paramètres!$A$1:$I$89,3,0)*0.475*44/12</f>
        <v>2.375040301132195E-22</v>
      </c>
      <c r="DI183" s="22">
        <f t="shared" si="175"/>
        <v>0.60071634715825273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2.2737367544323206E-13</v>
      </c>
      <c r="DP183" s="17">
        <f>DO183*VLOOKUP('Données projet'!$B$14,Paramètres!$A$1:$I$89,3,0)*VLOOKUP('Données projet'!$B$14,Paramètres!$A$1:$I$89,5,0)</f>
        <v>1.4897523215040565E-13</v>
      </c>
      <c r="DQ183" s="13">
        <f t="shared" si="176"/>
        <v>2.136562777003313E-12</v>
      </c>
      <c r="DR183" s="20">
        <f t="shared" si="177"/>
        <v>3.9806453659427267E-12</v>
      </c>
      <c r="DS183" s="59">
        <f t="shared" si="125"/>
        <v>293.33333333333729</v>
      </c>
      <c r="DT183" s="59">
        <f ca="1">AVERAGE(OFFSET($DS$3,0,0,'Données projet'!$E$14+1,1))-AVERAGE(OFFSET($H$3,0,0,'Données projet'!$E$14+1,1))</f>
        <v>295.92103934364718</v>
      </c>
      <c r="DU183" s="59">
        <f t="shared" si="152"/>
        <v>304.84379909635476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0.22868655203657362</v>
      </c>
      <c r="EB183" s="21">
        <f>EXP(-LN(2)/25)*EB182+(1-EXP(-LN(2)/25))/(LN(2)/25)*Calculateur!DW183*Calculateur!DY183*VLOOKUP('Données projet'!$B$14,Paramètres!$A$1:$I$89,3,0)*0.475*44/12</f>
        <v>0.11175236212461709</v>
      </c>
      <c r="EC183" s="21">
        <f>EXP(-LN(2)/2)*EC182+(1-EXP(-LN(2)/2))/(LN(2)/2)*DW183*DZ183*VLOOKUP('Données projet'!$B$14,Paramètres!$A$1:$I$89,3,0)*0.475*44/12</f>
        <v>1.5232602452468496E-22</v>
      </c>
      <c r="ED183" s="22">
        <f t="shared" si="178"/>
        <v>0.34043891416119071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-1.1368683772161603E-13</v>
      </c>
      <c r="O184" s="13">
        <f>N184*VLOOKUP('Données projet'!$B$9,Paramètres!$A$1:$I$89,3,0)*VLOOKUP('Données projet'!$B$9,Paramètres!$A$1:$I$89,5,0)</f>
        <v>-5.3205440053716299E-14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319.22903094674564</v>
      </c>
      <c r="T184" s="59">
        <f t="shared" si="142"/>
        <v>254.58690973142848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0.45621869178340357</v>
      </c>
      <c r="AA184" s="21">
        <f>EXP(-LN(2)/25)*AA183+(1-EXP(-LN(2)/25))/(LN(2)/25)*Calculateur!V184*Calculateur!X184*VLOOKUP('Données projet'!$B$9,Paramètres!$A$1:$I$89,3,0)*0.475*44/12</f>
        <v>0.16947479342097044</v>
      </c>
      <c r="AB184" s="21">
        <f>EXP(-LN(2)/2)*AB183+(1-EXP(-LN(2)/2))/(LN(2)/2)*V184*Y184*VLOOKUP('Données projet'!$B$9,Paramètres!$A$1:$I$89,3,0)*0.475*44/12</f>
        <v>2.0669380430685E-22</v>
      </c>
      <c r="AC184" s="22">
        <f t="shared" si="163"/>
        <v>0.62569348520437407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-3.4106051316484809E-13</v>
      </c>
      <c r="AJ184" s="13">
        <f>AI184*VLOOKUP('Données projet'!$B$10,Paramètres!$A$1:$I$89,3,0)*VLOOKUP('Données projet'!$B$10,Paramètres!$A$1:$I$89,5,0)</f>
        <v>-1.9065282685915009E-13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544.48194192356823</v>
      </c>
      <c r="AO184" s="59">
        <f t="shared" si="144"/>
        <v>668.20427590250733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0.36901663906099902</v>
      </c>
      <c r="AV184" s="21">
        <f>EXP(-LN(2)/25)*AV183+(1-EXP(-LN(2)/25))/(LN(2)/25)*Calculateur!AQ184*Calculateur!AS184*VLOOKUP('Données projet'!$B$10,Paramètres!$A$1:$I$89,3,0)*0.475*44/12</f>
        <v>0.6476092201524325</v>
      </c>
      <c r="AW184" s="21">
        <f>EXP(-LN(2)/2)*AW183+(1-EXP(-LN(2)/2))/(LN(2)/2)*AQ184*AT184*VLOOKUP('Données projet'!$B$10,Paramètres!$A$1:$I$89,3,0)*0.475*44/12</f>
        <v>2.6986034817738234E-22</v>
      </c>
      <c r="AX184" s="21">
        <f t="shared" si="166"/>
        <v>1.0166258592134314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>
        <f>BD184*VLOOKUP('Données projet'!$B$11,Paramètres!$A$1:$I$89,3,0)*VLOOKUP('Données projet'!$B$11,Paramètres!$A$1:$I$89,5,0)</f>
        <v>0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405.7176439604217</v>
      </c>
      <c r="BJ184" s="59">
        <f t="shared" si="146"/>
        <v>278.21741231699929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0.3673631127785732</v>
      </c>
      <c r="BQ184" s="21">
        <f>EXP(-LN(2)/25)*BQ183+(1-EXP(-LN(2)/25))/(LN(2)/25)*Calculateur!BL184*Calculateur!BN184*VLOOKUP('Données projet'!$B$11,Paramètres!$A$1:$I$89,3,0)*0.475*44/12</f>
        <v>0.14232322039500084</v>
      </c>
      <c r="BR184" s="21">
        <f>EXP(-LN(2)/2)*BR183+(1-EXP(-LN(2)/2))/(LN(2)/2)*BL184*BO184*VLOOKUP('Données projet'!$B$11,Paramètres!$A$1:$I$89,3,0)*0.475*44/12</f>
        <v>1.5974612575349389E-22</v>
      </c>
      <c r="BS184" s="22">
        <f t="shared" si="169"/>
        <v>0.50968633317357404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259.99999999999983</v>
      </c>
      <c r="BZ184" s="13">
        <f>BY184*VLOOKUP('Données projet'!$B$12,Paramètres!$A$1:$I$89,3,0)*VLOOKUP('Données projet'!$B$12,Paramètres!$A$1:$I$89,5,0)</f>
        <v>227.13599999999985</v>
      </c>
      <c r="CA184" s="13">
        <f t="shared" si="170"/>
        <v>55.662966886685133</v>
      </c>
      <c r="CB184" s="20">
        <f t="shared" si="171"/>
        <v>492.5415339943097</v>
      </c>
      <c r="CC184" s="59">
        <f t="shared" si="119"/>
        <v>785.87486732764296</v>
      </c>
      <c r="CD184" s="59">
        <f ca="1">AVERAGE(OFFSET($CC$3,0,0,'Données projet'!$E$12+1,1))-AVERAGE(OFFSET($H$3,0,0,'Données projet'!$E$12+1,1))</f>
        <v>381.72225529388083</v>
      </c>
      <c r="CE184" s="59">
        <f t="shared" si="148"/>
        <v>360.05900046417361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0.24185726620294407</v>
      </c>
      <c r="CL184" s="21">
        <f>EXP(-LN(2)/25)*CL183+(1-EXP(-LN(2)/25))/(LN(2)/25)*Calculateur!CG184*Calculateur!CI184*VLOOKUP('Données projet'!$B$12,Paramètres!$A$1:$I$89,3,0)*0.475*44/12</f>
        <v>0.17143286694635176</v>
      </c>
      <c r="CM184" s="21">
        <f>EXP(-LN(2)/2)*CM183+(1-EXP(-LN(2)/2))/(LN(2)/2)*CG184*CJ184*VLOOKUP('Données projet'!$B$12,Paramètres!$A$1:$I$89,3,0)*0.475*44/12</f>
        <v>1.3097204097953099E-22</v>
      </c>
      <c r="CN184" s="22">
        <f t="shared" si="172"/>
        <v>0.41329013314929586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-1.7053025658242404E-13</v>
      </c>
      <c r="CU184" s="17">
        <f>CT184*VLOOKUP('Données projet'!$B$13,Paramètres!$A$1:$I$89,3,0)*VLOOKUP('Données projet'!$B$13,Paramètres!$A$1:$I$89,5,0)</f>
        <v>-1.3567387213697657E-13</v>
      </c>
      <c r="CV184" s="13" t="e">
        <f t="shared" si="173"/>
        <v>#NUM!</v>
      </c>
      <c r="CW184" s="20" t="e">
        <f t="shared" si="174"/>
        <v>#NUM!</v>
      </c>
      <c r="CX184" s="59" t="e">
        <f t="shared" si="122"/>
        <v>#NUM!</v>
      </c>
      <c r="CY184" s="59">
        <f ca="1">AVERAGE(OFFSET($CX$3,0,0,'Données projet'!$E$13+1,1))-AVERAGE(OFFSET($H$3,0,0,'Données projet'!$E$13+1,1))</f>
        <v>299.10536994156814</v>
      </c>
      <c r="CZ184" s="59">
        <f t="shared" si="150"/>
        <v>292.57799203101769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0.42330040117037704</v>
      </c>
      <c r="DG184" s="21">
        <f>EXP(-LN(2)/25)*DG183+(1-EXP(-LN(2)/25))/(LN(2)/25)*Calculateur!DB184*Calculateur!DD184*VLOOKUP('Données projet'!$B$13,Paramètres!$A$1:$I$89,3,0)*0.475*44/12</f>
        <v>0.16432933038682621</v>
      </c>
      <c r="DH184" s="21">
        <f>EXP(-LN(2)/2)*DH183+(1-EXP(-LN(2)/2))/(LN(2)/2)*DB184*DE184*VLOOKUP('Données projet'!$B$13,Paramètres!$A$1:$I$89,3,0)*0.475*44/12</f>
        <v>1.679407102521915E-22</v>
      </c>
      <c r="DI184" s="22">
        <f t="shared" si="175"/>
        <v>0.58762973155720322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2.2737367544323206E-13</v>
      </c>
      <c r="DP184" s="17">
        <f>DO184*VLOOKUP('Données projet'!$B$14,Paramètres!$A$1:$I$89,3,0)*VLOOKUP('Données projet'!$B$14,Paramètres!$A$1:$I$89,5,0)</f>
        <v>1.4897523215040565E-13</v>
      </c>
      <c r="DQ184" s="13">
        <f t="shared" si="176"/>
        <v>2.136562777003313E-12</v>
      </c>
      <c r="DR184" s="20">
        <f t="shared" si="177"/>
        <v>3.9806453659427267E-12</v>
      </c>
      <c r="DS184" s="59">
        <f t="shared" si="125"/>
        <v>293.33333333333729</v>
      </c>
      <c r="DT184" s="59">
        <f ca="1">AVERAGE(OFFSET($DS$3,0,0,'Données projet'!$E$14+1,1))-AVERAGE(OFFSET($H$3,0,0,'Données projet'!$E$14+1,1))</f>
        <v>295.92103934364718</v>
      </c>
      <c r="DU184" s="59">
        <f t="shared" si="152"/>
        <v>304.84379909635476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0.22420214823616016</v>
      </c>
      <c r="EB184" s="21">
        <f>EXP(-LN(2)/25)*EB183+(1-EXP(-LN(2)/25))/(LN(2)/25)*Calculateur!DW184*Calculateur!DY184*VLOOKUP('Données projet'!$B$14,Paramètres!$A$1:$I$89,3,0)*0.475*44/12</f>
        <v>0.10869648790551813</v>
      </c>
      <c r="EC184" s="21">
        <f>EXP(-LN(2)/2)*EC183+(1-EXP(-LN(2)/2))/(LN(2)/2)*DW184*DZ184*VLOOKUP('Données projet'!$B$14,Paramètres!$A$1:$I$89,3,0)*0.475*44/12</f>
        <v>1.0771076489259308E-22</v>
      </c>
      <c r="ED184" s="22">
        <f t="shared" si="178"/>
        <v>0.33289863614167831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-1.1368683772161603E-13</v>
      </c>
      <c r="O185" s="13">
        <f>N185*VLOOKUP('Données projet'!$B$9,Paramètres!$A$1:$I$89,3,0)*VLOOKUP('Données projet'!$B$9,Paramètres!$A$1:$I$89,5,0)</f>
        <v>-5.3205440053716299E-14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319.22903094674564</v>
      </c>
      <c r="T185" s="59">
        <f t="shared" si="142"/>
        <v>254.58690973142848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0.44727252150345653</v>
      </c>
      <c r="AA185" s="21">
        <f>EXP(-LN(2)/25)*AA184+(1-EXP(-LN(2)/25))/(LN(2)/25)*Calculateur!V185*Calculateur!X185*VLOOKUP('Données projet'!$B$9,Paramètres!$A$1:$I$89,3,0)*0.475*44/12</f>
        <v>0.16484049628258196</v>
      </c>
      <c r="AB185" s="21">
        <f>EXP(-LN(2)/2)*AB184+(1-EXP(-LN(2)/2))/(LN(2)/2)*V185*Y185*VLOOKUP('Données projet'!$B$9,Paramètres!$A$1:$I$89,3,0)*0.475*44/12</f>
        <v>1.4615459065461888E-22</v>
      </c>
      <c r="AC185" s="22">
        <f t="shared" si="163"/>
        <v>0.61211301778603855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-3.4106051316484809E-13</v>
      </c>
      <c r="AJ185" s="13">
        <f>AI185*VLOOKUP('Données projet'!$B$10,Paramètres!$A$1:$I$89,3,0)*VLOOKUP('Données projet'!$B$10,Paramètres!$A$1:$I$89,5,0)</f>
        <v>-1.9065282685915009E-13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544.48194192356823</v>
      </c>
      <c r="AO185" s="59">
        <f t="shared" si="144"/>
        <v>668.20427590250733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0.36178044784693808</v>
      </c>
      <c r="AV185" s="21">
        <f>EXP(-LN(2)/25)*AV184+(1-EXP(-LN(2)/25))/(LN(2)/25)*Calculateur!AQ185*Calculateur!AS185*VLOOKUP('Données projet'!$B$10,Paramètres!$A$1:$I$89,3,0)*0.475*44/12</f>
        <v>0.62990031197107543</v>
      </c>
      <c r="AW185" s="21">
        <f>EXP(-LN(2)/2)*AW184+(1-EXP(-LN(2)/2))/(LN(2)/2)*AQ185*AT185*VLOOKUP('Données projet'!$B$10,Paramètres!$A$1:$I$89,3,0)*0.475*44/12</f>
        <v>1.9082008216958982E-22</v>
      </c>
      <c r="AX185" s="21">
        <f t="shared" si="166"/>
        <v>0.99168075981801351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>
        <f>BD185*VLOOKUP('Données projet'!$B$11,Paramètres!$A$1:$I$89,3,0)*VLOOKUP('Données projet'!$B$11,Paramètres!$A$1:$I$89,5,0)</f>
        <v>0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405.7176439604217</v>
      </c>
      <c r="BJ185" s="59">
        <f t="shared" si="146"/>
        <v>278.21741231699929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0.36015934620635914</v>
      </c>
      <c r="BQ185" s="21">
        <f>EXP(-LN(2)/25)*BQ184+(1-EXP(-LN(2)/25))/(LN(2)/25)*Calculateur!BL185*Calculateur!BN185*VLOOKUP('Données projet'!$B$11,Paramètres!$A$1:$I$89,3,0)*0.475*44/12</f>
        <v>0.13843138444884667</v>
      </c>
      <c r="BR185" s="21">
        <f>EXP(-LN(2)/2)*BR184+(1-EXP(-LN(2)/2))/(LN(2)/2)*BL185*BO185*VLOOKUP('Données projet'!$B$11,Paramètres!$A$1:$I$89,3,0)*0.475*44/12</f>
        <v>1.129575687885745E-22</v>
      </c>
      <c r="BS185" s="22">
        <f t="shared" si="169"/>
        <v>0.49859073065520582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259.99999999999983</v>
      </c>
      <c r="BZ185" s="13">
        <f>BY185*VLOOKUP('Données projet'!$B$12,Paramètres!$A$1:$I$89,3,0)*VLOOKUP('Données projet'!$B$12,Paramètres!$A$1:$I$89,5,0)</f>
        <v>227.13599999999985</v>
      </c>
      <c r="CA185" s="13">
        <f t="shared" si="170"/>
        <v>55.662966886685133</v>
      </c>
      <c r="CB185" s="20">
        <f t="shared" si="171"/>
        <v>492.5415339943097</v>
      </c>
      <c r="CC185" s="59">
        <f t="shared" si="119"/>
        <v>785.87486732764296</v>
      </c>
      <c r="CD185" s="59">
        <f ca="1">AVERAGE(OFFSET($CC$3,0,0,'Données projet'!$E$12+1,1))-AVERAGE(OFFSET($H$3,0,0,'Données projet'!$E$12+1,1))</f>
        <v>381.72225529388083</v>
      </c>
      <c r="CE185" s="59">
        <f t="shared" si="148"/>
        <v>360.05900046417361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0.23711459273107049</v>
      </c>
      <c r="CL185" s="21">
        <f>EXP(-LN(2)/25)*CL184+(1-EXP(-LN(2)/25))/(LN(2)/25)*Calculateur!CG185*Calculateur!CI185*VLOOKUP('Données projet'!$B$12,Paramètres!$A$1:$I$89,3,0)*0.475*44/12</f>
        <v>0.16674502618444112</v>
      </c>
      <c r="CM185" s="21">
        <f>EXP(-LN(2)/2)*CM184+(1-EXP(-LN(2)/2))/(LN(2)/2)*CG185*CJ185*VLOOKUP('Données projet'!$B$12,Paramètres!$A$1:$I$89,3,0)*0.475*44/12</f>
        <v>9.2611218322468755E-23</v>
      </c>
      <c r="CN185" s="22">
        <f t="shared" si="172"/>
        <v>0.40385961891551159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-1.7053025658242404E-13</v>
      </c>
      <c r="CU185" s="17">
        <f>CT185*VLOOKUP('Données projet'!$B$13,Paramètres!$A$1:$I$89,3,0)*VLOOKUP('Données projet'!$B$13,Paramètres!$A$1:$I$89,5,0)</f>
        <v>-1.3567387213697657E-13</v>
      </c>
      <c r="CV185" s="13" t="e">
        <f t="shared" si="173"/>
        <v>#NUM!</v>
      </c>
      <c r="CW185" s="20" t="e">
        <f t="shared" si="174"/>
        <v>#NUM!</v>
      </c>
      <c r="CX185" s="59" t="e">
        <f t="shared" si="122"/>
        <v>#NUM!</v>
      </c>
      <c r="CY185" s="59">
        <f ca="1">AVERAGE(OFFSET($CX$3,0,0,'Données projet'!$E$13+1,1))-AVERAGE(OFFSET($H$3,0,0,'Données projet'!$E$13+1,1))</f>
        <v>299.10536994156814</v>
      </c>
      <c r="CZ185" s="59">
        <f t="shared" si="150"/>
        <v>292.57799203101769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0.41499973849117672</v>
      </c>
      <c r="DG185" s="21">
        <f>EXP(-LN(2)/25)*DG184+(1-EXP(-LN(2)/25))/(LN(2)/25)*Calculateur!DB185*Calculateur!DD185*VLOOKUP('Données projet'!$B$13,Paramètres!$A$1:$I$89,3,0)*0.475*44/12</f>
        <v>0.15983573620569455</v>
      </c>
      <c r="DH185" s="21">
        <f>EXP(-LN(2)/2)*DH184+(1-EXP(-LN(2)/2))/(LN(2)/2)*DB185*DE185*VLOOKUP('Données projet'!$B$13,Paramètres!$A$1:$I$89,3,0)*0.475*44/12</f>
        <v>1.1875201505660975E-22</v>
      </c>
      <c r="DI185" s="22">
        <f t="shared" si="175"/>
        <v>0.57483547469687124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2.2737367544323206E-13</v>
      </c>
      <c r="DP185" s="17">
        <f>DO185*VLOOKUP('Données projet'!$B$14,Paramètres!$A$1:$I$89,3,0)*VLOOKUP('Données projet'!$B$14,Paramètres!$A$1:$I$89,5,0)</f>
        <v>1.4897523215040565E-13</v>
      </c>
      <c r="DQ185" s="13">
        <f t="shared" si="176"/>
        <v>2.136562777003313E-12</v>
      </c>
      <c r="DR185" s="20">
        <f t="shared" si="177"/>
        <v>3.9806453659427267E-12</v>
      </c>
      <c r="DS185" s="59">
        <f t="shared" si="125"/>
        <v>293.33333333333729</v>
      </c>
      <c r="DT185" s="59">
        <f ca="1">AVERAGE(OFFSET($DS$3,0,0,'Données projet'!$E$14+1,1))-AVERAGE(OFFSET($H$3,0,0,'Données projet'!$E$14+1,1))</f>
        <v>295.92103934364718</v>
      </c>
      <c r="DU185" s="59">
        <f t="shared" si="152"/>
        <v>304.84379909635476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0.21980568085905658</v>
      </c>
      <c r="EB185" s="21">
        <f>EXP(-LN(2)/25)*EB184+(1-EXP(-LN(2)/25))/(LN(2)/25)*Calculateur!DW185*Calculateur!DY185*VLOOKUP('Données projet'!$B$14,Paramètres!$A$1:$I$89,3,0)*0.475*44/12</f>
        <v>0.10572417672764187</v>
      </c>
      <c r="EC185" s="21">
        <f>EXP(-LN(2)/2)*EC184+(1-EXP(-LN(2)/2))/(LN(2)/2)*DW185*DZ185*VLOOKUP('Données projet'!$B$14,Paramètres!$A$1:$I$89,3,0)*0.475*44/12</f>
        <v>7.6163012262342482E-23</v>
      </c>
      <c r="ED185" s="22">
        <f t="shared" si="178"/>
        <v>0.32552985758669845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-1.1368683772161603E-13</v>
      </c>
      <c r="O186" s="13">
        <f>N186*VLOOKUP('Données projet'!$B$9,Paramètres!$A$1:$I$89,3,0)*VLOOKUP('Données projet'!$B$9,Paramètres!$A$1:$I$89,5,0)</f>
        <v>-5.3205440053716299E-14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319.22903094674564</v>
      </c>
      <c r="T186" s="59">
        <f t="shared" si="142"/>
        <v>254.58690973142848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0.43850178016607416</v>
      </c>
      <c r="AA186" s="21">
        <f>EXP(-LN(2)/25)*AA185+(1-EXP(-LN(2)/25))/(LN(2)/25)*Calculateur!V186*Calculateur!X186*VLOOKUP('Données projet'!$B$9,Paramètres!$A$1:$I$89,3,0)*0.475*44/12</f>
        <v>0.16033292424314979</v>
      </c>
      <c r="AB186" s="21">
        <f>EXP(-LN(2)/2)*AB185+(1-EXP(-LN(2)/2))/(LN(2)/2)*V186*Y186*VLOOKUP('Données projet'!$B$9,Paramètres!$A$1:$I$89,3,0)*0.475*44/12</f>
        <v>1.0334690215342503E-22</v>
      </c>
      <c r="AC186" s="22">
        <f t="shared" si="163"/>
        <v>0.59883470440922393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-3.4106051316484809E-13</v>
      </c>
      <c r="AJ186" s="13">
        <f>AI186*VLOOKUP('Données projet'!$B$10,Paramètres!$A$1:$I$89,3,0)*VLOOKUP('Données projet'!$B$10,Paramètres!$A$1:$I$89,5,0)</f>
        <v>-1.9065282685915009E-13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544.48194192356823</v>
      </c>
      <c r="AO186" s="59">
        <f t="shared" si="144"/>
        <v>668.20427590250733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0.35468615392894404</v>
      </c>
      <c r="AV186" s="21">
        <f>EXP(-LN(2)/25)*AV185+(1-EXP(-LN(2)/25))/(LN(2)/25)*Calculateur!AQ186*Calculateur!AS186*VLOOKUP('Données projet'!$B$10,Paramètres!$A$1:$I$89,3,0)*0.475*44/12</f>
        <v>0.61267565481520858</v>
      </c>
      <c r="AW186" s="21">
        <f>EXP(-LN(2)/2)*AW185+(1-EXP(-LN(2)/2))/(LN(2)/2)*AQ186*AT186*VLOOKUP('Données projet'!$B$10,Paramètres!$A$1:$I$89,3,0)*0.475*44/12</f>
        <v>1.3493017408869117E-22</v>
      </c>
      <c r="AX186" s="21">
        <f t="shared" si="166"/>
        <v>0.96736180874415267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>
        <f>BD186*VLOOKUP('Données projet'!$B$11,Paramètres!$A$1:$I$89,3,0)*VLOOKUP('Données projet'!$B$11,Paramètres!$A$1:$I$89,5,0)</f>
        <v>0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405.7176439604217</v>
      </c>
      <c r="BJ186" s="59">
        <f t="shared" si="146"/>
        <v>278.21741231699929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0.35309684110276246</v>
      </c>
      <c r="BQ186" s="21">
        <f>EXP(-LN(2)/25)*BQ185+(1-EXP(-LN(2)/25))/(LN(2)/25)*Calculateur!BL186*Calculateur!BN186*VLOOKUP('Données projet'!$B$11,Paramètres!$A$1:$I$89,3,0)*0.475*44/12</f>
        <v>0.13464597096130285</v>
      </c>
      <c r="BR186" s="21">
        <f>EXP(-LN(2)/2)*BR185+(1-EXP(-LN(2)/2))/(LN(2)/2)*BL186*BO186*VLOOKUP('Données projet'!$B$11,Paramètres!$A$1:$I$89,3,0)*0.475*44/12</f>
        <v>7.9873062876746943E-23</v>
      </c>
      <c r="BS186" s="22">
        <f t="shared" si="169"/>
        <v>0.48774281206406533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259.99999999999983</v>
      </c>
      <c r="BZ186" s="13">
        <f>BY186*VLOOKUP('Données projet'!$B$12,Paramètres!$A$1:$I$89,3,0)*VLOOKUP('Données projet'!$B$12,Paramètres!$A$1:$I$89,5,0)</f>
        <v>227.13599999999985</v>
      </c>
      <c r="CA186" s="13">
        <f t="shared" si="170"/>
        <v>55.662966886685133</v>
      </c>
      <c r="CB186" s="20">
        <f t="shared" si="171"/>
        <v>492.5415339943097</v>
      </c>
      <c r="CC186" s="59">
        <f t="shared" si="119"/>
        <v>785.87486732764296</v>
      </c>
      <c r="CD186" s="59">
        <f ca="1">AVERAGE(OFFSET($CC$3,0,0,'Données projet'!$E$12+1,1))-AVERAGE(OFFSET($H$3,0,0,'Données projet'!$E$12+1,1))</f>
        <v>381.72225529388083</v>
      </c>
      <c r="CE186" s="59">
        <f t="shared" si="148"/>
        <v>360.05900046417361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0.23246492019323517</v>
      </c>
      <c r="CL186" s="21">
        <f>EXP(-LN(2)/25)*CL185+(1-EXP(-LN(2)/25))/(LN(2)/25)*Calculateur!CG186*Calculateur!CI186*VLOOKUP('Données projet'!$B$12,Paramètres!$A$1:$I$89,3,0)*0.475*44/12</f>
        <v>0.16218537467468774</v>
      </c>
      <c r="CM186" s="21">
        <f>EXP(-LN(2)/2)*CM185+(1-EXP(-LN(2)/2))/(LN(2)/2)*CG186*CJ186*VLOOKUP('Données projet'!$B$12,Paramètres!$A$1:$I$89,3,0)*0.475*44/12</f>
        <v>6.5486020489765493E-23</v>
      </c>
      <c r="CN186" s="22">
        <f t="shared" si="172"/>
        <v>0.39465029486792291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-1.7053025658242404E-13</v>
      </c>
      <c r="CU186" s="17">
        <f>CT186*VLOOKUP('Données projet'!$B$13,Paramètres!$A$1:$I$89,3,0)*VLOOKUP('Données projet'!$B$13,Paramètres!$A$1:$I$89,5,0)</f>
        <v>-1.3567387213697657E-13</v>
      </c>
      <c r="CV186" s="13" t="e">
        <f t="shared" si="173"/>
        <v>#NUM!</v>
      </c>
      <c r="CW186" s="20" t="e">
        <f t="shared" si="174"/>
        <v>#NUM!</v>
      </c>
      <c r="CX186" s="59" t="e">
        <f t="shared" si="122"/>
        <v>#NUM!</v>
      </c>
      <c r="CY186" s="59">
        <f ca="1">AVERAGE(OFFSET($CX$3,0,0,'Données projet'!$E$13+1,1))-AVERAGE(OFFSET($H$3,0,0,'Données projet'!$E$13+1,1))</f>
        <v>299.10536994156814</v>
      </c>
      <c r="CZ186" s="59">
        <f t="shared" si="150"/>
        <v>292.57799203101769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0.40686184674421122</v>
      </c>
      <c r="DG186" s="21">
        <f>EXP(-LN(2)/25)*DG185+(1-EXP(-LN(2)/25))/(LN(2)/25)*Calculateur!DB186*Calculateur!DD186*VLOOKUP('Données projet'!$B$13,Paramètres!$A$1:$I$89,3,0)*0.475*44/12</f>
        <v>0.15546501959375378</v>
      </c>
      <c r="DH186" s="21">
        <f>EXP(-LN(2)/2)*DH185+(1-EXP(-LN(2)/2))/(LN(2)/2)*DB186*DE186*VLOOKUP('Données projet'!$B$13,Paramètres!$A$1:$I$89,3,0)*0.475*44/12</f>
        <v>8.397035512609575E-23</v>
      </c>
      <c r="DI186" s="22">
        <f t="shared" si="175"/>
        <v>0.56232686633796503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2.2737367544323206E-13</v>
      </c>
      <c r="DP186" s="17">
        <f>DO186*VLOOKUP('Données projet'!$B$14,Paramètres!$A$1:$I$89,3,0)*VLOOKUP('Données projet'!$B$14,Paramètres!$A$1:$I$89,5,0)</f>
        <v>1.4897523215040565E-13</v>
      </c>
      <c r="DQ186" s="13">
        <f t="shared" si="176"/>
        <v>2.136562777003313E-12</v>
      </c>
      <c r="DR186" s="20">
        <f t="shared" si="177"/>
        <v>3.9806453659427267E-12</v>
      </c>
      <c r="DS186" s="59">
        <f t="shared" si="125"/>
        <v>293.33333333333729</v>
      </c>
      <c r="DT186" s="59">
        <f ca="1">AVERAGE(OFFSET($DS$3,0,0,'Données projet'!$E$14+1,1))-AVERAGE(OFFSET($H$3,0,0,'Données projet'!$E$14+1,1))</f>
        <v>295.92103934364718</v>
      </c>
      <c r="DU186" s="59">
        <f t="shared" si="152"/>
        <v>304.84379909635476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0.21549542552563766</v>
      </c>
      <c r="EB186" s="21">
        <f>EXP(-LN(2)/25)*EB185+(1-EXP(-LN(2)/25))/(LN(2)/25)*Calculateur!DW186*Calculateur!DY186*VLOOKUP('Données projet'!$B$14,Paramètres!$A$1:$I$89,3,0)*0.475*44/12</f>
        <v>0.10283314355523168</v>
      </c>
      <c r="EC186" s="21">
        <f>EXP(-LN(2)/2)*EC185+(1-EXP(-LN(2)/2))/(LN(2)/2)*DW186*DZ186*VLOOKUP('Données projet'!$B$14,Paramètres!$A$1:$I$89,3,0)*0.475*44/12</f>
        <v>5.3855382446296541E-23</v>
      </c>
      <c r="ED186" s="22">
        <f t="shared" si="178"/>
        <v>0.31832856908086937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-1.1368683772161603E-13</v>
      </c>
      <c r="O187" s="13">
        <f>N187*VLOOKUP('Données projet'!$B$9,Paramètres!$A$1:$I$89,3,0)*VLOOKUP('Données projet'!$B$9,Paramètres!$A$1:$I$89,5,0)</f>
        <v>-5.3205440053716299E-14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319.22903094674564</v>
      </c>
      <c r="T187" s="59">
        <f t="shared" si="142"/>
        <v>254.58690973142848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0.42990302771669392</v>
      </c>
      <c r="AA187" s="21">
        <f>EXP(-LN(2)/25)*AA186+(1-EXP(-LN(2)/25))/(LN(2)/25)*Calculateur!V187*Calculateur!X187*VLOOKUP('Données projet'!$B$9,Paramètres!$A$1:$I$89,3,0)*0.475*44/12</f>
        <v>0.15594861199817883</v>
      </c>
      <c r="AB187" s="21">
        <f>EXP(-LN(2)/2)*AB186+(1-EXP(-LN(2)/2))/(LN(2)/2)*V187*Y187*VLOOKUP('Données projet'!$B$9,Paramètres!$A$1:$I$89,3,0)*0.475*44/12</f>
        <v>7.307729532730945E-23</v>
      </c>
      <c r="AC187" s="22">
        <f t="shared" si="163"/>
        <v>0.58585163971487275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-3.4106051316484809E-13</v>
      </c>
      <c r="AJ187" s="13">
        <f>AI187*VLOOKUP('Données projet'!$B$10,Paramètres!$A$1:$I$89,3,0)*VLOOKUP('Données projet'!$B$10,Paramètres!$A$1:$I$89,5,0)</f>
        <v>-1.9065282685915009E-13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544.48194192356823</v>
      </c>
      <c r="AO187" s="59">
        <f t="shared" si="144"/>
        <v>668.20427590250733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0.3477309747875898</v>
      </c>
      <c r="AV187" s="21">
        <f>EXP(-LN(2)/25)*AV186+(1-EXP(-LN(2)/25))/(LN(2)/25)*Calculateur!AQ187*Calculateur!AS187*VLOOKUP('Données projet'!$B$10,Paramètres!$A$1:$I$89,3,0)*0.475*44/12</f>
        <v>0.59592200681507435</v>
      </c>
      <c r="AW187" s="21">
        <f>EXP(-LN(2)/2)*AW186+(1-EXP(-LN(2)/2))/(LN(2)/2)*AQ187*AT187*VLOOKUP('Données projet'!$B$10,Paramètres!$A$1:$I$89,3,0)*0.475*44/12</f>
        <v>9.5410041084794912E-23</v>
      </c>
      <c r="AX187" s="21">
        <f t="shared" si="166"/>
        <v>0.9436529816026642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>
        <f>BD187*VLOOKUP('Données projet'!$B$11,Paramètres!$A$1:$I$89,3,0)*VLOOKUP('Données projet'!$B$11,Paramètres!$A$1:$I$89,5,0)</f>
        <v>0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405.7176439604217</v>
      </c>
      <c r="BJ187" s="59">
        <f t="shared" si="146"/>
        <v>278.21741231699929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0.34617282741654454</v>
      </c>
      <c r="BQ187" s="21">
        <f>EXP(-LN(2)/25)*BQ186+(1-EXP(-LN(2)/25))/(LN(2)/25)*Calculateur!BL187*Calculateur!BN187*VLOOKUP('Données projet'!$B$11,Paramètres!$A$1:$I$89,3,0)*0.475*44/12</f>
        <v>0.13096406980464215</v>
      </c>
      <c r="BR187" s="21">
        <f>EXP(-LN(2)/2)*BR186+(1-EXP(-LN(2)/2))/(LN(2)/2)*BL187*BO187*VLOOKUP('Données projet'!$B$11,Paramètres!$A$1:$I$89,3,0)*0.475*44/12</f>
        <v>5.6478784394287252E-23</v>
      </c>
      <c r="BS187" s="22">
        <f t="shared" si="169"/>
        <v>0.47713689722118668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259.99999999999983</v>
      </c>
      <c r="BZ187" s="13">
        <f>BY187*VLOOKUP('Données projet'!$B$12,Paramètres!$A$1:$I$89,3,0)*VLOOKUP('Données projet'!$B$12,Paramètres!$A$1:$I$89,5,0)</f>
        <v>227.13599999999985</v>
      </c>
      <c r="CA187" s="13">
        <f t="shared" si="170"/>
        <v>55.662966886685133</v>
      </c>
      <c r="CB187" s="20">
        <f t="shared" si="171"/>
        <v>492.5415339943097</v>
      </c>
      <c r="CC187" s="59">
        <f t="shared" si="119"/>
        <v>785.87486732764296</v>
      </c>
      <c r="CD187" s="59">
        <f ca="1">AVERAGE(OFFSET($CC$3,0,0,'Données projet'!$E$12+1,1))-AVERAGE(OFFSET($H$3,0,0,'Données projet'!$E$12+1,1))</f>
        <v>381.72225529388083</v>
      </c>
      <c r="CE187" s="59">
        <f t="shared" si="148"/>
        <v>360.05900046417361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0.2279064248978466</v>
      </c>
      <c r="CL187" s="21">
        <f>EXP(-LN(2)/25)*CL186+(1-EXP(-LN(2)/25))/(LN(2)/25)*Calculateur!CG187*Calculateur!CI187*VLOOKUP('Données projet'!$B$12,Paramètres!$A$1:$I$89,3,0)*0.475*44/12</f>
        <v>0.15775040707525023</v>
      </c>
      <c r="CM187" s="21">
        <f>EXP(-LN(2)/2)*CM186+(1-EXP(-LN(2)/2))/(LN(2)/2)*CG187*CJ187*VLOOKUP('Données projet'!$B$12,Paramètres!$A$1:$I$89,3,0)*0.475*44/12</f>
        <v>4.6305609161234377E-23</v>
      </c>
      <c r="CN187" s="22">
        <f t="shared" si="172"/>
        <v>0.38565683197309686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-1.7053025658242404E-13</v>
      </c>
      <c r="CU187" s="17">
        <f>CT187*VLOOKUP('Données projet'!$B$13,Paramètres!$A$1:$I$89,3,0)*VLOOKUP('Données projet'!$B$13,Paramètres!$A$1:$I$89,5,0)</f>
        <v>-1.3567387213697657E-13</v>
      </c>
      <c r="CV187" s="13" t="e">
        <f t="shared" si="173"/>
        <v>#NUM!</v>
      </c>
      <c r="CW187" s="20" t="e">
        <f t="shared" si="174"/>
        <v>#NUM!</v>
      </c>
      <c r="CX187" s="59" t="e">
        <f t="shared" si="122"/>
        <v>#NUM!</v>
      </c>
      <c r="CY187" s="59">
        <f ca="1">AVERAGE(OFFSET($CX$3,0,0,'Données projet'!$E$13+1,1))-AVERAGE(OFFSET($H$3,0,0,'Données projet'!$E$13+1,1))</f>
        <v>299.10536994156814</v>
      </c>
      <c r="CZ187" s="59">
        <f t="shared" si="150"/>
        <v>292.57799203101769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0.39888353409077987</v>
      </c>
      <c r="DG187" s="21">
        <f>EXP(-LN(2)/25)*DG186+(1-EXP(-LN(2)/25))/(LN(2)/25)*Calculateur!DB187*Calculateur!DD187*VLOOKUP('Données projet'!$B$13,Paramètres!$A$1:$I$89,3,0)*0.475*44/12</f>
        <v>0.15121382045741252</v>
      </c>
      <c r="DH187" s="21">
        <f>EXP(-LN(2)/2)*DH186+(1-EXP(-LN(2)/2))/(LN(2)/2)*DB187*DE187*VLOOKUP('Données projet'!$B$13,Paramètres!$A$1:$I$89,3,0)*0.475*44/12</f>
        <v>5.9376007528304875E-23</v>
      </c>
      <c r="DI187" s="22">
        <f t="shared" si="175"/>
        <v>0.55009735454819242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2.2737367544323206E-13</v>
      </c>
      <c r="DP187" s="17">
        <f>DO187*VLOOKUP('Données projet'!$B$14,Paramètres!$A$1:$I$89,3,0)*VLOOKUP('Données projet'!$B$14,Paramètres!$A$1:$I$89,5,0)</f>
        <v>1.4897523215040565E-13</v>
      </c>
      <c r="DQ187" s="13">
        <f t="shared" si="176"/>
        <v>2.136562777003313E-12</v>
      </c>
      <c r="DR187" s="20">
        <f t="shared" si="177"/>
        <v>3.9806453659427267E-12</v>
      </c>
      <c r="DS187" s="59">
        <f t="shared" si="125"/>
        <v>293.33333333333729</v>
      </c>
      <c r="DT187" s="59">
        <f ca="1">AVERAGE(OFFSET($DS$3,0,0,'Données projet'!$E$14+1,1))-AVERAGE(OFFSET($H$3,0,0,'Données projet'!$E$14+1,1))</f>
        <v>295.92103934364718</v>
      </c>
      <c r="DU187" s="59">
        <f t="shared" si="152"/>
        <v>304.84379909635476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0.21126969167031093</v>
      </c>
      <c r="EB187" s="21">
        <f>EXP(-LN(2)/25)*EB186+(1-EXP(-LN(2)/25))/(LN(2)/25)*Calculateur!DW187*Calculateur!DY187*VLOOKUP('Données projet'!$B$14,Paramètres!$A$1:$I$89,3,0)*0.475*44/12</f>
        <v>0.10002116583695388</v>
      </c>
      <c r="EC187" s="21">
        <f>EXP(-LN(2)/2)*EC186+(1-EXP(-LN(2)/2))/(LN(2)/2)*DW187*DZ187*VLOOKUP('Données projet'!$B$14,Paramètres!$A$1:$I$89,3,0)*0.475*44/12</f>
        <v>3.8081506131171241E-23</v>
      </c>
      <c r="ED187" s="22">
        <f t="shared" si="178"/>
        <v>0.31129085750726482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-1.1368683772161603E-13</v>
      </c>
      <c r="O188" s="13">
        <f>N188*VLOOKUP('Données projet'!$B$9,Paramètres!$A$1:$I$89,3,0)*VLOOKUP('Données projet'!$B$9,Paramètres!$A$1:$I$89,5,0)</f>
        <v>-5.3205440053716299E-14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319.22903094674564</v>
      </c>
      <c r="T188" s="59">
        <f t="shared" si="142"/>
        <v>254.58690973142848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0.4214728915581249</v>
      </c>
      <c r="AA188" s="21">
        <f>EXP(-LN(2)/25)*AA187+(1-EXP(-LN(2)/25))/(LN(2)/25)*Calculateur!V188*Calculateur!X188*VLOOKUP('Données projet'!$B$9,Paramètres!$A$1:$I$89,3,0)*0.475*44/12</f>
        <v>0.15168418900210756</v>
      </c>
      <c r="AB188" s="21">
        <f>EXP(-LN(2)/2)*AB187+(1-EXP(-LN(2)/2))/(LN(2)/2)*V188*Y188*VLOOKUP('Données projet'!$B$9,Paramètres!$A$1:$I$89,3,0)*0.475*44/12</f>
        <v>5.1673451076712519E-23</v>
      </c>
      <c r="AC188" s="22">
        <f t="shared" si="163"/>
        <v>0.5731570805602324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-3.4106051316484809E-13</v>
      </c>
      <c r="AJ188" s="13">
        <f>AI188*VLOOKUP('Données projet'!$B$10,Paramètres!$A$1:$I$89,3,0)*VLOOKUP('Données projet'!$B$10,Paramètres!$A$1:$I$89,5,0)</f>
        <v>-1.9065282685915009E-13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544.48194192356823</v>
      </c>
      <c r="AO188" s="59">
        <f t="shared" si="144"/>
        <v>668.20427590250733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0.34091218246695715</v>
      </c>
      <c r="AV188" s="21">
        <f>EXP(-LN(2)/25)*AV187+(1-EXP(-LN(2)/25))/(LN(2)/25)*Calculateur!AQ188*Calculateur!AS188*VLOOKUP('Données projet'!$B$10,Paramètres!$A$1:$I$89,3,0)*0.475*44/12</f>
        <v>0.57962648820053975</v>
      </c>
      <c r="AW188" s="21">
        <f>EXP(-LN(2)/2)*AW187+(1-EXP(-LN(2)/2))/(LN(2)/2)*AQ188*AT188*VLOOKUP('Données projet'!$B$10,Paramètres!$A$1:$I$89,3,0)*0.475*44/12</f>
        <v>6.7465087044345584E-23</v>
      </c>
      <c r="AX188" s="21">
        <f t="shared" si="166"/>
        <v>0.92053867066749695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>
        <f>BD188*VLOOKUP('Données projet'!$B$11,Paramètres!$A$1:$I$89,3,0)*VLOOKUP('Données projet'!$B$11,Paramètres!$A$1:$I$89,5,0)</f>
        <v>0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405.7176439604217</v>
      </c>
      <c r="BJ188" s="59">
        <f t="shared" si="146"/>
        <v>278.21741231699929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0.33938458941548205</v>
      </c>
      <c r="BQ188" s="21">
        <f>EXP(-LN(2)/25)*BQ187+(1-EXP(-LN(2)/25))/(LN(2)/25)*Calculateur!BL188*Calculateur!BN188*VLOOKUP('Données projet'!$B$11,Paramètres!$A$1:$I$89,3,0)*0.475*44/12</f>
        <v>0.1273828504287331</v>
      </c>
      <c r="BR188" s="21">
        <f>EXP(-LN(2)/2)*BR187+(1-EXP(-LN(2)/2))/(LN(2)/2)*BL188*BO188*VLOOKUP('Données projet'!$B$11,Paramètres!$A$1:$I$89,3,0)*0.475*44/12</f>
        <v>3.9936531438373472E-23</v>
      </c>
      <c r="BS188" s="22">
        <f t="shared" si="169"/>
        <v>0.46676743984421515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259.99999999999983</v>
      </c>
      <c r="BZ188" s="13">
        <f>BY188*VLOOKUP('Données projet'!$B$12,Paramètres!$A$1:$I$89,3,0)*VLOOKUP('Données projet'!$B$12,Paramètres!$A$1:$I$89,5,0)</f>
        <v>227.13599999999985</v>
      </c>
      <c r="CA188" s="13">
        <f t="shared" si="170"/>
        <v>55.662966886685133</v>
      </c>
      <c r="CB188" s="20">
        <f t="shared" si="171"/>
        <v>492.5415339943097</v>
      </c>
      <c r="CC188" s="59">
        <f t="shared" si="119"/>
        <v>785.87486732764296</v>
      </c>
      <c r="CD188" s="59">
        <f ca="1">AVERAGE(OFFSET($CC$3,0,0,'Données projet'!$E$12+1,1))-AVERAGE(OFFSET($H$3,0,0,'Données projet'!$E$12+1,1))</f>
        <v>381.72225529388083</v>
      </c>
      <c r="CE188" s="59">
        <f t="shared" si="148"/>
        <v>360.05900046417361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0.22343731891479299</v>
      </c>
      <c r="CL188" s="21">
        <f>EXP(-LN(2)/25)*CL187+(1-EXP(-LN(2)/25))/(LN(2)/25)*Calculateur!CG188*Calculateur!CI188*VLOOKUP('Données projet'!$B$12,Paramètres!$A$1:$I$89,3,0)*0.475*44/12</f>
        <v>0.15343671389804414</v>
      </c>
      <c r="CM188" s="21">
        <f>EXP(-LN(2)/2)*CM187+(1-EXP(-LN(2)/2))/(LN(2)/2)*CG188*CJ188*VLOOKUP('Données projet'!$B$12,Paramètres!$A$1:$I$89,3,0)*0.475*44/12</f>
        <v>3.2743010244882747E-23</v>
      </c>
      <c r="CN188" s="22">
        <f t="shared" si="172"/>
        <v>0.37687403281283716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-1.7053025658242404E-13</v>
      </c>
      <c r="CU188" s="17">
        <f>CT188*VLOOKUP('Données projet'!$B$13,Paramètres!$A$1:$I$89,3,0)*VLOOKUP('Données projet'!$B$13,Paramètres!$A$1:$I$89,5,0)</f>
        <v>-1.3567387213697657E-13</v>
      </c>
      <c r="CV188" s="13" t="e">
        <f t="shared" si="173"/>
        <v>#NUM!</v>
      </c>
      <c r="CW188" s="20" t="e">
        <f t="shared" si="174"/>
        <v>#NUM!</v>
      </c>
      <c r="CX188" s="59" t="e">
        <f t="shared" si="122"/>
        <v>#NUM!</v>
      </c>
      <c r="CY188" s="59">
        <f ca="1">AVERAGE(OFFSET($CX$3,0,0,'Données projet'!$E$13+1,1))-AVERAGE(OFFSET($H$3,0,0,'Données projet'!$E$13+1,1))</f>
        <v>299.10536994156814</v>
      </c>
      <c r="CZ188" s="59">
        <f t="shared" si="150"/>
        <v>292.57799203101769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0.3910616712821921</v>
      </c>
      <c r="DG188" s="21">
        <f>EXP(-LN(2)/25)*DG187+(1-EXP(-LN(2)/25))/(LN(2)/25)*Calculateur!DB188*Calculateur!DD188*VLOOKUP('Données projet'!$B$13,Paramètres!$A$1:$I$89,3,0)*0.475*44/12</f>
        <v>0.14707887058501537</v>
      </c>
      <c r="DH188" s="21">
        <f>EXP(-LN(2)/2)*DH187+(1-EXP(-LN(2)/2))/(LN(2)/2)*DB188*DE188*VLOOKUP('Données projet'!$B$13,Paramètres!$A$1:$I$89,3,0)*0.475*44/12</f>
        <v>4.1985177563047875E-23</v>
      </c>
      <c r="DI188" s="22">
        <f t="shared" si="175"/>
        <v>0.5381405418672075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2.2737367544323206E-13</v>
      </c>
      <c r="DP188" s="17">
        <f>DO188*VLOOKUP('Données projet'!$B$14,Paramètres!$A$1:$I$89,3,0)*VLOOKUP('Données projet'!$B$14,Paramètres!$A$1:$I$89,5,0)</f>
        <v>1.4897523215040565E-13</v>
      </c>
      <c r="DQ188" s="13">
        <f t="shared" si="176"/>
        <v>2.136562777003313E-12</v>
      </c>
      <c r="DR188" s="20">
        <f t="shared" si="177"/>
        <v>3.9806453659427267E-12</v>
      </c>
      <c r="DS188" s="59">
        <f t="shared" si="125"/>
        <v>293.33333333333729</v>
      </c>
      <c r="DT188" s="59">
        <f ca="1">AVERAGE(OFFSET($DS$3,0,0,'Données projet'!$E$14+1,1))-AVERAGE(OFFSET($H$3,0,0,'Données projet'!$E$14+1,1))</f>
        <v>295.92103934364718</v>
      </c>
      <c r="DU188" s="59">
        <f t="shared" si="152"/>
        <v>304.84379909635476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0.207126821878444</v>
      </c>
      <c r="EB188" s="21">
        <f>EXP(-LN(2)/25)*EB187+(1-EXP(-LN(2)/25))/(LN(2)/25)*Calculateur!DW188*Calculateur!DY188*VLOOKUP('Données projet'!$B$14,Paramètres!$A$1:$I$89,3,0)*0.475*44/12</f>
        <v>9.7286081797257867E-2</v>
      </c>
      <c r="EC188" s="21">
        <f>EXP(-LN(2)/2)*EC187+(1-EXP(-LN(2)/2))/(LN(2)/2)*DW188*DZ188*VLOOKUP('Données projet'!$B$14,Paramètres!$A$1:$I$89,3,0)*0.475*44/12</f>
        <v>2.692769122314827E-23</v>
      </c>
      <c r="ED188" s="22">
        <f t="shared" si="178"/>
        <v>0.30441290367570184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-1.1368683772161603E-13</v>
      </c>
      <c r="O189" s="13">
        <f>N189*VLOOKUP('Données projet'!$B$9,Paramètres!$A$1:$I$89,3,0)*VLOOKUP('Données projet'!$B$9,Paramètres!$A$1:$I$89,5,0)</f>
        <v>-5.3205440053716299E-14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319.22903094674564</v>
      </c>
      <c r="T189" s="59">
        <f t="shared" si="142"/>
        <v>254.58690973142848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0.41320806522775005</v>
      </c>
      <c r="AA189" s="21">
        <f>EXP(-LN(2)/25)*AA188+(1-EXP(-LN(2)/25))/(LN(2)/25)*Calculateur!V189*Calculateur!X189*VLOOKUP('Données projet'!$B$9,Paramètres!$A$1:$I$89,3,0)*0.475*44/12</f>
        <v>0.1475363768771201</v>
      </c>
      <c r="AB189" s="21">
        <f>EXP(-LN(2)/2)*AB188+(1-EXP(-LN(2)/2))/(LN(2)/2)*V189*Y189*VLOOKUP('Données projet'!$B$9,Paramètres!$A$1:$I$89,3,0)*0.475*44/12</f>
        <v>3.6538647663654731E-23</v>
      </c>
      <c r="AC189" s="22">
        <f t="shared" si="163"/>
        <v>0.56074444210487018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-3.4106051316484809E-13</v>
      </c>
      <c r="AJ189" s="13">
        <f>AI189*VLOOKUP('Données projet'!$B$10,Paramètres!$A$1:$I$89,3,0)*VLOOKUP('Données projet'!$B$10,Paramètres!$A$1:$I$89,5,0)</f>
        <v>-1.9065282685915009E-13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544.48194192356823</v>
      </c>
      <c r="AO189" s="59">
        <f t="shared" si="144"/>
        <v>668.20427590250733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0.33422710250467946</v>
      </c>
      <c r="AV189" s="21">
        <f>EXP(-LN(2)/25)*AV188+(1-EXP(-LN(2)/25))/(LN(2)/25)*Calculateur!AQ189*Calculateur!AS189*VLOOKUP('Données projet'!$B$10,Paramètres!$A$1:$I$89,3,0)*0.475*44/12</f>
        <v>0.56377657139946369</v>
      </c>
      <c r="AW189" s="21">
        <f>EXP(-LN(2)/2)*AW188+(1-EXP(-LN(2)/2))/(LN(2)/2)*AQ189*AT189*VLOOKUP('Données projet'!$B$10,Paramètres!$A$1:$I$89,3,0)*0.475*44/12</f>
        <v>4.7705020542397456E-23</v>
      </c>
      <c r="AX189" s="21">
        <f t="shared" si="166"/>
        <v>0.89800367390414315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>
        <f>BD189*VLOOKUP('Données projet'!$B$11,Paramètres!$A$1:$I$89,3,0)*VLOOKUP('Données projet'!$B$11,Paramètres!$A$1:$I$89,5,0)</f>
        <v>0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405.7176439604217</v>
      </c>
      <c r="BJ189" s="59">
        <f t="shared" si="146"/>
        <v>278.21741231699929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0.33272946462120401</v>
      </c>
      <c r="BQ189" s="21">
        <f>EXP(-LN(2)/25)*BQ188+(1-EXP(-LN(2)/25))/(LN(2)/25)*Calculateur!BL189*Calculateur!BN189*VLOOKUP('Données projet'!$B$11,Paramètres!$A$1:$I$89,3,0)*0.475*44/12</f>
        <v>0.12389955968498642</v>
      </c>
      <c r="BR189" s="21">
        <f>EXP(-LN(2)/2)*BR188+(1-EXP(-LN(2)/2))/(LN(2)/2)*BL189*BO189*VLOOKUP('Données projet'!$B$11,Paramètres!$A$1:$I$89,3,0)*0.475*44/12</f>
        <v>2.8239392197143626E-23</v>
      </c>
      <c r="BS189" s="22">
        <f t="shared" si="169"/>
        <v>0.45662902430619046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259.99999999999983</v>
      </c>
      <c r="BZ189" s="13">
        <f>BY189*VLOOKUP('Données projet'!$B$12,Paramètres!$A$1:$I$89,3,0)*VLOOKUP('Données projet'!$B$12,Paramètres!$A$1:$I$89,5,0)</f>
        <v>227.13599999999985</v>
      </c>
      <c r="CA189" s="13">
        <f t="shared" si="170"/>
        <v>55.662966886685133</v>
      </c>
      <c r="CB189" s="20">
        <f t="shared" si="171"/>
        <v>492.5415339943097</v>
      </c>
      <c r="CC189" s="59">
        <f t="shared" si="119"/>
        <v>785.87486732764296</v>
      </c>
      <c r="CD189" s="59">
        <f ca="1">AVERAGE(OFFSET($CC$3,0,0,'Données projet'!$E$12+1,1))-AVERAGE(OFFSET($H$3,0,0,'Données projet'!$E$12+1,1))</f>
        <v>381.72225529388083</v>
      </c>
      <c r="CE189" s="59">
        <f t="shared" si="148"/>
        <v>360.05900046417361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0.21905584937418157</v>
      </c>
      <c r="CL189" s="21">
        <f>EXP(-LN(2)/25)*CL188+(1-EXP(-LN(2)/25))/(LN(2)/25)*Calculateur!CG189*Calculateur!CI189*VLOOKUP('Données projet'!$B$12,Paramètres!$A$1:$I$89,3,0)*0.475*44/12</f>
        <v>0.14924097888761603</v>
      </c>
      <c r="CM189" s="21">
        <f>EXP(-LN(2)/2)*CM188+(1-EXP(-LN(2)/2))/(LN(2)/2)*CG189*CJ189*VLOOKUP('Données projet'!$B$12,Paramètres!$A$1:$I$89,3,0)*0.475*44/12</f>
        <v>2.3152804580617189E-23</v>
      </c>
      <c r="CN189" s="22">
        <f t="shared" si="172"/>
        <v>0.3682968282617976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-1.7053025658242404E-13</v>
      </c>
      <c r="CU189" s="17">
        <f>CT189*VLOOKUP('Données projet'!$B$13,Paramètres!$A$1:$I$89,3,0)*VLOOKUP('Données projet'!$B$13,Paramètres!$A$1:$I$89,5,0)</f>
        <v>-1.3567387213697657E-13</v>
      </c>
      <c r="CV189" s="13" t="e">
        <f t="shared" si="173"/>
        <v>#NUM!</v>
      </c>
      <c r="CW189" s="20" t="e">
        <f t="shared" si="174"/>
        <v>#NUM!</v>
      </c>
      <c r="CX189" s="59" t="e">
        <f t="shared" si="122"/>
        <v>#NUM!</v>
      </c>
      <c r="CY189" s="59">
        <f ca="1">AVERAGE(OFFSET($CX$3,0,0,'Données projet'!$E$13+1,1))-AVERAGE(OFFSET($H$3,0,0,'Données projet'!$E$13+1,1))</f>
        <v>299.10536994156814</v>
      </c>
      <c r="CZ189" s="59">
        <f t="shared" si="150"/>
        <v>292.57799203101769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0.38339319043241549</v>
      </c>
      <c r="DG189" s="21">
        <f>EXP(-LN(2)/25)*DG188+(1-EXP(-LN(2)/25))/(LN(2)/25)*Calculateur!DB189*Calculateur!DD189*VLOOKUP('Données projet'!$B$13,Paramètres!$A$1:$I$89,3,0)*0.475*44/12</f>
        <v>0.14305699113432646</v>
      </c>
      <c r="DH189" s="21">
        <f>EXP(-LN(2)/2)*DH188+(1-EXP(-LN(2)/2))/(LN(2)/2)*DB189*DE189*VLOOKUP('Données projet'!$B$13,Paramètres!$A$1:$I$89,3,0)*0.475*44/12</f>
        <v>2.9688003764152438E-23</v>
      </c>
      <c r="DI189" s="22">
        <f t="shared" si="175"/>
        <v>0.52645018156674195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2.2737367544323206E-13</v>
      </c>
      <c r="DP189" s="17">
        <f>DO189*VLOOKUP('Données projet'!$B$14,Paramètres!$A$1:$I$89,3,0)*VLOOKUP('Données projet'!$B$14,Paramètres!$A$1:$I$89,5,0)</f>
        <v>1.4897523215040565E-13</v>
      </c>
      <c r="DQ189" s="13">
        <f t="shared" si="176"/>
        <v>2.136562777003313E-12</v>
      </c>
      <c r="DR189" s="20">
        <f t="shared" si="177"/>
        <v>3.9806453659427267E-12</v>
      </c>
      <c r="DS189" s="59">
        <f t="shared" si="125"/>
        <v>293.33333333333729</v>
      </c>
      <c r="DT189" s="59">
        <f ca="1">AVERAGE(OFFSET($DS$3,0,0,'Données projet'!$E$14+1,1))-AVERAGE(OFFSET($H$3,0,0,'Données projet'!$E$14+1,1))</f>
        <v>295.92103934364718</v>
      </c>
      <c r="DU189" s="59">
        <f t="shared" si="152"/>
        <v>304.84379909635476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0.20306519123629452</v>
      </c>
      <c r="EB189" s="21">
        <f>EXP(-LN(2)/25)*EB188+(1-EXP(-LN(2)/25))/(LN(2)/25)*Calculateur!DW189*Calculateur!DY189*VLOOKUP('Données projet'!$B$14,Paramètres!$A$1:$I$89,3,0)*0.475*44/12</f>
        <v>9.4625788774459166E-2</v>
      </c>
      <c r="EC189" s="21">
        <f>EXP(-LN(2)/2)*EC188+(1-EXP(-LN(2)/2))/(LN(2)/2)*DW189*DZ189*VLOOKUP('Données projet'!$B$14,Paramètres!$A$1:$I$89,3,0)*0.475*44/12</f>
        <v>1.9040753065585621E-23</v>
      </c>
      <c r="ED189" s="22">
        <f t="shared" si="178"/>
        <v>0.29769098001075367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-1.1368683772161603E-13</v>
      </c>
      <c r="O190" s="13">
        <f>N190*VLOOKUP('Données projet'!$B$9,Paramètres!$A$1:$I$89,3,0)*VLOOKUP('Données projet'!$B$9,Paramètres!$A$1:$I$89,5,0)</f>
        <v>-5.3205440053716299E-14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319.22903094674564</v>
      </c>
      <c r="T190" s="59">
        <f t="shared" si="142"/>
        <v>254.58690973142848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0.40510530710066756</v>
      </c>
      <c r="AA190" s="21">
        <f>EXP(-LN(2)/25)*AA189+(1-EXP(-LN(2)/25))/(LN(2)/25)*Calculateur!V190*Calculateur!X190*VLOOKUP('Données projet'!$B$9,Paramètres!$A$1:$I$89,3,0)*0.475*44/12</f>
        <v>0.14350198689281438</v>
      </c>
      <c r="AB190" s="21">
        <f>EXP(-LN(2)/2)*AB189+(1-EXP(-LN(2)/2))/(LN(2)/2)*V190*Y190*VLOOKUP('Données projet'!$B$9,Paramètres!$A$1:$I$89,3,0)*0.475*44/12</f>
        <v>2.5836725538356262E-23</v>
      </c>
      <c r="AC190" s="22">
        <f t="shared" si="163"/>
        <v>0.54860729399348196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-3.4106051316484809E-13</v>
      </c>
      <c r="AJ190" s="13">
        <f>AI190*VLOOKUP('Données projet'!$B$10,Paramètres!$A$1:$I$89,3,0)*VLOOKUP('Données projet'!$B$10,Paramètres!$A$1:$I$89,5,0)</f>
        <v>-1.9065282685915009E-13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544.48194192356823</v>
      </c>
      <c r="AO190" s="59">
        <f t="shared" si="144"/>
        <v>668.20427590250733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0.32767311288296586</v>
      </c>
      <c r="AV190" s="21">
        <f>EXP(-LN(2)/25)*AV189+(1-EXP(-LN(2)/25))/(LN(2)/25)*Calculateur!AQ190*Calculateur!AS190*VLOOKUP('Données projet'!$B$10,Paramètres!$A$1:$I$89,3,0)*0.475*44/12</f>
        <v>0.54836007140682397</v>
      </c>
      <c r="AW190" s="21">
        <f>EXP(-LN(2)/2)*AW189+(1-EXP(-LN(2)/2))/(LN(2)/2)*AQ190*AT190*VLOOKUP('Données projet'!$B$10,Paramètres!$A$1:$I$89,3,0)*0.475*44/12</f>
        <v>3.3732543522172792E-23</v>
      </c>
      <c r="AX190" s="21">
        <f t="shared" si="166"/>
        <v>0.87603318428978982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>
        <f>BD190*VLOOKUP('Données projet'!$B$11,Paramètres!$A$1:$I$89,3,0)*VLOOKUP('Données projet'!$B$11,Paramètres!$A$1:$I$89,5,0)</f>
        <v>0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405.7176439604217</v>
      </c>
      <c r="BJ190" s="59">
        <f t="shared" si="146"/>
        <v>278.21741231699929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0.32620484276491646</v>
      </c>
      <c r="BQ190" s="21">
        <f>EXP(-LN(2)/25)*BQ189+(1-EXP(-LN(2)/25))/(LN(2)/25)*Calculateur!BL190*Calculateur!BN190*VLOOKUP('Données projet'!$B$11,Paramètres!$A$1:$I$89,3,0)*0.475*44/12</f>
        <v>0.12051151970980579</v>
      </c>
      <c r="BR190" s="21">
        <f>EXP(-LN(2)/2)*BR189+(1-EXP(-LN(2)/2))/(LN(2)/2)*BL190*BO190*VLOOKUP('Données projet'!$B$11,Paramètres!$A$1:$I$89,3,0)*0.475*44/12</f>
        <v>1.9968265719186736E-23</v>
      </c>
      <c r="BS190" s="22">
        <f t="shared" si="169"/>
        <v>0.44671636247472224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259.99999999999983</v>
      </c>
      <c r="BZ190" s="13">
        <f>BY190*VLOOKUP('Données projet'!$B$12,Paramètres!$A$1:$I$89,3,0)*VLOOKUP('Données projet'!$B$12,Paramètres!$A$1:$I$89,5,0)</f>
        <v>227.13599999999985</v>
      </c>
      <c r="CA190" s="13">
        <f t="shared" si="170"/>
        <v>55.662966886685133</v>
      </c>
      <c r="CB190" s="20">
        <f t="shared" si="171"/>
        <v>492.5415339943097</v>
      </c>
      <c r="CC190" s="59">
        <f t="shared" si="119"/>
        <v>785.87486732764296</v>
      </c>
      <c r="CD190" s="59">
        <f ca="1">AVERAGE(OFFSET($CC$3,0,0,'Données projet'!$E$12+1,1))-AVERAGE(OFFSET($H$3,0,0,'Données projet'!$E$12+1,1))</f>
        <v>381.72225529388083</v>
      </c>
      <c r="CE190" s="59">
        <f t="shared" si="148"/>
        <v>360.05900046417361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0.21476029777882902</v>
      </c>
      <c r="CL190" s="21">
        <f>EXP(-LN(2)/25)*CL189+(1-EXP(-LN(2)/25))/(LN(2)/25)*Calculateur!CG190*Calculateur!CI190*VLOOKUP('Données projet'!$B$12,Paramètres!$A$1:$I$89,3,0)*0.475*44/12</f>
        <v>0.14515997647169218</v>
      </c>
      <c r="CM190" s="21">
        <f>EXP(-LN(2)/2)*CM189+(1-EXP(-LN(2)/2))/(LN(2)/2)*CG190*CJ190*VLOOKUP('Données projet'!$B$12,Paramètres!$A$1:$I$89,3,0)*0.475*44/12</f>
        <v>1.6371505122441373E-23</v>
      </c>
      <c r="CN190" s="22">
        <f t="shared" si="172"/>
        <v>0.3599202742505212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-1.7053025658242404E-13</v>
      </c>
      <c r="CU190" s="17">
        <f>CT190*VLOOKUP('Données projet'!$B$13,Paramètres!$A$1:$I$89,3,0)*VLOOKUP('Données projet'!$B$13,Paramètres!$A$1:$I$89,5,0)</f>
        <v>-1.3567387213697657E-13</v>
      </c>
      <c r="CV190" s="13" t="e">
        <f t="shared" si="173"/>
        <v>#NUM!</v>
      </c>
      <c r="CW190" s="20" t="e">
        <f t="shared" si="174"/>
        <v>#NUM!</v>
      </c>
      <c r="CX190" s="59" t="e">
        <f t="shared" si="122"/>
        <v>#NUM!</v>
      </c>
      <c r="CY190" s="59">
        <f ca="1">AVERAGE(OFFSET($CX$3,0,0,'Données projet'!$E$13+1,1))-AVERAGE(OFFSET($H$3,0,0,'Données projet'!$E$13+1,1))</f>
        <v>299.10536994156814</v>
      </c>
      <c r="CZ190" s="59">
        <f t="shared" si="150"/>
        <v>292.57799203101769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0.37587508381479151</v>
      </c>
      <c r="DG190" s="21">
        <f>EXP(-LN(2)/25)*DG189+(1-EXP(-LN(2)/25))/(LN(2)/25)*Calculateur!DB190*Calculateur!DD190*VLOOKUP('Données projet'!$B$13,Paramètres!$A$1:$I$89,3,0)*0.475*44/12</f>
        <v>0.1391450901887181</v>
      </c>
      <c r="DH190" s="21">
        <f>EXP(-LN(2)/2)*DH189+(1-EXP(-LN(2)/2))/(LN(2)/2)*DB190*DE190*VLOOKUP('Données projet'!$B$13,Paramètres!$A$1:$I$89,3,0)*0.475*44/12</f>
        <v>2.0992588781523938E-23</v>
      </c>
      <c r="DI190" s="22">
        <f t="shared" si="175"/>
        <v>0.51502017400350963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2.2737367544323206E-13</v>
      </c>
      <c r="DP190" s="17">
        <f>DO190*VLOOKUP('Données projet'!$B$14,Paramètres!$A$1:$I$89,3,0)*VLOOKUP('Données projet'!$B$14,Paramètres!$A$1:$I$89,5,0)</f>
        <v>1.4897523215040565E-13</v>
      </c>
      <c r="DQ190" s="13">
        <f t="shared" si="176"/>
        <v>2.136562777003313E-12</v>
      </c>
      <c r="DR190" s="20">
        <f t="shared" si="177"/>
        <v>3.9806453659427267E-12</v>
      </c>
      <c r="DS190" s="59">
        <f t="shared" si="125"/>
        <v>293.33333333333729</v>
      </c>
      <c r="DT190" s="59">
        <f ca="1">AVERAGE(OFFSET($DS$3,0,0,'Données projet'!$E$14+1,1))-AVERAGE(OFFSET($H$3,0,0,'Données projet'!$E$14+1,1))</f>
        <v>295.92103934364718</v>
      </c>
      <c r="DU190" s="59">
        <f t="shared" si="152"/>
        <v>304.84379909635476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0.19908320669368751</v>
      </c>
      <c r="EB190" s="21">
        <f>EXP(-LN(2)/25)*EB189+(1-EXP(-LN(2)/25))/(LN(2)/25)*Calculateur!DW190*Calculateur!DY190*VLOOKUP('Données projet'!$B$14,Paramètres!$A$1:$I$89,3,0)*0.475*44/12</f>
        <v>9.2038241604267615E-2</v>
      </c>
      <c r="EC190" s="21">
        <f>EXP(-LN(2)/2)*EC189+(1-EXP(-LN(2)/2))/(LN(2)/2)*DW190*DZ190*VLOOKUP('Données projet'!$B$14,Paramètres!$A$1:$I$89,3,0)*0.475*44/12</f>
        <v>1.3463845611574135E-23</v>
      </c>
      <c r="ED190" s="22">
        <f t="shared" si="178"/>
        <v>0.29112144829795511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-1.1368683772161603E-13</v>
      </c>
      <c r="O191" s="13">
        <f>N191*VLOOKUP('Données projet'!$B$9,Paramètres!$A$1:$I$89,3,0)*VLOOKUP('Données projet'!$B$9,Paramètres!$A$1:$I$89,5,0)</f>
        <v>-5.3205440053716299E-14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319.22903094674564</v>
      </c>
      <c r="T191" s="59">
        <f t="shared" si="142"/>
        <v>254.58690973142848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0.39716143911826268</v>
      </c>
      <c r="AA191" s="21">
        <f>EXP(-LN(2)/25)*AA190+(1-EXP(-LN(2)/25))/(LN(2)/25)*Calculateur!V191*Calculateur!X191*VLOOKUP('Données projet'!$B$9,Paramètres!$A$1:$I$89,3,0)*0.475*44/12</f>
        <v>0.13957791751478885</v>
      </c>
      <c r="AB191" s="21">
        <f>EXP(-LN(2)/2)*AB190+(1-EXP(-LN(2)/2))/(LN(2)/2)*V191*Y191*VLOOKUP('Données projet'!$B$9,Paramètres!$A$1:$I$89,3,0)*0.475*44/12</f>
        <v>1.8269323831827368E-23</v>
      </c>
      <c r="AC191" s="22">
        <f t="shared" si="163"/>
        <v>0.5367393566330515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-3.4106051316484809E-13</v>
      </c>
      <c r="AJ191" s="13">
        <f>AI191*VLOOKUP('Données projet'!$B$10,Paramètres!$A$1:$I$89,3,0)*VLOOKUP('Données projet'!$B$10,Paramètres!$A$1:$I$89,5,0)</f>
        <v>-1.9065282685915009E-13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544.48194192356823</v>
      </c>
      <c r="AO191" s="59">
        <f t="shared" si="144"/>
        <v>668.20427590250733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0.32124764300019515</v>
      </c>
      <c r="AV191" s="21">
        <f>EXP(-LN(2)/25)*AV190+(1-EXP(-LN(2)/25))/(LN(2)/25)*Calculateur!AQ191*Calculateur!AS191*VLOOKUP('Données projet'!$B$10,Paramètres!$A$1:$I$89,3,0)*0.475*44/12</f>
        <v>0.53336513641720151</v>
      </c>
      <c r="AW191" s="21">
        <f>EXP(-LN(2)/2)*AW190+(1-EXP(-LN(2)/2))/(LN(2)/2)*AQ191*AT191*VLOOKUP('Données projet'!$B$10,Paramètres!$A$1:$I$89,3,0)*0.475*44/12</f>
        <v>2.3852510271198728E-23</v>
      </c>
      <c r="AX191" s="21">
        <f t="shared" si="166"/>
        <v>0.85461277941739666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>
        <f>BD191*VLOOKUP('Données projet'!$B$11,Paramètres!$A$1:$I$89,3,0)*VLOOKUP('Données projet'!$B$11,Paramètres!$A$1:$I$89,5,0)</f>
        <v>0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405.7176439604217</v>
      </c>
      <c r="BJ191" s="59">
        <f t="shared" si="146"/>
        <v>278.21741231699929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0.31980816476360435</v>
      </c>
      <c r="BQ191" s="21">
        <f>EXP(-LN(2)/25)*BQ190+(1-EXP(-LN(2)/25))/(LN(2)/25)*Calculateur!BL191*Calculateur!BN191*VLOOKUP('Données projet'!$B$11,Paramètres!$A$1:$I$89,3,0)*0.475*44/12</f>
        <v>0.11721612586591576</v>
      </c>
      <c r="BR191" s="21">
        <f>EXP(-LN(2)/2)*BR190+(1-EXP(-LN(2)/2))/(LN(2)/2)*BL191*BO191*VLOOKUP('Données projet'!$B$11,Paramètres!$A$1:$I$89,3,0)*0.475*44/12</f>
        <v>1.4119696098571813E-23</v>
      </c>
      <c r="BS191" s="22">
        <f t="shared" si="169"/>
        <v>0.43702429062952008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259.99999999999983</v>
      </c>
      <c r="BZ191" s="13">
        <f>BY191*VLOOKUP('Données projet'!$B$12,Paramètres!$A$1:$I$89,3,0)*VLOOKUP('Données projet'!$B$12,Paramètres!$A$1:$I$89,5,0)</f>
        <v>227.13599999999985</v>
      </c>
      <c r="CA191" s="13">
        <f t="shared" si="170"/>
        <v>55.662966886685133</v>
      </c>
      <c r="CB191" s="20">
        <f t="shared" si="171"/>
        <v>492.5415339943097</v>
      </c>
      <c r="CC191" s="59">
        <f t="shared" si="119"/>
        <v>785.87486732764296</v>
      </c>
      <c r="CD191" s="59">
        <f ca="1">AVERAGE(OFFSET($CC$3,0,0,'Données projet'!$E$12+1,1))-AVERAGE(OFFSET($H$3,0,0,'Données projet'!$E$12+1,1))</f>
        <v>381.72225529388083</v>
      </c>
      <c r="CE191" s="59">
        <f t="shared" si="148"/>
        <v>360.05900046417361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0.21054897933023356</v>
      </c>
      <c r="CL191" s="21">
        <f>EXP(-LN(2)/25)*CL190+(1-EXP(-LN(2)/25))/(LN(2)/25)*Calculateur!CG191*Calculateur!CI191*VLOOKUP('Données projet'!$B$12,Paramètres!$A$1:$I$89,3,0)*0.475*44/12</f>
        <v>0.14119056928144236</v>
      </c>
      <c r="CM191" s="21">
        <f>EXP(-LN(2)/2)*CM190+(1-EXP(-LN(2)/2))/(LN(2)/2)*CG191*CJ191*VLOOKUP('Données projet'!$B$12,Paramètres!$A$1:$I$89,3,0)*0.475*44/12</f>
        <v>1.1576402290308594E-23</v>
      </c>
      <c r="CN191" s="22">
        <f t="shared" si="172"/>
        <v>0.35173954861167589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-1.7053025658242404E-13</v>
      </c>
      <c r="CU191" s="17">
        <f>CT191*VLOOKUP('Données projet'!$B$13,Paramètres!$A$1:$I$89,3,0)*VLOOKUP('Données projet'!$B$13,Paramètres!$A$1:$I$89,5,0)</f>
        <v>-1.3567387213697657E-13</v>
      </c>
      <c r="CV191" s="13" t="e">
        <f t="shared" si="173"/>
        <v>#NUM!</v>
      </c>
      <c r="CW191" s="20" t="e">
        <f t="shared" si="174"/>
        <v>#NUM!</v>
      </c>
      <c r="CX191" s="59" t="e">
        <f t="shared" si="122"/>
        <v>#NUM!</v>
      </c>
      <c r="CY191" s="59">
        <f ca="1">AVERAGE(OFFSET($CX$3,0,0,'Données projet'!$E$13+1,1))-AVERAGE(OFFSET($H$3,0,0,'Données projet'!$E$13+1,1))</f>
        <v>299.10536994156814</v>
      </c>
      <c r="CZ191" s="59">
        <f t="shared" si="150"/>
        <v>292.57799203101769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0.36850440268234691</v>
      </c>
      <c r="DG191" s="21">
        <f>EXP(-LN(2)/25)*DG190+(1-EXP(-LN(2)/25))/(LN(2)/25)*Calculateur!DB191*Calculateur!DD191*VLOOKUP('Données projet'!$B$13,Paramètres!$A$1:$I$89,3,0)*0.475*44/12</f>
        <v>0.13534016038018531</v>
      </c>
      <c r="DH191" s="21">
        <f>EXP(-LN(2)/2)*DH190+(1-EXP(-LN(2)/2))/(LN(2)/2)*DB191*DE191*VLOOKUP('Données projet'!$B$13,Paramètres!$A$1:$I$89,3,0)*0.475*44/12</f>
        <v>1.4844001882076219E-23</v>
      </c>
      <c r="DI191" s="22">
        <f t="shared" si="175"/>
        <v>0.50384456306253222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2.2737367544323206E-13</v>
      </c>
      <c r="DP191" s="17">
        <f>DO191*VLOOKUP('Données projet'!$B$14,Paramètres!$A$1:$I$89,3,0)*VLOOKUP('Données projet'!$B$14,Paramètres!$A$1:$I$89,5,0)</f>
        <v>1.4897523215040565E-13</v>
      </c>
      <c r="DQ191" s="13">
        <f t="shared" si="176"/>
        <v>2.136562777003313E-12</v>
      </c>
      <c r="DR191" s="20">
        <f t="shared" si="177"/>
        <v>3.9806453659427267E-12</v>
      </c>
      <c r="DS191" s="59">
        <f t="shared" si="125"/>
        <v>293.33333333333729</v>
      </c>
      <c r="DT191" s="59">
        <f ca="1">AVERAGE(OFFSET($DS$3,0,0,'Données projet'!$E$14+1,1))-AVERAGE(OFFSET($H$3,0,0,'Données projet'!$E$14+1,1))</f>
        <v>295.92103934364718</v>
      </c>
      <c r="DU191" s="59">
        <f t="shared" si="152"/>
        <v>304.84379909635476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0.19517930643919029</v>
      </c>
      <c r="EB191" s="21">
        <f>EXP(-LN(2)/25)*EB190+(1-EXP(-LN(2)/25))/(LN(2)/25)*Calculateur!DW191*Calculateur!DY191*VLOOKUP('Données projet'!$B$14,Paramètres!$A$1:$I$89,3,0)*0.475*44/12</f>
        <v>8.9521451047518144E-2</v>
      </c>
      <c r="EC191" s="21">
        <f>EXP(-LN(2)/2)*EC190+(1-EXP(-LN(2)/2))/(LN(2)/2)*DW191*DZ191*VLOOKUP('Données projet'!$B$14,Paramètres!$A$1:$I$89,3,0)*0.475*44/12</f>
        <v>9.5203765327928103E-24</v>
      </c>
      <c r="ED191" s="22">
        <f t="shared" si="178"/>
        <v>0.28470075748670842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-1.1368683772161603E-13</v>
      </c>
      <c r="O192" s="13">
        <f>N192*VLOOKUP('Données projet'!$B$9,Paramètres!$A$1:$I$89,3,0)*VLOOKUP('Données projet'!$B$9,Paramètres!$A$1:$I$89,5,0)</f>
        <v>-5.3205440053716299E-14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319.22903094674564</v>
      </c>
      <c r="T192" s="59">
        <f t="shared" si="142"/>
        <v>254.58690973142848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0.38937334554171177</v>
      </c>
      <c r="AA192" s="21">
        <f>EXP(-LN(2)/25)*AA191+(1-EXP(-LN(2)/25))/(LN(2)/25)*Calculateur!V192*Calculateur!X192*VLOOKUP('Données projet'!$B$9,Paramètres!$A$1:$I$89,3,0)*0.475*44/12</f>
        <v>0.13576115202026326</v>
      </c>
      <c r="AB192" s="21">
        <f>EXP(-LN(2)/2)*AB191+(1-EXP(-LN(2)/2))/(LN(2)/2)*V192*Y192*VLOOKUP('Données projet'!$B$9,Paramètres!$A$1:$I$89,3,0)*0.475*44/12</f>
        <v>1.2918362769178134E-23</v>
      </c>
      <c r="AC192" s="22">
        <f t="shared" si="163"/>
        <v>0.52513449756197506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-3.4106051316484809E-13</v>
      </c>
      <c r="AJ192" s="13">
        <f>AI192*VLOOKUP('Données projet'!$B$10,Paramètres!$A$1:$I$89,3,0)*VLOOKUP('Données projet'!$B$10,Paramètres!$A$1:$I$89,5,0)</f>
        <v>-1.9065282685915009E-13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544.48194192356823</v>
      </c>
      <c r="AO192" s="59">
        <f t="shared" si="144"/>
        <v>668.20427590250733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0.31494817266267594</v>
      </c>
      <c r="AV192" s="21">
        <f>EXP(-LN(2)/25)*AV191+(1-EXP(-LN(2)/25))/(LN(2)/25)*Calculateur!AQ192*Calculateur!AS192*VLOOKUP('Données projet'!$B$10,Paramètres!$A$1:$I$89,3,0)*0.475*44/12</f>
        <v>0.51878023871341961</v>
      </c>
      <c r="AW192" s="21">
        <f>EXP(-LN(2)/2)*AW191+(1-EXP(-LN(2)/2))/(LN(2)/2)*AQ192*AT192*VLOOKUP('Données projet'!$B$10,Paramètres!$A$1:$I$89,3,0)*0.475*44/12</f>
        <v>1.6866271761086396E-23</v>
      </c>
      <c r="AX192" s="21">
        <f t="shared" si="166"/>
        <v>0.83372841137609555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>
        <f>BD192*VLOOKUP('Données projet'!$B$11,Paramètres!$A$1:$I$89,3,0)*VLOOKUP('Données projet'!$B$11,Paramètres!$A$1:$I$89,5,0)</f>
        <v>0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405.7176439604217</v>
      </c>
      <c r="BJ192" s="59">
        <f t="shared" si="146"/>
        <v>278.21741231699929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0.31353692171630965</v>
      </c>
      <c r="BQ192" s="21">
        <f>EXP(-LN(2)/25)*BQ191+(1-EXP(-LN(2)/25))/(LN(2)/25)*Calculateur!BL192*Calculateur!BN192*VLOOKUP('Données projet'!$B$11,Paramètres!$A$1:$I$89,3,0)*0.475*44/12</f>
        <v>0.11401084473998413</v>
      </c>
      <c r="BR192" s="21">
        <f>EXP(-LN(2)/2)*BR191+(1-EXP(-LN(2)/2))/(LN(2)/2)*BL192*BO192*VLOOKUP('Données projet'!$B$11,Paramètres!$A$1:$I$89,3,0)*0.475*44/12</f>
        <v>9.9841328595933679E-24</v>
      </c>
      <c r="BS192" s="22">
        <f t="shared" si="169"/>
        <v>0.42754776645629378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259.99999999999983</v>
      </c>
      <c r="BZ192" s="13">
        <f>BY192*VLOOKUP('Données projet'!$B$12,Paramètres!$A$1:$I$89,3,0)*VLOOKUP('Données projet'!$B$12,Paramètres!$A$1:$I$89,5,0)</f>
        <v>227.13599999999985</v>
      </c>
      <c r="CA192" s="13">
        <f t="shared" si="170"/>
        <v>55.662966886685133</v>
      </c>
      <c r="CB192" s="20">
        <f t="shared" si="171"/>
        <v>492.5415339943097</v>
      </c>
      <c r="CC192" s="59">
        <f t="shared" si="119"/>
        <v>785.87486732764296</v>
      </c>
      <c r="CD192" s="59">
        <f ca="1">AVERAGE(OFFSET($CC$3,0,0,'Données projet'!$E$12+1,1))-AVERAGE(OFFSET($H$3,0,0,'Données projet'!$E$12+1,1))</f>
        <v>381.72225529388083</v>
      </c>
      <c r="CE192" s="59">
        <f t="shared" si="148"/>
        <v>360.05900046417361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0.20642024226776443</v>
      </c>
      <c r="CL192" s="21">
        <f>EXP(-LN(2)/25)*CL191+(1-EXP(-LN(2)/25))/(LN(2)/25)*Calculateur!CG192*Calculateur!CI192*VLOOKUP('Données projet'!$B$12,Paramètres!$A$1:$I$89,3,0)*0.475*44/12</f>
        <v>0.13732970573955197</v>
      </c>
      <c r="CM192" s="21">
        <f>EXP(-LN(2)/2)*CM191+(1-EXP(-LN(2)/2))/(LN(2)/2)*CG192*CJ192*VLOOKUP('Données projet'!$B$12,Paramètres!$A$1:$I$89,3,0)*0.475*44/12</f>
        <v>8.1857525612206867E-24</v>
      </c>
      <c r="CN192" s="22">
        <f t="shared" si="172"/>
        <v>0.3437499480073164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-1.7053025658242404E-13</v>
      </c>
      <c r="CU192" s="17">
        <f>CT192*VLOOKUP('Données projet'!$B$13,Paramètres!$A$1:$I$89,3,0)*VLOOKUP('Données projet'!$B$13,Paramètres!$A$1:$I$89,5,0)</f>
        <v>-1.3567387213697657E-13</v>
      </c>
      <c r="CV192" s="13" t="e">
        <f t="shared" si="173"/>
        <v>#NUM!</v>
      </c>
      <c r="CW192" s="20" t="e">
        <f t="shared" si="174"/>
        <v>#NUM!</v>
      </c>
      <c r="CX192" s="59" t="e">
        <f t="shared" si="122"/>
        <v>#NUM!</v>
      </c>
      <c r="CY192" s="59">
        <f ca="1">AVERAGE(OFFSET($CX$3,0,0,'Données projet'!$E$13+1,1))-AVERAGE(OFFSET($H$3,0,0,'Données projet'!$E$13+1,1))</f>
        <v>299.10536994156814</v>
      </c>
      <c r="CZ192" s="59">
        <f t="shared" si="150"/>
        <v>292.57799203101769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0.36127825611123798</v>
      </c>
      <c r="DG192" s="21">
        <f>EXP(-LN(2)/25)*DG191+(1-EXP(-LN(2)/25))/(LN(2)/25)*Calculateur!DB192*Calculateur!DD192*VLOOKUP('Données projet'!$B$13,Paramètres!$A$1:$I$89,3,0)*0.475*44/12</f>
        <v>0.13163927657735944</v>
      </c>
      <c r="DH192" s="21">
        <f>EXP(-LN(2)/2)*DH191+(1-EXP(-LN(2)/2))/(LN(2)/2)*DB192*DE192*VLOOKUP('Données projet'!$B$13,Paramètres!$A$1:$I$89,3,0)*0.475*44/12</f>
        <v>1.0496294390761969E-23</v>
      </c>
      <c r="DI192" s="22">
        <f t="shared" si="175"/>
        <v>0.49291753268859739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2.2737367544323206E-13</v>
      </c>
      <c r="DP192" s="17">
        <f>DO192*VLOOKUP('Données projet'!$B$14,Paramètres!$A$1:$I$89,3,0)*VLOOKUP('Données projet'!$B$14,Paramètres!$A$1:$I$89,5,0)</f>
        <v>1.4897523215040565E-13</v>
      </c>
      <c r="DQ192" s="13">
        <f t="shared" si="176"/>
        <v>2.136562777003313E-12</v>
      </c>
      <c r="DR192" s="20">
        <f t="shared" si="177"/>
        <v>3.9806453659427267E-12</v>
      </c>
      <c r="DS192" s="59">
        <f t="shared" si="125"/>
        <v>293.33333333333729</v>
      </c>
      <c r="DT192" s="59">
        <f ca="1">AVERAGE(OFFSET($DS$3,0,0,'Données projet'!$E$14+1,1))-AVERAGE(OFFSET($H$3,0,0,'Données projet'!$E$14+1,1))</f>
        <v>295.92103934364718</v>
      </c>
      <c r="DU192" s="59">
        <f t="shared" si="152"/>
        <v>304.84379909635476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0.19135195928753973</v>
      </c>
      <c r="EB192" s="21">
        <f>EXP(-LN(2)/25)*EB191+(1-EXP(-LN(2)/25))/(LN(2)/25)*Calculateur!DW192*Calculateur!DY192*VLOOKUP('Données projet'!$B$14,Paramètres!$A$1:$I$89,3,0)*0.475*44/12</f>
        <v>8.7073482260895257E-2</v>
      </c>
      <c r="EC192" s="21">
        <f>EXP(-LN(2)/2)*EC191+(1-EXP(-LN(2)/2))/(LN(2)/2)*DW192*DZ192*VLOOKUP('Données projet'!$B$14,Paramètres!$A$1:$I$89,3,0)*0.475*44/12</f>
        <v>6.7319228057870676E-24</v>
      </c>
      <c r="ED192" s="22">
        <f t="shared" si="178"/>
        <v>0.27842544154843496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-1.1368683772161603E-13</v>
      </c>
      <c r="O193" s="13">
        <f>N193*VLOOKUP('Données projet'!$B$9,Paramètres!$A$1:$I$89,3,0)*VLOOKUP('Données projet'!$B$9,Paramètres!$A$1:$I$89,5,0)</f>
        <v>-5.3205440053716299E-14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319.22903094674564</v>
      </c>
      <c r="T193" s="59">
        <f t="shared" si="142"/>
        <v>254.58690973142848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0.38173797172992896</v>
      </c>
      <c r="AA193" s="21">
        <f>EXP(-LN(2)/25)*AA192+(1-EXP(-LN(2)/25))/(LN(2)/25)*Calculateur!V193*Calculateur!X193*VLOOKUP('Données projet'!$B$9,Paramètres!$A$1:$I$89,3,0)*0.475*44/12</f>
        <v>0.13204875617890047</v>
      </c>
      <c r="AB193" s="21">
        <f>EXP(-LN(2)/2)*AB192+(1-EXP(-LN(2)/2))/(LN(2)/2)*V193*Y193*VLOOKUP('Données projet'!$B$9,Paramètres!$A$1:$I$89,3,0)*0.475*44/12</f>
        <v>9.1346619159136856E-24</v>
      </c>
      <c r="AC193" s="22">
        <f t="shared" si="163"/>
        <v>0.5137867279088294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-3.4106051316484809E-13</v>
      </c>
      <c r="AJ193" s="13">
        <f>AI193*VLOOKUP('Données projet'!$B$10,Paramètres!$A$1:$I$89,3,0)*VLOOKUP('Données projet'!$B$10,Paramètres!$A$1:$I$89,5,0)</f>
        <v>-1.9065282685915009E-13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544.48194192356823</v>
      </c>
      <c r="AO193" s="59">
        <f t="shared" si="144"/>
        <v>668.20427590250733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0.30877223109617796</v>
      </c>
      <c r="AV193" s="21">
        <f>EXP(-LN(2)/25)*AV192+(1-EXP(-LN(2)/25))/(LN(2)/25)*Calculateur!AQ193*Calculateur!AS193*VLOOKUP('Données projet'!$B$10,Paramètres!$A$1:$I$89,3,0)*0.475*44/12</f>
        <v>0.50459416580433403</v>
      </c>
      <c r="AW193" s="21">
        <f>EXP(-LN(2)/2)*AW192+(1-EXP(-LN(2)/2))/(LN(2)/2)*AQ193*AT193*VLOOKUP('Données projet'!$B$10,Paramètres!$A$1:$I$89,3,0)*0.475*44/12</f>
        <v>1.1926255135599364E-23</v>
      </c>
      <c r="AX193" s="21">
        <f t="shared" si="166"/>
        <v>0.81336639690051205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>
        <f>BD193*VLOOKUP('Données projet'!$B$11,Paramètres!$A$1:$I$89,3,0)*VLOOKUP('Données projet'!$B$11,Paramètres!$A$1:$I$89,5,0)</f>
        <v>0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405.7176439604217</v>
      </c>
      <c r="BJ193" s="59">
        <f t="shared" si="146"/>
        <v>278.21741231699929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0.30738865392009179</v>
      </c>
      <c r="BQ193" s="21">
        <f>EXP(-LN(2)/25)*BQ192+(1-EXP(-LN(2)/25))/(LN(2)/25)*Calculateur!BL193*Calculateur!BN193*VLOOKUP('Données projet'!$B$11,Paramètres!$A$1:$I$89,3,0)*0.475*44/12</f>
        <v>0.11089321219499951</v>
      </c>
      <c r="BR193" s="21">
        <f>EXP(-LN(2)/2)*BR192+(1-EXP(-LN(2)/2))/(LN(2)/2)*BL193*BO193*VLOOKUP('Données projet'!$B$11,Paramètres!$A$1:$I$89,3,0)*0.475*44/12</f>
        <v>7.0598480492859065E-24</v>
      </c>
      <c r="BS193" s="22">
        <f t="shared" si="169"/>
        <v>0.41828186611509133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259.99999999999983</v>
      </c>
      <c r="BZ193" s="13">
        <f>BY193*VLOOKUP('Données projet'!$B$12,Paramètres!$A$1:$I$89,3,0)*VLOOKUP('Données projet'!$B$12,Paramètres!$A$1:$I$89,5,0)</f>
        <v>227.13599999999985</v>
      </c>
      <c r="CA193" s="13">
        <f t="shared" si="170"/>
        <v>55.662966886685133</v>
      </c>
      <c r="CB193" s="20">
        <f t="shared" si="171"/>
        <v>492.5415339943097</v>
      </c>
      <c r="CC193" s="59">
        <f t="shared" si="119"/>
        <v>785.87486732764296</v>
      </c>
      <c r="CD193" s="59">
        <f ca="1">AVERAGE(OFFSET($CC$3,0,0,'Données projet'!$E$12+1,1))-AVERAGE(OFFSET($H$3,0,0,'Données projet'!$E$12+1,1))</f>
        <v>381.72225529388083</v>
      </c>
      <c r="CE193" s="59">
        <f t="shared" si="148"/>
        <v>360.05900046417361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0.20237246722080937</v>
      </c>
      <c r="CL193" s="21">
        <f>EXP(-LN(2)/25)*CL192+(1-EXP(-LN(2)/25))/(LN(2)/25)*Calculateur!CG193*Calculateur!CI193*VLOOKUP('Données projet'!$B$12,Paramètres!$A$1:$I$89,3,0)*0.475*44/12</f>
        <v>0.13357441771424858</v>
      </c>
      <c r="CM193" s="21">
        <f>EXP(-LN(2)/2)*CM192+(1-EXP(-LN(2)/2))/(LN(2)/2)*CG193*CJ193*VLOOKUP('Données projet'!$B$12,Paramètres!$A$1:$I$89,3,0)*0.475*44/12</f>
        <v>5.7882011451542972E-24</v>
      </c>
      <c r="CN193" s="22">
        <f t="shared" si="172"/>
        <v>0.33594688493505798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-1.7053025658242404E-13</v>
      </c>
      <c r="CU193" s="17">
        <f>CT193*VLOOKUP('Données projet'!$B$13,Paramètres!$A$1:$I$89,3,0)*VLOOKUP('Données projet'!$B$13,Paramètres!$A$1:$I$89,5,0)</f>
        <v>-1.3567387213697657E-13</v>
      </c>
      <c r="CV193" s="13" t="e">
        <f t="shared" si="173"/>
        <v>#NUM!</v>
      </c>
      <c r="CW193" s="20" t="e">
        <f t="shared" si="174"/>
        <v>#NUM!</v>
      </c>
      <c r="CX193" s="59" t="e">
        <f t="shared" si="122"/>
        <v>#NUM!</v>
      </c>
      <c r="CY193" s="59">
        <f ca="1">AVERAGE(OFFSET($CX$3,0,0,'Données projet'!$E$13+1,1))-AVERAGE(OFFSET($H$3,0,0,'Données projet'!$E$13+1,1))</f>
        <v>299.10536994156814</v>
      </c>
      <c r="CZ193" s="59">
        <f t="shared" si="150"/>
        <v>292.57799203101769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0.35419380986687427</v>
      </c>
      <c r="DG193" s="21">
        <f>EXP(-LN(2)/25)*DG192+(1-EXP(-LN(2)/25))/(LN(2)/25)*Calculateur!DB193*Calculateur!DD193*VLOOKUP('Données projet'!$B$13,Paramètres!$A$1:$I$89,3,0)*0.475*44/12</f>
        <v>0.12803959363674286</v>
      </c>
      <c r="DH193" s="21">
        <f>EXP(-LN(2)/2)*DH192+(1-EXP(-LN(2)/2))/(LN(2)/2)*DB193*DE193*VLOOKUP('Données projet'!$B$13,Paramètres!$A$1:$I$89,3,0)*0.475*44/12</f>
        <v>7.4220009410381094E-24</v>
      </c>
      <c r="DI193" s="22">
        <f t="shared" si="175"/>
        <v>0.4822334035036171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2.2737367544323206E-13</v>
      </c>
      <c r="DP193" s="17">
        <f>DO193*VLOOKUP('Données projet'!$B$14,Paramètres!$A$1:$I$89,3,0)*VLOOKUP('Données projet'!$B$14,Paramètres!$A$1:$I$89,5,0)</f>
        <v>1.4897523215040565E-13</v>
      </c>
      <c r="DQ193" s="13">
        <f t="shared" si="176"/>
        <v>2.136562777003313E-12</v>
      </c>
      <c r="DR193" s="20">
        <f t="shared" si="177"/>
        <v>3.9806453659427267E-12</v>
      </c>
      <c r="DS193" s="59">
        <f t="shared" si="125"/>
        <v>293.33333333333729</v>
      </c>
      <c r="DT193" s="59">
        <f ca="1">AVERAGE(OFFSET($DS$3,0,0,'Données projet'!$E$14+1,1))-AVERAGE(OFFSET($H$3,0,0,'Données projet'!$E$14+1,1))</f>
        <v>295.92103934364718</v>
      </c>
      <c r="DU193" s="59">
        <f t="shared" si="152"/>
        <v>304.84379909635476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0.18759966407908177</v>
      </c>
      <c r="EB193" s="21">
        <f>EXP(-LN(2)/25)*EB192+(1-EXP(-LN(2)/25))/(LN(2)/25)*Calculateur!DW193*Calculateur!DY193*VLOOKUP('Données projet'!$B$14,Paramètres!$A$1:$I$89,3,0)*0.475*44/12</f>
        <v>8.4692453309475654E-2</v>
      </c>
      <c r="EC193" s="21">
        <f>EXP(-LN(2)/2)*EC192+(1-EXP(-LN(2)/2))/(LN(2)/2)*DW193*DZ193*VLOOKUP('Données projet'!$B$14,Paramètres!$A$1:$I$89,3,0)*0.475*44/12</f>
        <v>4.7601882663964051E-24</v>
      </c>
      <c r="ED193" s="22">
        <f t="shared" si="178"/>
        <v>0.27229211738855741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-1.1368683772161603E-13</v>
      </c>
      <c r="O194" s="13">
        <f>N194*VLOOKUP('Données projet'!$B$9,Paramètres!$A$1:$I$89,3,0)*VLOOKUP('Données projet'!$B$9,Paramètres!$A$1:$I$89,5,0)</f>
        <v>-5.3205440053716299E-14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319.22903094674564</v>
      </c>
      <c r="T194" s="59">
        <f t="shared" si="142"/>
        <v>254.58690973142848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0.37425232294147703</v>
      </c>
      <c r="AA194" s="21">
        <f>EXP(-LN(2)/25)*AA193+(1-EXP(-LN(2)/25))/(LN(2)/25)*Calculateur!V194*Calculateur!X194*VLOOKUP('Données projet'!$B$9,Paramètres!$A$1:$I$89,3,0)*0.475*44/12</f>
        <v>0.12843787599704615</v>
      </c>
      <c r="AB194" s="21">
        <f>EXP(-LN(2)/2)*AB193+(1-EXP(-LN(2)/2))/(LN(2)/2)*V194*Y194*VLOOKUP('Données projet'!$B$9,Paramètres!$A$1:$I$89,3,0)*0.475*44/12</f>
        <v>6.4591813845890678E-24</v>
      </c>
      <c r="AC194" s="22">
        <f t="shared" si="163"/>
        <v>0.50269019893852318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-3.4106051316484809E-13</v>
      </c>
      <c r="AJ194" s="13">
        <f>AI194*VLOOKUP('Données projet'!$B$10,Paramètres!$A$1:$I$89,3,0)*VLOOKUP('Données projet'!$B$10,Paramètres!$A$1:$I$89,5,0)</f>
        <v>-1.9065282685915009E-13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544.48194192356823</v>
      </c>
      <c r="AO194" s="59">
        <f t="shared" si="144"/>
        <v>668.20427590250733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0.3027173959768466</v>
      </c>
      <c r="AV194" s="21">
        <f>EXP(-LN(2)/25)*AV193+(1-EXP(-LN(2)/25))/(LN(2)/25)*Calculateur!AQ194*Calculateur!AS194*VLOOKUP('Données projet'!$B$10,Paramètres!$A$1:$I$89,3,0)*0.475*44/12</f>
        <v>0.49079601180496057</v>
      </c>
      <c r="AW194" s="21">
        <f>EXP(-LN(2)/2)*AW193+(1-EXP(-LN(2)/2))/(LN(2)/2)*AQ194*AT194*VLOOKUP('Données projet'!$B$10,Paramètres!$A$1:$I$89,3,0)*0.475*44/12</f>
        <v>8.4331358805431981E-24</v>
      </c>
      <c r="AX194" s="21">
        <f t="shared" si="166"/>
        <v>0.79351340778180712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>
        <f>BD194*VLOOKUP('Données projet'!$B$11,Paramètres!$A$1:$I$89,3,0)*VLOOKUP('Données projet'!$B$11,Paramètres!$A$1:$I$89,5,0)</f>
        <v>0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405.7176439604217</v>
      </c>
      <c r="BJ194" s="59">
        <f t="shared" si="146"/>
        <v>278.21741231699929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0.30136094990528473</v>
      </c>
      <c r="BQ194" s="21">
        <f>EXP(-LN(2)/25)*BQ193+(1-EXP(-LN(2)/25))/(LN(2)/25)*Calculateur!BL194*Calculateur!BN194*VLOOKUP('Données projet'!$B$11,Paramètres!$A$1:$I$89,3,0)*0.475*44/12</f>
        <v>0.10786083147590667</v>
      </c>
      <c r="BR194" s="21">
        <f>EXP(-LN(2)/2)*BR193+(1-EXP(-LN(2)/2))/(LN(2)/2)*BL194*BO194*VLOOKUP('Données projet'!$B$11,Paramètres!$A$1:$I$89,3,0)*0.475*44/12</f>
        <v>4.9920664297966839E-24</v>
      </c>
      <c r="BS194" s="22">
        <f t="shared" si="169"/>
        <v>0.40922178138119136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259.99999999999983</v>
      </c>
      <c r="BZ194" s="13">
        <f>BY194*VLOOKUP('Données projet'!$B$12,Paramètres!$A$1:$I$89,3,0)*VLOOKUP('Données projet'!$B$12,Paramètres!$A$1:$I$89,5,0)</f>
        <v>227.13599999999985</v>
      </c>
      <c r="CA194" s="13">
        <f t="shared" si="170"/>
        <v>55.662966886685133</v>
      </c>
      <c r="CB194" s="20">
        <f t="shared" si="171"/>
        <v>492.5415339943097</v>
      </c>
      <c r="CC194" s="59">
        <f t="shared" si="119"/>
        <v>785.87486732764296</v>
      </c>
      <c r="CD194" s="59">
        <f ca="1">AVERAGE(OFFSET($CC$3,0,0,'Données projet'!$E$12+1,1))-AVERAGE(OFFSET($H$3,0,0,'Données projet'!$E$12+1,1))</f>
        <v>381.72225529388083</v>
      </c>
      <c r="CE194" s="59">
        <f t="shared" si="148"/>
        <v>360.05900046417361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0.19840406657362611</v>
      </c>
      <c r="CL194" s="21">
        <f>EXP(-LN(2)/25)*CL193+(1-EXP(-LN(2)/25))/(LN(2)/25)*Calculateur!CG194*Calculateur!CI194*VLOOKUP('Données projet'!$B$12,Paramètres!$A$1:$I$89,3,0)*0.475*44/12</f>
        <v>0.12992181823747911</v>
      </c>
      <c r="CM194" s="21">
        <f>EXP(-LN(2)/2)*CM193+(1-EXP(-LN(2)/2))/(LN(2)/2)*CG194*CJ194*VLOOKUP('Données projet'!$B$12,Paramètres!$A$1:$I$89,3,0)*0.475*44/12</f>
        <v>4.0928762806103433E-24</v>
      </c>
      <c r="CN194" s="22">
        <f t="shared" si="172"/>
        <v>0.32832588481110525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-1.7053025658242404E-13</v>
      </c>
      <c r="CU194" s="17">
        <f>CT194*VLOOKUP('Données projet'!$B$13,Paramètres!$A$1:$I$89,3,0)*VLOOKUP('Données projet'!$B$13,Paramètres!$A$1:$I$89,5,0)</f>
        <v>-1.3567387213697657E-13</v>
      </c>
      <c r="CV194" s="13" t="e">
        <f t="shared" si="173"/>
        <v>#NUM!</v>
      </c>
      <c r="CW194" s="20" t="e">
        <f t="shared" si="174"/>
        <v>#NUM!</v>
      </c>
      <c r="CX194" s="59" t="e">
        <f t="shared" si="122"/>
        <v>#NUM!</v>
      </c>
      <c r="CY194" s="59">
        <f ca="1">AVERAGE(OFFSET($CX$3,0,0,'Données projet'!$E$13+1,1))-AVERAGE(OFFSET($H$3,0,0,'Données projet'!$E$13+1,1))</f>
        <v>299.10536994156814</v>
      </c>
      <c r="CZ194" s="59">
        <f t="shared" si="150"/>
        <v>292.57799203101769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0.34724828529227703</v>
      </c>
      <c r="DG194" s="21">
        <f>EXP(-LN(2)/25)*DG193+(1-EXP(-LN(2)/25))/(LN(2)/25)*Calculateur!DB194*Calculateur!DD194*VLOOKUP('Données projet'!$B$13,Paramètres!$A$1:$I$89,3,0)*0.475*44/12</f>
        <v>0.12453834421543654</v>
      </c>
      <c r="DH194" s="21">
        <f>EXP(-LN(2)/2)*DH193+(1-EXP(-LN(2)/2))/(LN(2)/2)*DB194*DE194*VLOOKUP('Données projet'!$B$13,Paramètres!$A$1:$I$89,3,0)*0.475*44/12</f>
        <v>5.2481471953809844E-24</v>
      </c>
      <c r="DI194" s="22">
        <f t="shared" si="175"/>
        <v>0.47178662950771355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2.2737367544323206E-13</v>
      </c>
      <c r="DP194" s="17">
        <f>DO194*VLOOKUP('Données projet'!$B$14,Paramètres!$A$1:$I$89,3,0)*VLOOKUP('Données projet'!$B$14,Paramètres!$A$1:$I$89,5,0)</f>
        <v>1.4897523215040565E-13</v>
      </c>
      <c r="DQ194" s="13">
        <f t="shared" si="176"/>
        <v>2.136562777003313E-12</v>
      </c>
      <c r="DR194" s="20">
        <f t="shared" si="177"/>
        <v>3.9806453659427267E-12</v>
      </c>
      <c r="DS194" s="59">
        <f t="shared" si="125"/>
        <v>293.33333333333729</v>
      </c>
      <c r="DT194" s="59">
        <f ca="1">AVERAGE(OFFSET($DS$3,0,0,'Données projet'!$E$14+1,1))-AVERAGE(OFFSET($H$3,0,0,'Données projet'!$E$14+1,1))</f>
        <v>295.92103934364718</v>
      </c>
      <c r="DU194" s="59">
        <f t="shared" si="152"/>
        <v>304.84379909635476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0.18392094909098758</v>
      </c>
      <c r="EB194" s="21">
        <f>EXP(-LN(2)/25)*EB193+(1-EXP(-LN(2)/25))/(LN(2)/25)*Calculateur!DW194*Calculateur!DY194*VLOOKUP('Données projet'!$B$14,Paramètres!$A$1:$I$89,3,0)*0.475*44/12</f>
        <v>8.2376533719945494E-2</v>
      </c>
      <c r="EC194" s="21">
        <f>EXP(-LN(2)/2)*EC193+(1-EXP(-LN(2)/2))/(LN(2)/2)*DW194*DZ194*VLOOKUP('Données projet'!$B$14,Paramètres!$A$1:$I$89,3,0)*0.475*44/12</f>
        <v>3.3659614028935338E-24</v>
      </c>
      <c r="ED194" s="22">
        <f t="shared" si="178"/>
        <v>0.26629748281093307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-1.1368683772161603E-13</v>
      </c>
      <c r="O195" s="13">
        <f>N195*VLOOKUP('Données projet'!$B$9,Paramètres!$A$1:$I$89,3,0)*VLOOKUP('Données projet'!$B$9,Paramètres!$A$1:$I$89,5,0)</f>
        <v>-5.3205440053716299E-14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319.22903094674564</v>
      </c>
      <c r="T195" s="59">
        <f t="shared" si="142"/>
        <v>254.58690973142848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0.36691346315997175</v>
      </c>
      <c r="AA195" s="21">
        <f>EXP(-LN(2)/25)*AA194+(1-EXP(-LN(2)/25))/(LN(2)/25)*Calculateur!V195*Calculateur!X195*VLOOKUP('Données projet'!$B$9,Paramètres!$A$1:$I$89,3,0)*0.475*44/12</f>
        <v>0.12492573552365258</v>
      </c>
      <c r="AB195" s="21">
        <f>EXP(-LN(2)/2)*AB194+(1-EXP(-LN(2)/2))/(LN(2)/2)*V195*Y195*VLOOKUP('Données projet'!$B$9,Paramètres!$A$1:$I$89,3,0)*0.475*44/12</f>
        <v>4.5673309579568435E-24</v>
      </c>
      <c r="AC195" s="22">
        <f t="shared" si="163"/>
        <v>0.49183919868362436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-3.4106051316484809E-13</v>
      </c>
      <c r="AJ195" s="13">
        <f>AI195*VLOOKUP('Données projet'!$B$10,Paramètres!$A$1:$I$89,3,0)*VLOOKUP('Données projet'!$B$10,Paramètres!$A$1:$I$89,5,0)</f>
        <v>-1.9065282685915009E-13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544.48194192356823</v>
      </c>
      <c r="AO195" s="59">
        <f t="shared" si="144"/>
        <v>668.20427590250733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0.29678129248112056</v>
      </c>
      <c r="AV195" s="21">
        <f>EXP(-LN(2)/25)*AV194+(1-EXP(-LN(2)/25))/(LN(2)/25)*Calculateur!AQ195*Calculateur!AS195*VLOOKUP('Données projet'!$B$10,Paramètres!$A$1:$I$89,3,0)*0.475*44/12</f>
        <v>0.47737516905231342</v>
      </c>
      <c r="AW195" s="21">
        <f>EXP(-LN(2)/2)*AW194+(1-EXP(-LN(2)/2))/(LN(2)/2)*AQ195*AT195*VLOOKUP('Données projet'!$B$10,Paramètres!$A$1:$I$89,3,0)*0.475*44/12</f>
        <v>5.963127567799682E-24</v>
      </c>
      <c r="AX195" s="21">
        <f t="shared" si="166"/>
        <v>0.77415646153343398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>
        <f>BD195*VLOOKUP('Données projet'!$B$11,Paramètres!$A$1:$I$89,3,0)*VLOOKUP('Données projet'!$B$11,Paramètres!$A$1:$I$89,5,0)</f>
        <v>0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405.7176439604217</v>
      </c>
      <c r="BJ195" s="59">
        <f t="shared" si="146"/>
        <v>278.21741231699929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0.29545144548967162</v>
      </c>
      <c r="BQ195" s="21">
        <f>EXP(-LN(2)/25)*BQ194+(1-EXP(-LN(2)/25))/(LN(2)/25)*Calculateur!BL195*Calculateur!BN195*VLOOKUP('Données projet'!$B$11,Paramètres!$A$1:$I$89,3,0)*0.475*44/12</f>
        <v>0.10491137136704339</v>
      </c>
      <c r="BR195" s="21">
        <f>EXP(-LN(2)/2)*BR194+(1-EXP(-LN(2)/2))/(LN(2)/2)*BL195*BO195*VLOOKUP('Données projet'!$B$11,Paramètres!$A$1:$I$89,3,0)*0.475*44/12</f>
        <v>3.5299240246429533E-24</v>
      </c>
      <c r="BS195" s="22">
        <f t="shared" si="169"/>
        <v>0.40036281685671499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259.99999999999983</v>
      </c>
      <c r="BZ195" s="13">
        <f>BY195*VLOOKUP('Données projet'!$B$12,Paramètres!$A$1:$I$89,3,0)*VLOOKUP('Données projet'!$B$12,Paramètres!$A$1:$I$89,5,0)</f>
        <v>227.13599999999985</v>
      </c>
      <c r="CA195" s="13">
        <f t="shared" si="170"/>
        <v>55.662966886685133</v>
      </c>
      <c r="CB195" s="20">
        <f t="shared" si="171"/>
        <v>492.5415339943097</v>
      </c>
      <c r="CC195" s="59">
        <f t="shared" si="119"/>
        <v>785.87486732764296</v>
      </c>
      <c r="CD195" s="59">
        <f ca="1">AVERAGE(OFFSET($CC$3,0,0,'Données projet'!$E$12+1,1))-AVERAGE(OFFSET($H$3,0,0,'Données projet'!$E$12+1,1))</f>
        <v>381.72225529388083</v>
      </c>
      <c r="CE195" s="59">
        <f t="shared" si="148"/>
        <v>360.05900046417361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0.19451348384264872</v>
      </c>
      <c r="CL195" s="21">
        <f>EXP(-LN(2)/25)*CL194+(1-EXP(-LN(2)/25))/(LN(2)/25)*Calculateur!CG195*Calculateur!CI195*VLOOKUP('Données projet'!$B$12,Paramètres!$A$1:$I$89,3,0)*0.475*44/12</f>
        <v>0.12636909928548376</v>
      </c>
      <c r="CM195" s="21">
        <f>EXP(-LN(2)/2)*CM194+(1-EXP(-LN(2)/2))/(LN(2)/2)*CG195*CJ195*VLOOKUP('Données projet'!$B$12,Paramètres!$A$1:$I$89,3,0)*0.475*44/12</f>
        <v>2.8941005725771486E-24</v>
      </c>
      <c r="CN195" s="22">
        <f t="shared" si="172"/>
        <v>0.32088258312813245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-1.7053025658242404E-13</v>
      </c>
      <c r="CU195" s="17">
        <f>CT195*VLOOKUP('Données projet'!$B$13,Paramètres!$A$1:$I$89,3,0)*VLOOKUP('Données projet'!$B$13,Paramètres!$A$1:$I$89,5,0)</f>
        <v>-1.3567387213697657E-13</v>
      </c>
      <c r="CV195" s="13" t="e">
        <f t="shared" si="173"/>
        <v>#NUM!</v>
      </c>
      <c r="CW195" s="20" t="e">
        <f t="shared" si="174"/>
        <v>#NUM!</v>
      </c>
      <c r="CX195" s="59" t="e">
        <f t="shared" si="122"/>
        <v>#NUM!</v>
      </c>
      <c r="CY195" s="59">
        <f ca="1">AVERAGE(OFFSET($CX$3,0,0,'Données projet'!$E$13+1,1))-AVERAGE(OFFSET($H$3,0,0,'Données projet'!$E$13+1,1))</f>
        <v>299.10536994156814</v>
      </c>
      <c r="CZ195" s="59">
        <f t="shared" si="150"/>
        <v>292.57799203101769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0.34043895821823594</v>
      </c>
      <c r="DG195" s="21">
        <f>EXP(-LN(2)/25)*DG194+(1-EXP(-LN(2)/25))/(LN(2)/25)*Calculateur!DB195*Calculateur!DD195*VLOOKUP('Données projet'!$B$13,Paramètres!$A$1:$I$89,3,0)*0.475*44/12</f>
        <v>0.12113283664367853</v>
      </c>
      <c r="DH195" s="21">
        <f>EXP(-LN(2)/2)*DH194+(1-EXP(-LN(2)/2))/(LN(2)/2)*DB195*DE195*VLOOKUP('Données projet'!$B$13,Paramètres!$A$1:$I$89,3,0)*0.475*44/12</f>
        <v>3.7110004705190547E-24</v>
      </c>
      <c r="DI195" s="22">
        <f t="shared" si="175"/>
        <v>0.46157179486191446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2.2737367544323206E-13</v>
      </c>
      <c r="DP195" s="17">
        <f>DO195*VLOOKUP('Données projet'!$B$14,Paramètres!$A$1:$I$89,3,0)*VLOOKUP('Données projet'!$B$14,Paramètres!$A$1:$I$89,5,0)</f>
        <v>1.4897523215040565E-13</v>
      </c>
      <c r="DQ195" s="13">
        <f t="shared" si="176"/>
        <v>2.136562777003313E-12</v>
      </c>
      <c r="DR195" s="20">
        <f t="shared" si="177"/>
        <v>3.9806453659427267E-12</v>
      </c>
      <c r="DS195" s="59">
        <f t="shared" si="125"/>
        <v>293.33333333333729</v>
      </c>
      <c r="DT195" s="59">
        <f ca="1">AVERAGE(OFFSET($DS$3,0,0,'Données projet'!$E$14+1,1))-AVERAGE(OFFSET($H$3,0,0,'Données projet'!$E$14+1,1))</f>
        <v>295.92103934364718</v>
      </c>
      <c r="DU195" s="59">
        <f t="shared" si="152"/>
        <v>304.84379909635476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0.18031437146001533</v>
      </c>
      <c r="EB195" s="21">
        <f>EXP(-LN(2)/25)*EB194+(1-EXP(-LN(2)/25))/(LN(2)/25)*Calculateur!DW195*Calculateur!DY195*VLOOKUP('Données projet'!$B$14,Paramètres!$A$1:$I$89,3,0)*0.475*44/12</f>
        <v>8.0123943073379944E-2</v>
      </c>
      <c r="EC195" s="21">
        <f>EXP(-LN(2)/2)*EC194+(1-EXP(-LN(2)/2))/(LN(2)/2)*DW195*DZ195*VLOOKUP('Données projet'!$B$14,Paramètres!$A$1:$I$89,3,0)*0.475*44/12</f>
        <v>2.3800941331982026E-24</v>
      </c>
      <c r="ED195" s="22">
        <f t="shared" si="178"/>
        <v>0.26043831453339528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-1.1368683772161603E-13</v>
      </c>
      <c r="O196" s="13">
        <f>N196*VLOOKUP('Données projet'!$B$9,Paramètres!$A$1:$I$89,3,0)*VLOOKUP('Données projet'!$B$9,Paramètres!$A$1:$I$89,5,0)</f>
        <v>-5.3205440053716299E-14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319.22903094674564</v>
      </c>
      <c r="T196" s="59">
        <f t="shared" si="142"/>
        <v>254.58690973142848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0.3597185139425193</v>
      </c>
      <c r="AA196" s="21">
        <f>EXP(-LN(2)/25)*AA195+(1-EXP(-LN(2)/25))/(LN(2)/25)*Calculateur!V196*Calculateur!X196*VLOOKUP('Données projet'!$B$9,Paramètres!$A$1:$I$89,3,0)*0.475*44/12</f>
        <v>0.12150963471619938</v>
      </c>
      <c r="AB196" s="21">
        <f>EXP(-LN(2)/2)*AB195+(1-EXP(-LN(2)/2))/(LN(2)/2)*V196*Y196*VLOOKUP('Données projet'!$B$9,Paramètres!$A$1:$I$89,3,0)*0.475*44/12</f>
        <v>3.2295906922945346E-24</v>
      </c>
      <c r="AC196" s="22">
        <f t="shared" si="163"/>
        <v>0.48122814865871866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-3.4106051316484809E-13</v>
      </c>
      <c r="AJ196" s="13">
        <f>AI196*VLOOKUP('Données projet'!$B$10,Paramètres!$A$1:$I$89,3,0)*VLOOKUP('Données projet'!$B$10,Paramètres!$A$1:$I$89,5,0)</f>
        <v>-1.9065282685915009E-13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544.48194192356823</v>
      </c>
      <c r="AO196" s="59">
        <f t="shared" si="144"/>
        <v>668.20427590250733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0.2909615923542801</v>
      </c>
      <c r="AV196" s="21">
        <f>EXP(-LN(2)/25)*AV195+(1-EXP(-LN(2)/25))/(LN(2)/25)*Calculateur!AQ196*Calculateur!AS196*VLOOKUP('Données projet'!$B$10,Paramètres!$A$1:$I$89,3,0)*0.475*44/12</f>
        <v>0.46432131995050885</v>
      </c>
      <c r="AW196" s="21">
        <f>EXP(-LN(2)/2)*AW195+(1-EXP(-LN(2)/2))/(LN(2)/2)*AQ196*AT196*VLOOKUP('Données projet'!$B$10,Paramètres!$A$1:$I$89,3,0)*0.475*44/12</f>
        <v>4.216567940271599E-24</v>
      </c>
      <c r="AX196" s="21">
        <f t="shared" si="166"/>
        <v>0.75528291230478894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>
        <f>BD196*VLOOKUP('Données projet'!$B$11,Paramètres!$A$1:$I$89,3,0)*VLOOKUP('Données projet'!$B$11,Paramètres!$A$1:$I$89,5,0)</f>
        <v>0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405.7176439604217</v>
      </c>
      <c r="BJ196" s="59">
        <f t="shared" si="146"/>
        <v>278.21741231699929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0.28965782285120689</v>
      </c>
      <c r="BQ196" s="21">
        <f>EXP(-LN(2)/25)*BQ195+(1-EXP(-LN(2)/25))/(LN(2)/25)*Calculateur!BL196*Calculateur!BN196*VLOOKUP('Données projet'!$B$11,Paramètres!$A$1:$I$89,3,0)*0.475*44/12</f>
        <v>0.10204256439996234</v>
      </c>
      <c r="BR196" s="21">
        <f>EXP(-LN(2)/2)*BR195+(1-EXP(-LN(2)/2))/(LN(2)/2)*BL196*BO196*VLOOKUP('Données projet'!$B$11,Paramètres!$A$1:$I$89,3,0)*0.475*44/12</f>
        <v>2.496033214898342E-24</v>
      </c>
      <c r="BS196" s="22">
        <f t="shared" si="169"/>
        <v>0.39170038725116924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259.99999999999983</v>
      </c>
      <c r="BZ196" s="13">
        <f>BY196*VLOOKUP('Données projet'!$B$12,Paramètres!$A$1:$I$89,3,0)*VLOOKUP('Données projet'!$B$12,Paramètres!$A$1:$I$89,5,0)</f>
        <v>227.13599999999985</v>
      </c>
      <c r="CA196" s="13">
        <f t="shared" si="170"/>
        <v>55.662966886685133</v>
      </c>
      <c r="CB196" s="20">
        <f t="shared" si="171"/>
        <v>492.5415339943097</v>
      </c>
      <c r="CC196" s="59">
        <f t="shared" ref="CC196:CC203" si="195">CB196+(BT196+BU196)*44/12</f>
        <v>785.87486732764296</v>
      </c>
      <c r="CD196" s="59">
        <f ca="1">AVERAGE(OFFSET($CC$3,0,0,'Données projet'!$E$12+1,1))-AVERAGE(OFFSET($H$3,0,0,'Données projet'!$E$12+1,1))</f>
        <v>381.72225529388083</v>
      </c>
      <c r="CE196" s="59">
        <f t="shared" si="148"/>
        <v>360.05900046417361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0.19069919306600464</v>
      </c>
      <c r="CL196" s="21">
        <f>EXP(-LN(2)/25)*CL195+(1-EXP(-LN(2)/25))/(LN(2)/25)*Calculateur!CG196*Calculateur!CI196*VLOOKUP('Données projet'!$B$12,Paramètres!$A$1:$I$89,3,0)*0.475*44/12</f>
        <v>0.12291352962006009</v>
      </c>
      <c r="CM196" s="21">
        <f>EXP(-LN(2)/2)*CM195+(1-EXP(-LN(2)/2))/(LN(2)/2)*CG196*CJ196*VLOOKUP('Données projet'!$B$12,Paramètres!$A$1:$I$89,3,0)*0.475*44/12</f>
        <v>2.0464381403051717E-24</v>
      </c>
      <c r="CN196" s="22">
        <f t="shared" si="172"/>
        <v>0.31361272268606472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-1.7053025658242404E-13</v>
      </c>
      <c r="CU196" s="17">
        <f>CT196*VLOOKUP('Données projet'!$B$13,Paramètres!$A$1:$I$89,3,0)*VLOOKUP('Données projet'!$B$13,Paramètres!$A$1:$I$89,5,0)</f>
        <v>-1.3567387213697657E-13</v>
      </c>
      <c r="CV196" s="13" t="e">
        <f t="shared" si="173"/>
        <v>#NUM!</v>
      </c>
      <c r="CW196" s="20" t="e">
        <f t="shared" si="174"/>
        <v>#NUM!</v>
      </c>
      <c r="CX196" s="59" t="e">
        <f t="shared" ref="CX196:CX203" si="196">CW196+(CO196+CP196)*44/12</f>
        <v>#NUM!</v>
      </c>
      <c r="CY196" s="59">
        <f ca="1">AVERAGE(OFFSET($CX$3,0,0,'Données projet'!$E$13+1,1))-AVERAGE(OFFSET($H$3,0,0,'Données projet'!$E$13+1,1))</f>
        <v>299.10536994156814</v>
      </c>
      <c r="CZ196" s="59">
        <f t="shared" si="150"/>
        <v>292.57799203101769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0.3337631578948374</v>
      </c>
      <c r="DG196" s="21">
        <f>EXP(-LN(2)/25)*DG195+(1-EXP(-LN(2)/25))/(LN(2)/25)*Calculateur!DB196*Calculateur!DD196*VLOOKUP('Données projet'!$B$13,Paramètres!$A$1:$I$89,3,0)*0.475*44/12</f>
        <v>0.11782045285555812</v>
      </c>
      <c r="DH196" s="21">
        <f>EXP(-LN(2)/2)*DH195+(1-EXP(-LN(2)/2))/(LN(2)/2)*DB196*DE196*VLOOKUP('Données projet'!$B$13,Paramètres!$A$1:$I$89,3,0)*0.475*44/12</f>
        <v>2.6240735976904922E-24</v>
      </c>
      <c r="DI196" s="22">
        <f t="shared" si="175"/>
        <v>0.45158361075039555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2.2737367544323206E-13</v>
      </c>
      <c r="DP196" s="17">
        <f>DO196*VLOOKUP('Données projet'!$B$14,Paramètres!$A$1:$I$89,3,0)*VLOOKUP('Données projet'!$B$14,Paramètres!$A$1:$I$89,5,0)</f>
        <v>1.4897523215040565E-13</v>
      </c>
      <c r="DQ196" s="13">
        <f t="shared" si="176"/>
        <v>2.136562777003313E-12</v>
      </c>
      <c r="DR196" s="20">
        <f t="shared" si="177"/>
        <v>3.9806453659427267E-12</v>
      </c>
      <c r="DS196" s="59">
        <f t="shared" ref="DS196:DS203" si="197">DR196+(DJ196+DK196)*44/12</f>
        <v>293.33333333333729</v>
      </c>
      <c r="DT196" s="59">
        <f ca="1">AVERAGE(OFFSET($DS$3,0,0,'Données projet'!$E$14+1,1))-AVERAGE(OFFSET($H$3,0,0,'Données projet'!$E$14+1,1))</f>
        <v>295.92103934364718</v>
      </c>
      <c r="DU196" s="59">
        <f t="shared" si="152"/>
        <v>304.84379909635476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0.1767785166165913</v>
      </c>
      <c r="EB196" s="21">
        <f>EXP(-LN(2)/25)*EB195+(1-EXP(-LN(2)/25))/(LN(2)/25)*Calculateur!DW196*Calculateur!DY196*VLOOKUP('Données projet'!$B$14,Paramètres!$A$1:$I$89,3,0)*0.475*44/12</f>
        <v>7.7932949636503324E-2</v>
      </c>
      <c r="EC196" s="21">
        <f>EXP(-LN(2)/2)*EC195+(1-EXP(-LN(2)/2))/(LN(2)/2)*DW196*DZ196*VLOOKUP('Données projet'!$B$14,Paramètres!$A$1:$I$89,3,0)*0.475*44/12</f>
        <v>1.6829807014467669E-24</v>
      </c>
      <c r="ED196" s="22">
        <f t="shared" si="178"/>
        <v>0.2547114662530946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-1.1368683772161603E-13</v>
      </c>
      <c r="O197" s="13">
        <f>N197*VLOOKUP('Données projet'!$B$9,Paramètres!$A$1:$I$89,3,0)*VLOOKUP('Données projet'!$B$9,Paramètres!$A$1:$I$89,5,0)</f>
        <v>-5.3205440053716299E-14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319.22903094674564</v>
      </c>
      <c r="T197" s="59">
        <f t="shared" ref="T197:T203" si="204">$T$3</f>
        <v>254.58690973142848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0.35266465329073537</v>
      </c>
      <c r="AA197" s="21">
        <f>EXP(-LN(2)/25)*AA196+(1-EXP(-LN(2)/25))/(LN(2)/25)*Calculateur!V197*Calculateur!X197*VLOOKUP('Données projet'!$B$9,Paramètres!$A$1:$I$89,3,0)*0.475*44/12</f>
        <v>0.11818694736497093</v>
      </c>
      <c r="AB197" s="21">
        <f>EXP(-LN(2)/2)*AB196+(1-EXP(-LN(2)/2))/(LN(2)/2)*V197*Y197*VLOOKUP('Données projet'!$B$9,Paramètres!$A$1:$I$89,3,0)*0.475*44/12</f>
        <v>2.2836654789784221E-24</v>
      </c>
      <c r="AC197" s="22">
        <f t="shared" si="163"/>
        <v>0.4708516006557063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-3.4106051316484809E-13</v>
      </c>
      <c r="AJ197" s="13">
        <f>AI197*VLOOKUP('Données projet'!$B$10,Paramètres!$A$1:$I$89,3,0)*VLOOKUP('Données projet'!$B$10,Paramètres!$A$1:$I$89,5,0)</f>
        <v>-1.9065282685915009E-13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544.48194192356823</v>
      </c>
      <c r="AO197" s="59">
        <f t="shared" ref="AO197:AO203" si="205">$AO$3</f>
        <v>668.20427590250733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0.28525601299726039</v>
      </c>
      <c r="AV197" s="21">
        <f>EXP(-LN(2)/25)*AV196+(1-EXP(-LN(2)/25))/(LN(2)/25)*Calculateur!AQ197*Calculateur!AS197*VLOOKUP('Données projet'!$B$10,Paramètres!$A$1:$I$89,3,0)*0.475*44/12</f>
        <v>0.45162442903886518</v>
      </c>
      <c r="AW197" s="21">
        <f>EXP(-LN(2)/2)*AW196+(1-EXP(-LN(2)/2))/(LN(2)/2)*AQ197*AT197*VLOOKUP('Données projet'!$B$10,Paramètres!$A$1:$I$89,3,0)*0.475*44/12</f>
        <v>2.981563783899841E-24</v>
      </c>
      <c r="AX197" s="21">
        <f t="shared" si="166"/>
        <v>0.73688044203612557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>
        <f>BD197*VLOOKUP('Données projet'!$B$11,Paramètres!$A$1:$I$89,3,0)*VLOOKUP('Données projet'!$B$11,Paramètres!$A$1:$I$89,5,0)</f>
        <v>0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405.7176439604217</v>
      </c>
      <c r="BJ197" s="59">
        <f t="shared" ref="BJ197:BJ203" si="206">$BJ$3</f>
        <v>278.21741231699929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0.28397780961892155</v>
      </c>
      <c r="BQ197" s="21">
        <f>EXP(-LN(2)/25)*BQ196+(1-EXP(-LN(2)/25))/(LN(2)/25)*Calculateur!BL197*Calculateur!BN197*VLOOKUP('Données projet'!$B$11,Paramètres!$A$1:$I$89,3,0)*0.475*44/12</f>
        <v>9.925220511026013E-2</v>
      </c>
      <c r="BR197" s="21">
        <f>EXP(-LN(2)/2)*BR196+(1-EXP(-LN(2)/2))/(LN(2)/2)*BL197*BO197*VLOOKUP('Données projet'!$B$11,Paramètres!$A$1:$I$89,3,0)*0.475*44/12</f>
        <v>1.7649620123214766E-24</v>
      </c>
      <c r="BS197" s="22">
        <f t="shared" si="169"/>
        <v>0.38323001472918167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259.99999999999983</v>
      </c>
      <c r="BZ197" s="13">
        <f>BY197*VLOOKUP('Données projet'!$B$12,Paramètres!$A$1:$I$89,3,0)*VLOOKUP('Données projet'!$B$12,Paramètres!$A$1:$I$89,5,0)</f>
        <v>227.13599999999985</v>
      </c>
      <c r="CA197" s="13">
        <f t="shared" si="170"/>
        <v>55.662966886685133</v>
      </c>
      <c r="CB197" s="20">
        <f t="shared" si="171"/>
        <v>492.5415339943097</v>
      </c>
      <c r="CC197" s="59">
        <f t="shared" si="195"/>
        <v>785.87486732764296</v>
      </c>
      <c r="CD197" s="59">
        <f ca="1">AVERAGE(OFFSET($CC$3,0,0,'Données projet'!$E$12+1,1))-AVERAGE(OFFSET($H$3,0,0,'Données projet'!$E$12+1,1))</f>
        <v>381.72225529388083</v>
      </c>
      <c r="CE197" s="59">
        <f t="shared" ref="CE197:CE203" si="207">$CE$3</f>
        <v>360.05900046417361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0.18695969820500291</v>
      </c>
      <c r="CL197" s="21">
        <f>EXP(-LN(2)/25)*CL196+(1-EXP(-LN(2)/25))/(LN(2)/25)*Calculateur!CG197*Calculateur!CI197*VLOOKUP('Données projet'!$B$12,Paramètres!$A$1:$I$89,3,0)*0.475*44/12</f>
        <v>0.11955245268885795</v>
      </c>
      <c r="CM197" s="21">
        <f>EXP(-LN(2)/2)*CM196+(1-EXP(-LN(2)/2))/(LN(2)/2)*CG197*CJ197*VLOOKUP('Données projet'!$B$12,Paramètres!$A$1:$I$89,3,0)*0.475*44/12</f>
        <v>1.4470502862885743E-24</v>
      </c>
      <c r="CN197" s="22">
        <f t="shared" si="172"/>
        <v>0.30651215089386086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-1.7053025658242404E-13</v>
      </c>
      <c r="CU197" s="17">
        <f>CT197*VLOOKUP('Données projet'!$B$13,Paramètres!$A$1:$I$89,3,0)*VLOOKUP('Données projet'!$B$13,Paramètres!$A$1:$I$89,5,0)</f>
        <v>-1.3567387213697657E-13</v>
      </c>
      <c r="CV197" s="13" t="e">
        <f t="shared" si="173"/>
        <v>#NUM!</v>
      </c>
      <c r="CW197" s="20" t="e">
        <f t="shared" si="174"/>
        <v>#NUM!</v>
      </c>
      <c r="CX197" s="59" t="e">
        <f t="shared" si="196"/>
        <v>#NUM!</v>
      </c>
      <c r="CY197" s="59">
        <f ca="1">AVERAGE(OFFSET($CX$3,0,0,'Données projet'!$E$13+1,1))-AVERAGE(OFFSET($H$3,0,0,'Données projet'!$E$13+1,1))</f>
        <v>299.10536994156814</v>
      </c>
      <c r="CZ197" s="59">
        <f t="shared" ref="CZ197:CZ203" si="208">$CZ$3</f>
        <v>292.57799203101769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0.32721826594394454</v>
      </c>
      <c r="DG197" s="21">
        <f>EXP(-LN(2)/25)*DG196+(1-EXP(-LN(2)/25))/(LN(2)/25)*Calculateur!DB197*Calculateur!DD197*VLOOKUP('Données projet'!$B$13,Paramètres!$A$1:$I$89,3,0)*0.475*44/12</f>
        <v>0.11459864637631455</v>
      </c>
      <c r="DH197" s="21">
        <f>EXP(-LN(2)/2)*DH196+(1-EXP(-LN(2)/2))/(LN(2)/2)*DB197*DE197*VLOOKUP('Données projet'!$B$13,Paramètres!$A$1:$I$89,3,0)*0.475*44/12</f>
        <v>1.8555002352595273E-24</v>
      </c>
      <c r="DI197" s="22">
        <f t="shared" si="175"/>
        <v>0.4418169123202591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2.2737367544323206E-13</v>
      </c>
      <c r="DP197" s="17">
        <f>DO197*VLOOKUP('Données projet'!$B$14,Paramètres!$A$1:$I$89,3,0)*VLOOKUP('Données projet'!$B$14,Paramètres!$A$1:$I$89,5,0)</f>
        <v>1.4897523215040565E-13</v>
      </c>
      <c r="DQ197" s="13">
        <f t="shared" si="176"/>
        <v>2.136562777003313E-12</v>
      </c>
      <c r="DR197" s="20">
        <f t="shared" si="177"/>
        <v>3.9806453659427267E-12</v>
      </c>
      <c r="DS197" s="59">
        <f t="shared" si="197"/>
        <v>293.33333333333729</v>
      </c>
      <c r="DT197" s="59">
        <f ca="1">AVERAGE(OFFSET($DS$3,0,0,'Données projet'!$E$14+1,1))-AVERAGE(OFFSET($H$3,0,0,'Données projet'!$E$14+1,1))</f>
        <v>295.92103934364718</v>
      </c>
      <c r="DU197" s="59">
        <f t="shared" ref="DU197:DU203" si="209">$DU$3</f>
        <v>304.84379909635476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0.17331199772998832</v>
      </c>
      <c r="EB197" s="21">
        <f>EXP(-LN(2)/25)*EB196+(1-EXP(-LN(2)/25))/(LN(2)/25)*Calculateur!DW197*Calculateur!DY197*VLOOKUP('Données projet'!$B$14,Paramètres!$A$1:$I$89,3,0)*0.475*44/12</f>
        <v>7.5801869030377431E-2</v>
      </c>
      <c r="EC197" s="21">
        <f>EXP(-LN(2)/2)*EC196+(1-EXP(-LN(2)/2))/(LN(2)/2)*DW197*DZ197*VLOOKUP('Données projet'!$B$14,Paramètres!$A$1:$I$89,3,0)*0.475*44/12</f>
        <v>1.1900470665991013E-24</v>
      </c>
      <c r="ED197" s="22">
        <f t="shared" si="178"/>
        <v>0.24911386676036573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-1.1368683772161603E-13</v>
      </c>
      <c r="O198" s="13">
        <f>N198*VLOOKUP('Données projet'!$B$9,Paramètres!$A$1:$I$89,3,0)*VLOOKUP('Données projet'!$B$9,Paramètres!$A$1:$I$89,5,0)</f>
        <v>-5.3205440053716299E-14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319.22903094674564</v>
      </c>
      <c r="T198" s="59">
        <f t="shared" si="204"/>
        <v>254.58690973142848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0.34574911454390278</v>
      </c>
      <c r="AA198" s="21">
        <f>EXP(-LN(2)/25)*AA197+(1-EXP(-LN(2)/25))/(LN(2)/25)*Calculateur!V198*Calculateur!X198*VLOOKUP('Données projet'!$B$9,Paramètres!$A$1:$I$89,3,0)*0.475*44/12</f>
        <v>0.11495511907409435</v>
      </c>
      <c r="AB198" s="21">
        <f>EXP(-LN(2)/2)*AB197+(1-EXP(-LN(2)/2))/(LN(2)/2)*V198*Y198*VLOOKUP('Données projet'!$B$9,Paramètres!$A$1:$I$89,3,0)*0.475*44/12</f>
        <v>1.6147953461472675E-24</v>
      </c>
      <c r="AC198" s="22">
        <f t="shared" si="163"/>
        <v>0.46070423361799712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-3.4106051316484809E-13</v>
      </c>
      <c r="AJ198" s="13">
        <f>AI198*VLOOKUP('Données projet'!$B$10,Paramètres!$A$1:$I$89,3,0)*VLOOKUP('Données projet'!$B$10,Paramètres!$A$1:$I$89,5,0)</f>
        <v>-1.9065282685915009E-13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544.48194192356823</v>
      </c>
      <c r="AO198" s="59">
        <f t="shared" si="205"/>
        <v>668.20427590250733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0.27966231657137208</v>
      </c>
      <c r="AV198" s="21">
        <f>EXP(-LN(2)/25)*AV197+(1-EXP(-LN(2)/25))/(LN(2)/25)*Calculateur!AQ198*Calculateur!AS198*VLOOKUP('Données projet'!$B$10,Paramètres!$A$1:$I$89,3,0)*0.475*44/12</f>
        <v>0.43927473527690092</v>
      </c>
      <c r="AW198" s="21">
        <f>EXP(-LN(2)/2)*AW197+(1-EXP(-LN(2)/2))/(LN(2)/2)*AQ198*AT198*VLOOKUP('Données projet'!$B$10,Paramètres!$A$1:$I$89,3,0)*0.475*44/12</f>
        <v>2.1082839701357995E-24</v>
      </c>
      <c r="AX198" s="21">
        <f t="shared" si="166"/>
        <v>0.71893705184827295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>
        <f>BD198*VLOOKUP('Données projet'!$B$11,Paramètres!$A$1:$I$89,3,0)*VLOOKUP('Données projet'!$B$11,Paramètres!$A$1:$I$89,5,0)</f>
        <v>0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405.7176439604217</v>
      </c>
      <c r="BJ198" s="59">
        <f t="shared" si="206"/>
        <v>278.21741231699929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0.27840917798165538</v>
      </c>
      <c r="BQ198" s="21">
        <f>EXP(-LN(2)/25)*BQ197+(1-EXP(-LN(2)/25))/(LN(2)/25)*Calculateur!BL198*Calculateur!BN198*VLOOKUP('Données projet'!$B$11,Paramètres!$A$1:$I$89,3,0)*0.475*44/12</f>
        <v>9.6538148342073443E-2</v>
      </c>
      <c r="BR198" s="21">
        <f>EXP(-LN(2)/2)*BR197+(1-EXP(-LN(2)/2))/(LN(2)/2)*BL198*BO198*VLOOKUP('Données projet'!$B$11,Paramètres!$A$1:$I$89,3,0)*0.475*44/12</f>
        <v>1.248016607449171E-24</v>
      </c>
      <c r="BS198" s="22">
        <f t="shared" si="169"/>
        <v>0.37494732632372885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259.99999999999983</v>
      </c>
      <c r="BZ198" s="13">
        <f>BY198*VLOOKUP('Données projet'!$B$12,Paramètres!$A$1:$I$89,3,0)*VLOOKUP('Données projet'!$B$12,Paramètres!$A$1:$I$89,5,0)</f>
        <v>227.13599999999985</v>
      </c>
      <c r="CA198" s="13">
        <f t="shared" si="170"/>
        <v>55.662966886685133</v>
      </c>
      <c r="CB198" s="20">
        <f t="shared" si="171"/>
        <v>492.5415339943097</v>
      </c>
      <c r="CC198" s="59">
        <f t="shared" si="195"/>
        <v>785.87486732764296</v>
      </c>
      <c r="CD198" s="59">
        <f ca="1">AVERAGE(OFFSET($CC$3,0,0,'Données projet'!$E$12+1,1))-AVERAGE(OFFSET($H$3,0,0,'Données projet'!$E$12+1,1))</f>
        <v>381.72225529388083</v>
      </c>
      <c r="CE198" s="59">
        <f t="shared" si="207"/>
        <v>360.05900046417361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0.18329353255735878</v>
      </c>
      <c r="CL198" s="21">
        <f>EXP(-LN(2)/25)*CL197+(1-EXP(-LN(2)/25))/(LN(2)/25)*Calculateur!CG198*Calculateur!CI198*VLOOKUP('Données projet'!$B$12,Paramètres!$A$1:$I$89,3,0)*0.475*44/12</f>
        <v>0.11628328458309088</v>
      </c>
      <c r="CM198" s="21">
        <f>EXP(-LN(2)/2)*CM197+(1-EXP(-LN(2)/2))/(LN(2)/2)*CG198*CJ198*VLOOKUP('Données projet'!$B$12,Paramètres!$A$1:$I$89,3,0)*0.475*44/12</f>
        <v>1.0232190701525858E-24</v>
      </c>
      <c r="CN198" s="22">
        <f t="shared" si="172"/>
        <v>0.29957681714044965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-1.7053025658242404E-13</v>
      </c>
      <c r="CU198" s="17">
        <f>CT198*VLOOKUP('Données projet'!$B$13,Paramètres!$A$1:$I$89,3,0)*VLOOKUP('Données projet'!$B$13,Paramètres!$A$1:$I$89,5,0)</f>
        <v>-1.3567387213697657E-13</v>
      </c>
      <c r="CV198" s="13" t="e">
        <f t="shared" si="173"/>
        <v>#NUM!</v>
      </c>
      <c r="CW198" s="20" t="e">
        <f t="shared" si="174"/>
        <v>#NUM!</v>
      </c>
      <c r="CX198" s="59" t="e">
        <f t="shared" si="196"/>
        <v>#NUM!</v>
      </c>
      <c r="CY198" s="59">
        <f ca="1">AVERAGE(OFFSET($CX$3,0,0,'Données projet'!$E$13+1,1))-AVERAGE(OFFSET($H$3,0,0,'Données projet'!$E$13+1,1))</f>
        <v>299.10536994156814</v>
      </c>
      <c r="CZ198" s="59">
        <f t="shared" si="208"/>
        <v>292.57799203101769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0.3208017153322188</v>
      </c>
      <c r="DG198" s="21">
        <f>EXP(-LN(2)/25)*DG197+(1-EXP(-LN(2)/25))/(LN(2)/25)*Calculateur!DB198*Calculateur!DD198*VLOOKUP('Données projet'!$B$13,Paramètres!$A$1:$I$89,3,0)*0.475*44/12</f>
        <v>0.11146494036467333</v>
      </c>
      <c r="DH198" s="21">
        <f>EXP(-LN(2)/2)*DH197+(1-EXP(-LN(2)/2))/(LN(2)/2)*DB198*DE198*VLOOKUP('Données projet'!$B$13,Paramètres!$A$1:$I$89,3,0)*0.475*44/12</f>
        <v>1.3120367988452461E-24</v>
      </c>
      <c r="DI198" s="22">
        <f t="shared" si="175"/>
        <v>0.43226665569689215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2.2737367544323206E-13</v>
      </c>
      <c r="DP198" s="17">
        <f>DO198*VLOOKUP('Données projet'!$B$14,Paramètres!$A$1:$I$89,3,0)*VLOOKUP('Données projet'!$B$14,Paramètres!$A$1:$I$89,5,0)</f>
        <v>1.4897523215040565E-13</v>
      </c>
      <c r="DQ198" s="13">
        <f t="shared" si="176"/>
        <v>2.136562777003313E-12</v>
      </c>
      <c r="DR198" s="20">
        <f t="shared" si="177"/>
        <v>3.9806453659427267E-12</v>
      </c>
      <c r="DS198" s="59">
        <f t="shared" si="197"/>
        <v>293.33333333333729</v>
      </c>
      <c r="DT198" s="59">
        <f ca="1">AVERAGE(OFFSET($DS$3,0,0,'Données projet'!$E$14+1,1))-AVERAGE(OFFSET($H$3,0,0,'Données projet'!$E$14+1,1))</f>
        <v>295.92103934364718</v>
      </c>
      <c r="DU198" s="59">
        <f t="shared" si="209"/>
        <v>304.84379909635476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0.16991345516438389</v>
      </c>
      <c r="EB198" s="21">
        <f>EXP(-LN(2)/25)*EB197+(1-EXP(-LN(2)/25))/(LN(2)/25)*Calculateur!DW198*Calculateur!DY198*VLOOKUP('Données projet'!$B$14,Paramètres!$A$1:$I$89,3,0)*0.475*44/12</f>
        <v>7.3729062935494721E-2</v>
      </c>
      <c r="EC198" s="21">
        <f>EXP(-LN(2)/2)*EC197+(1-EXP(-LN(2)/2))/(LN(2)/2)*DW198*DZ198*VLOOKUP('Données projet'!$B$14,Paramètres!$A$1:$I$89,3,0)*0.475*44/12</f>
        <v>8.4149035072338345E-25</v>
      </c>
      <c r="ED198" s="22">
        <f t="shared" si="178"/>
        <v>0.24364251809987861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-1.1368683772161603E-13</v>
      </c>
      <c r="O199" s="13">
        <f>N199*VLOOKUP('Données projet'!$B$9,Paramètres!$A$1:$I$89,3,0)*VLOOKUP('Données projet'!$B$9,Paramètres!$A$1:$I$89,5,0)</f>
        <v>-5.3205440053716299E-14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319.22903094674564</v>
      </c>
      <c r="T199" s="59">
        <f t="shared" si="204"/>
        <v>254.58690973142848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0.33896918529383346</v>
      </c>
      <c r="AA199" s="21">
        <f>EXP(-LN(2)/25)*AA198+(1-EXP(-LN(2)/25))/(LN(2)/25)*Calculateur!V199*Calculateur!X199*VLOOKUP('Données projet'!$B$9,Paramètres!$A$1:$I$89,3,0)*0.475*44/12</f>
        <v>0.11181166529778626</v>
      </c>
      <c r="AB199" s="21">
        <f>EXP(-LN(2)/2)*AB198+(1-EXP(-LN(2)/2))/(LN(2)/2)*V199*Y199*VLOOKUP('Données projet'!$B$9,Paramètres!$A$1:$I$89,3,0)*0.475*44/12</f>
        <v>1.1418327394892113E-24</v>
      </c>
      <c r="AC199" s="22">
        <f t="shared" si="163"/>
        <v>0.45078085059161971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-3.4106051316484809E-13</v>
      </c>
      <c r="AJ199" s="13">
        <f>AI199*VLOOKUP('Données projet'!$B$10,Paramètres!$A$1:$I$89,3,0)*VLOOKUP('Données projet'!$B$10,Paramètres!$A$1:$I$89,5,0)</f>
        <v>-1.9065282685915009E-13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544.48194192356823</v>
      </c>
      <c r="AO199" s="59">
        <f t="shared" si="205"/>
        <v>668.20427590250733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0.2741783091205775</v>
      </c>
      <c r="AV199" s="21">
        <f>EXP(-LN(2)/25)*AV198+(1-EXP(-LN(2)/25))/(LN(2)/25)*Calculateur!AQ199*Calculateur!AS199*VLOOKUP('Données projet'!$B$10,Paramètres!$A$1:$I$89,3,0)*0.475*44/12</f>
        <v>0.42726274454029972</v>
      </c>
      <c r="AW199" s="21">
        <f>EXP(-LN(2)/2)*AW198+(1-EXP(-LN(2)/2))/(LN(2)/2)*AQ199*AT199*VLOOKUP('Données projet'!$B$10,Paramètres!$A$1:$I$89,3,0)*0.475*44/12</f>
        <v>1.4907818919499205E-24</v>
      </c>
      <c r="AX199" s="21">
        <f t="shared" si="166"/>
        <v>0.70144105366087728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>
        <f>BD199*VLOOKUP('Données projet'!$B$11,Paramètres!$A$1:$I$89,3,0)*VLOOKUP('Données projet'!$B$11,Paramètres!$A$1:$I$89,5,0)</f>
        <v>0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405.7176439604217</v>
      </c>
      <c r="BJ199" s="59">
        <f t="shared" si="206"/>
        <v>278.21741231699929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0.27294974381426607</v>
      </c>
      <c r="BQ199" s="21">
        <f>EXP(-LN(2)/25)*BQ198+(1-EXP(-LN(2)/25))/(LN(2)/25)*Calculateur!BL199*Calculateur!BN199*VLOOKUP('Données projet'!$B$11,Paramètres!$A$1:$I$89,3,0)*0.475*44/12</f>
        <v>9.3898307598938871E-2</v>
      </c>
      <c r="BR199" s="21">
        <f>EXP(-LN(2)/2)*BR198+(1-EXP(-LN(2)/2))/(LN(2)/2)*BL199*BO199*VLOOKUP('Données projet'!$B$11,Paramètres!$A$1:$I$89,3,0)*0.475*44/12</f>
        <v>8.8248100616073832E-25</v>
      </c>
      <c r="BS199" s="22">
        <f t="shared" si="169"/>
        <v>0.36684805141320492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259.99999999999983</v>
      </c>
      <c r="BZ199" s="13">
        <f>BY199*VLOOKUP('Données projet'!$B$12,Paramètres!$A$1:$I$89,3,0)*VLOOKUP('Données projet'!$B$12,Paramètres!$A$1:$I$89,5,0)</f>
        <v>227.13599999999985</v>
      </c>
      <c r="CA199" s="13">
        <f t="shared" si="170"/>
        <v>55.662966886685133</v>
      </c>
      <c r="CB199" s="20">
        <f t="shared" si="171"/>
        <v>492.5415339943097</v>
      </c>
      <c r="CC199" s="59">
        <f t="shared" si="195"/>
        <v>785.87486732764296</v>
      </c>
      <c r="CD199" s="59">
        <f ca="1">AVERAGE(OFFSET($CC$3,0,0,'Données projet'!$E$12+1,1))-AVERAGE(OFFSET($H$3,0,0,'Données projet'!$E$12+1,1))</f>
        <v>381.72225529388083</v>
      </c>
      <c r="CE199" s="59">
        <f t="shared" si="207"/>
        <v>360.05900046417361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0.1796992581819247</v>
      </c>
      <c r="CL199" s="21">
        <f>EXP(-LN(2)/25)*CL198+(1-EXP(-LN(2)/25))/(LN(2)/25)*Calculateur!CG199*Calculateur!CI199*VLOOKUP('Données projet'!$B$12,Paramètres!$A$1:$I$89,3,0)*0.475*44/12</f>
        <v>0.11310351205109409</v>
      </c>
      <c r="CM199" s="21">
        <f>EXP(-LN(2)/2)*CM198+(1-EXP(-LN(2)/2))/(LN(2)/2)*CG199*CJ199*VLOOKUP('Données projet'!$B$12,Paramètres!$A$1:$I$89,3,0)*0.475*44/12</f>
        <v>7.2352514314428715E-25</v>
      </c>
      <c r="CN199" s="22">
        <f t="shared" si="172"/>
        <v>0.29280277023301882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-1.7053025658242404E-13</v>
      </c>
      <c r="CU199" s="17">
        <f>CT199*VLOOKUP('Données projet'!$B$13,Paramètres!$A$1:$I$89,3,0)*VLOOKUP('Données projet'!$B$13,Paramètres!$A$1:$I$89,5,0)</f>
        <v>-1.3567387213697657E-13</v>
      </c>
      <c r="CV199" s="13" t="e">
        <f t="shared" si="173"/>
        <v>#NUM!</v>
      </c>
      <c r="CW199" s="20" t="e">
        <f t="shared" si="174"/>
        <v>#NUM!</v>
      </c>
      <c r="CX199" s="59" t="e">
        <f t="shared" si="196"/>
        <v>#NUM!</v>
      </c>
      <c r="CY199" s="59">
        <f ca="1">AVERAGE(OFFSET($CX$3,0,0,'Données projet'!$E$13+1,1))-AVERAGE(OFFSET($H$3,0,0,'Données projet'!$E$13+1,1))</f>
        <v>299.10536994156814</v>
      </c>
      <c r="CZ199" s="59">
        <f t="shared" si="208"/>
        <v>292.57799203101769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0.31451098936427957</v>
      </c>
      <c r="DG199" s="21">
        <f>EXP(-LN(2)/25)*DG198+(1-EXP(-LN(2)/25))/(LN(2)/25)*Calculateur!DB199*Calculateur!DD199*VLOOKUP('Données projet'!$B$13,Paramètres!$A$1:$I$89,3,0)*0.475*44/12</f>
        <v>0.10841692570871488</v>
      </c>
      <c r="DH199" s="21">
        <f>EXP(-LN(2)/2)*DH198+(1-EXP(-LN(2)/2))/(LN(2)/2)*DB199*DE199*VLOOKUP('Données projet'!$B$13,Paramètres!$A$1:$I$89,3,0)*0.475*44/12</f>
        <v>9.2775011762976367E-25</v>
      </c>
      <c r="DI199" s="22">
        <f t="shared" si="175"/>
        <v>0.42292791507299443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2.2737367544323206E-13</v>
      </c>
      <c r="DP199" s="17">
        <f>DO199*VLOOKUP('Données projet'!$B$14,Paramètres!$A$1:$I$89,3,0)*VLOOKUP('Données projet'!$B$14,Paramètres!$A$1:$I$89,5,0)</f>
        <v>1.4897523215040565E-13</v>
      </c>
      <c r="DQ199" s="13">
        <f t="shared" si="176"/>
        <v>2.136562777003313E-12</v>
      </c>
      <c r="DR199" s="20">
        <f t="shared" si="177"/>
        <v>3.9806453659427267E-12</v>
      </c>
      <c r="DS199" s="59">
        <f t="shared" si="197"/>
        <v>293.33333333333729</v>
      </c>
      <c r="DT199" s="59">
        <f ca="1">AVERAGE(OFFSET($DS$3,0,0,'Données projet'!$E$14+1,1))-AVERAGE(OFFSET($H$3,0,0,'Données projet'!$E$14+1,1))</f>
        <v>295.92103934364718</v>
      </c>
      <c r="DU199" s="59">
        <f t="shared" si="209"/>
        <v>304.84379909635476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0.16658155594558466</v>
      </c>
      <c r="EB199" s="21">
        <f>EXP(-LN(2)/25)*EB198+(1-EXP(-LN(2)/25))/(LN(2)/25)*Calculateur!DW199*Calculateur!DY199*VLOOKUP('Données projet'!$B$14,Paramètres!$A$1:$I$89,3,0)*0.475*44/12</f>
        <v>7.1712937832280707E-2</v>
      </c>
      <c r="EC199" s="21">
        <f>EXP(-LN(2)/2)*EC198+(1-EXP(-LN(2)/2))/(LN(2)/2)*DW199*DZ199*VLOOKUP('Données projet'!$B$14,Paramètres!$A$1:$I$89,3,0)*0.475*44/12</f>
        <v>5.9502353329955064E-25</v>
      </c>
      <c r="ED199" s="22">
        <f t="shared" si="178"/>
        <v>0.23829449377786538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-1.1368683772161603E-13</v>
      </c>
      <c r="O200" s="13">
        <f>N200*VLOOKUP('Données projet'!$B$9,Paramètres!$A$1:$I$89,3,0)*VLOOKUP('Données projet'!$B$9,Paramètres!$A$1:$I$89,5,0)</f>
        <v>-5.3205440053716299E-14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319.22903094674564</v>
      </c>
      <c r="T200" s="59">
        <f t="shared" si="204"/>
        <v>254.58690973142848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0.33232220632100945</v>
      </c>
      <c r="AA200" s="21">
        <f>EXP(-LN(2)/25)*AA199+(1-EXP(-LN(2)/25))/(LN(2)/25)*Calculateur!V200*Calculateur!X200*VLOOKUP('Données projet'!$B$9,Paramètres!$A$1:$I$89,3,0)*0.475*44/12</f>
        <v>0.10875416943029836</v>
      </c>
      <c r="AB200" s="21">
        <f>EXP(-LN(2)/2)*AB199+(1-EXP(-LN(2)/2))/(LN(2)/2)*V200*Y200*VLOOKUP('Données projet'!$B$9,Paramètres!$A$1:$I$89,3,0)*0.475*44/12</f>
        <v>8.0739767307363384E-25</v>
      </c>
      <c r="AC200" s="22">
        <f t="shared" si="163"/>
        <v>0.44107637575130781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-3.4106051316484809E-13</v>
      </c>
      <c r="AJ200" s="13">
        <f>AI200*VLOOKUP('Données projet'!$B$10,Paramètres!$A$1:$I$89,3,0)*VLOOKUP('Données projet'!$B$10,Paramètres!$A$1:$I$89,5,0)</f>
        <v>-1.9065282685915009E-13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544.48194192356823</v>
      </c>
      <c r="AO200" s="59">
        <f t="shared" si="205"/>
        <v>668.20427590250733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0.26880183971097871</v>
      </c>
      <c r="AV200" s="21">
        <f>EXP(-LN(2)/25)*AV199+(1-EXP(-LN(2)/25))/(LN(2)/25)*Calculateur!AQ200*Calculateur!AS200*VLOOKUP('Données projet'!$B$10,Paramètres!$A$1:$I$89,3,0)*0.475*44/12</f>
        <v>0.415579222322074</v>
      </c>
      <c r="AW200" s="21">
        <f>EXP(-LN(2)/2)*AW199+(1-EXP(-LN(2)/2))/(LN(2)/2)*AQ200*AT200*VLOOKUP('Données projet'!$B$10,Paramètres!$A$1:$I$89,3,0)*0.475*44/12</f>
        <v>1.0541419850678998E-24</v>
      </c>
      <c r="AX200" s="21">
        <f t="shared" si="166"/>
        <v>0.68438106203305271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>
        <f>BD200*VLOOKUP('Données projet'!$B$11,Paramètres!$A$1:$I$89,3,0)*VLOOKUP('Données projet'!$B$11,Paramètres!$A$1:$I$89,5,0)</f>
        <v>0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405.7176439604217</v>
      </c>
      <c r="BJ200" s="59">
        <f t="shared" si="206"/>
        <v>278.21741231699929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0.26759736582097321</v>
      </c>
      <c r="BQ200" s="21">
        <f>EXP(-LN(2)/25)*BQ199+(1-EXP(-LN(2)/25))/(LN(2)/25)*Calculateur!BL200*Calculateur!BN200*VLOOKUP('Données projet'!$B$11,Paramètres!$A$1:$I$89,3,0)*0.475*44/12</f>
        <v>9.1330653439748499E-2</v>
      </c>
      <c r="BR200" s="21">
        <f>EXP(-LN(2)/2)*BR199+(1-EXP(-LN(2)/2))/(LN(2)/2)*BL200*BO200*VLOOKUP('Données projet'!$B$11,Paramètres!$A$1:$I$89,3,0)*0.475*44/12</f>
        <v>6.2400830372458549E-25</v>
      </c>
      <c r="BS200" s="22">
        <f t="shared" si="169"/>
        <v>0.35892801926072171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259.99999999999983</v>
      </c>
      <c r="BZ200" s="13">
        <f>BY200*VLOOKUP('Données projet'!$B$12,Paramètres!$A$1:$I$89,3,0)*VLOOKUP('Données projet'!$B$12,Paramètres!$A$1:$I$89,5,0)</f>
        <v>227.13599999999985</v>
      </c>
      <c r="CA200" s="13">
        <f t="shared" si="170"/>
        <v>55.662966886685133</v>
      </c>
      <c r="CB200" s="20">
        <f t="shared" si="171"/>
        <v>492.5415339943097</v>
      </c>
      <c r="CC200" s="59">
        <f t="shared" si="195"/>
        <v>785.87486732764296</v>
      </c>
      <c r="CD200" s="59">
        <f ca="1">AVERAGE(OFFSET($CC$3,0,0,'Données projet'!$E$12+1,1))-AVERAGE(OFFSET($H$3,0,0,'Données projet'!$E$12+1,1))</f>
        <v>381.72225529388083</v>
      </c>
      <c r="CE200" s="59">
        <f t="shared" si="207"/>
        <v>360.05900046417361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0.17617546533470199</v>
      </c>
      <c r="CL200" s="21">
        <f>EXP(-LN(2)/25)*CL199+(1-EXP(-LN(2)/25))/(LN(2)/25)*Calculateur!CG200*Calculateur!CI200*VLOOKUP('Données projet'!$B$12,Paramètres!$A$1:$I$89,3,0)*0.475*44/12</f>
        <v>0.11001069056620172</v>
      </c>
      <c r="CM200" s="21">
        <f>EXP(-LN(2)/2)*CM199+(1-EXP(-LN(2)/2))/(LN(2)/2)*CG200*CJ200*VLOOKUP('Données projet'!$B$12,Paramètres!$A$1:$I$89,3,0)*0.475*44/12</f>
        <v>5.1160953507629292E-25</v>
      </c>
      <c r="CN200" s="22">
        <f t="shared" si="172"/>
        <v>0.28618615590090368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-1.7053025658242404E-13</v>
      </c>
      <c r="CU200" s="17">
        <f>CT200*VLOOKUP('Données projet'!$B$13,Paramètres!$A$1:$I$89,3,0)*VLOOKUP('Données projet'!$B$13,Paramètres!$A$1:$I$89,5,0)</f>
        <v>-1.3567387213697657E-13</v>
      </c>
      <c r="CV200" s="13" t="e">
        <f t="shared" si="173"/>
        <v>#NUM!</v>
      </c>
      <c r="CW200" s="20" t="e">
        <f t="shared" si="174"/>
        <v>#NUM!</v>
      </c>
      <c r="CX200" s="59" t="e">
        <f t="shared" si="196"/>
        <v>#NUM!</v>
      </c>
      <c r="CY200" s="59">
        <f ca="1">AVERAGE(OFFSET($CX$3,0,0,'Données projet'!$E$13+1,1))-AVERAGE(OFFSET($H$3,0,0,'Données projet'!$E$13+1,1))</f>
        <v>299.10536994156814</v>
      </c>
      <c r="CZ200" s="59">
        <f t="shared" si="208"/>
        <v>292.57799203101769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0.30834362069560767</v>
      </c>
      <c r="DG200" s="21">
        <f>EXP(-LN(2)/25)*DG199+(1-EXP(-LN(2)/25))/(LN(2)/25)*Calculateur!DB200*Calculateur!DD200*VLOOKUP('Données projet'!$B$13,Paramètres!$A$1:$I$89,3,0)*0.475*44/12</f>
        <v>0.10545225917381174</v>
      </c>
      <c r="DH200" s="21">
        <f>EXP(-LN(2)/2)*DH199+(1-EXP(-LN(2)/2))/(LN(2)/2)*DB200*DE200*VLOOKUP('Données projet'!$B$13,Paramètres!$A$1:$I$89,3,0)*0.475*44/12</f>
        <v>6.5601839942262305E-25</v>
      </c>
      <c r="DI200" s="22">
        <f t="shared" si="175"/>
        <v>0.4137958798694194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2.2737367544323206E-13</v>
      </c>
      <c r="DP200" s="17">
        <f>DO200*VLOOKUP('Données projet'!$B$14,Paramètres!$A$1:$I$89,3,0)*VLOOKUP('Données projet'!$B$14,Paramètres!$A$1:$I$89,5,0)</f>
        <v>1.4897523215040565E-13</v>
      </c>
      <c r="DQ200" s="13">
        <f t="shared" si="176"/>
        <v>2.136562777003313E-12</v>
      </c>
      <c r="DR200" s="20">
        <f t="shared" si="177"/>
        <v>3.9806453659427267E-12</v>
      </c>
      <c r="DS200" s="59">
        <f t="shared" si="197"/>
        <v>293.33333333333729</v>
      </c>
      <c r="DT200" s="59">
        <f ca="1">AVERAGE(OFFSET($DS$3,0,0,'Données projet'!$E$14+1,1))-AVERAGE(OFFSET($H$3,0,0,'Données projet'!$E$14+1,1))</f>
        <v>295.92103934364718</v>
      </c>
      <c r="DU200" s="59">
        <f t="shared" si="209"/>
        <v>304.84379909635476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0.16331499323820825</v>
      </c>
      <c r="EB200" s="21">
        <f>EXP(-LN(2)/25)*EB199+(1-EXP(-LN(2)/25))/(LN(2)/25)*Calculateur!DW200*Calculateur!DY200*VLOOKUP('Données projet'!$B$14,Paramètres!$A$1:$I$89,3,0)*0.475*44/12</f>
        <v>6.9751943776037495E-2</v>
      </c>
      <c r="EC200" s="21">
        <f>EXP(-LN(2)/2)*EC199+(1-EXP(-LN(2)/2))/(LN(2)/2)*DW200*DZ200*VLOOKUP('Données projet'!$B$14,Paramètres!$A$1:$I$89,3,0)*0.475*44/12</f>
        <v>4.2074517536169172E-25</v>
      </c>
      <c r="ED200" s="22">
        <f t="shared" si="178"/>
        <v>0.23306693701424575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-1.1368683772161603E-13</v>
      </c>
      <c r="O201" s="13">
        <f>N201*VLOOKUP('Données projet'!$B$9,Paramètres!$A$1:$I$89,3,0)*VLOOKUP('Données projet'!$B$9,Paramètres!$A$1:$I$89,5,0)</f>
        <v>-5.3205440053716299E-14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319.22903094674564</v>
      </c>
      <c r="T201" s="59">
        <f t="shared" si="204"/>
        <v>254.58690973142848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0.32580557055158571</v>
      </c>
      <c r="AA201" s="21">
        <f>EXP(-LN(2)/25)*AA200+(1-EXP(-LN(2)/25))/(LN(2)/25)*Calculateur!V201*Calculateur!X201*VLOOKUP('Données projet'!$B$9,Paramètres!$A$1:$I$89,3,0)*0.475*44/12</f>
        <v>0.10578028094809365</v>
      </c>
      <c r="AB201" s="21">
        <f>EXP(-LN(2)/2)*AB200+(1-EXP(-LN(2)/2))/(LN(2)/2)*V201*Y201*VLOOKUP('Données projet'!$B$9,Paramètres!$A$1:$I$89,3,0)*0.475*44/12</f>
        <v>5.7091636974460572E-25</v>
      </c>
      <c r="AC201" s="22">
        <f t="shared" si="163"/>
        <v>0.43158585149967937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-3.4106051316484809E-13</v>
      </c>
      <c r="AJ201" s="13">
        <f>AI201*VLOOKUP('Données projet'!$B$10,Paramètres!$A$1:$I$89,3,0)*VLOOKUP('Données projet'!$B$10,Paramètres!$A$1:$I$89,5,0)</f>
        <v>-1.9065282685915009E-13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544.48194192356823</v>
      </c>
      <c r="AO201" s="59">
        <f t="shared" si="205"/>
        <v>668.20427590250733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0.26353079958717962</v>
      </c>
      <c r="AV201" s="21">
        <f>EXP(-LN(2)/25)*AV200+(1-EXP(-LN(2)/25))/(LN(2)/25)*Calculateur!AQ201*Calculateur!AS201*VLOOKUP('Données projet'!$B$10,Paramètres!$A$1:$I$89,3,0)*0.475*44/12</f>
        <v>0.4042151866333154</v>
      </c>
      <c r="AW201" s="21">
        <f>EXP(-LN(2)/2)*AW200+(1-EXP(-LN(2)/2))/(LN(2)/2)*AQ201*AT201*VLOOKUP('Données projet'!$B$10,Paramètres!$A$1:$I$89,3,0)*0.475*44/12</f>
        <v>7.4539094597496025E-25</v>
      </c>
      <c r="AX201" s="21">
        <f t="shared" si="166"/>
        <v>0.66774598622049508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>
        <f>BD201*VLOOKUP('Données projet'!$B$11,Paramètres!$A$1:$I$89,3,0)*VLOOKUP('Données projet'!$B$11,Paramètres!$A$1:$I$89,5,0)</f>
        <v>0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405.7176439604217</v>
      </c>
      <c r="BJ201" s="59">
        <f t="shared" si="206"/>
        <v>278.21741231699929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0.2623499446955006</v>
      </c>
      <c r="BQ201" s="21">
        <f>EXP(-LN(2)/25)*BQ200+(1-EXP(-LN(2)/25))/(LN(2)/25)*Calculateur!BL201*Calculateur!BN201*VLOOKUP('Données projet'!$B$11,Paramètres!$A$1:$I$89,3,0)*0.475*44/12</f>
        <v>8.8833211918568245E-2</v>
      </c>
      <c r="BR201" s="21">
        <f>EXP(-LN(2)/2)*BR200+(1-EXP(-LN(2)/2))/(LN(2)/2)*BL201*BO201*VLOOKUP('Données projet'!$B$11,Paramètres!$A$1:$I$89,3,0)*0.475*44/12</f>
        <v>4.4124050308036916E-25</v>
      </c>
      <c r="BS201" s="22">
        <f t="shared" si="169"/>
        <v>0.35118315661406885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259.99999999999983</v>
      </c>
      <c r="BZ201" s="13">
        <f>BY201*VLOOKUP('Données projet'!$B$12,Paramètres!$A$1:$I$89,3,0)*VLOOKUP('Données projet'!$B$12,Paramètres!$A$1:$I$89,5,0)</f>
        <v>227.13599999999985</v>
      </c>
      <c r="CA201" s="13">
        <f t="shared" si="170"/>
        <v>55.662966886685133</v>
      </c>
      <c r="CB201" s="20">
        <f t="shared" si="171"/>
        <v>492.5415339943097</v>
      </c>
      <c r="CC201" s="59">
        <f t="shared" si="195"/>
        <v>785.87486732764296</v>
      </c>
      <c r="CD201" s="59">
        <f ca="1">AVERAGE(OFFSET($CC$3,0,0,'Données projet'!$E$12+1,1))-AVERAGE(OFFSET($H$3,0,0,'Données projet'!$E$12+1,1))</f>
        <v>381.72225529388083</v>
      </c>
      <c r="CE201" s="59">
        <f t="shared" si="207"/>
        <v>360.05900046417361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0.1727207719159119</v>
      </c>
      <c r="CL201" s="21">
        <f>EXP(-LN(2)/25)*CL200+(1-EXP(-LN(2)/25))/(LN(2)/25)*Calculateur!CG201*Calculateur!CI201*VLOOKUP('Données projet'!$B$12,Paramètres!$A$1:$I$89,3,0)*0.475*44/12</f>
        <v>0.10700244244745814</v>
      </c>
      <c r="CM201" s="21">
        <f>EXP(-LN(2)/2)*CM200+(1-EXP(-LN(2)/2))/(LN(2)/2)*CG201*CJ201*VLOOKUP('Données projet'!$B$12,Paramètres!$A$1:$I$89,3,0)*0.475*44/12</f>
        <v>3.6176257157214357E-25</v>
      </c>
      <c r="CN201" s="22">
        <f t="shared" si="172"/>
        <v>0.27972321436337005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-1.7053025658242404E-13</v>
      </c>
      <c r="CU201" s="17">
        <f>CT201*VLOOKUP('Données projet'!$B$13,Paramètres!$A$1:$I$89,3,0)*VLOOKUP('Données projet'!$B$13,Paramètres!$A$1:$I$89,5,0)</f>
        <v>-1.3567387213697657E-13</v>
      </c>
      <c r="CV201" s="13" t="e">
        <f t="shared" si="173"/>
        <v>#NUM!</v>
      </c>
      <c r="CW201" s="20" t="e">
        <f t="shared" si="174"/>
        <v>#NUM!</v>
      </c>
      <c r="CX201" s="59" t="e">
        <f t="shared" si="196"/>
        <v>#NUM!</v>
      </c>
      <c r="CY201" s="59">
        <f ca="1">AVERAGE(OFFSET($CX$3,0,0,'Données projet'!$E$13+1,1))-AVERAGE(OFFSET($H$3,0,0,'Données projet'!$E$13+1,1))</f>
        <v>299.10536994156814</v>
      </c>
      <c r="CZ201" s="59">
        <f t="shared" si="208"/>
        <v>292.57799203101769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0.30229719036480496</v>
      </c>
      <c r="DG201" s="21">
        <f>EXP(-LN(2)/25)*DG200+(1-EXP(-LN(2)/25))/(LN(2)/25)*Calculateur!DB201*Calculateur!DD201*VLOOKUP('Données projet'!$B$13,Paramètres!$A$1:$I$89,3,0)*0.475*44/12</f>
        <v>0.10256866160121056</v>
      </c>
      <c r="DH201" s="21">
        <f>EXP(-LN(2)/2)*DH200+(1-EXP(-LN(2)/2))/(LN(2)/2)*DB201*DE201*VLOOKUP('Données projet'!$B$13,Paramètres!$A$1:$I$89,3,0)*0.475*44/12</f>
        <v>4.6387505881488184E-25</v>
      </c>
      <c r="DI201" s="22">
        <f t="shared" si="175"/>
        <v>0.40486585196601554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2.2737367544323206E-13</v>
      </c>
      <c r="DP201" s="17">
        <f>DO201*VLOOKUP('Données projet'!$B$14,Paramètres!$A$1:$I$89,3,0)*VLOOKUP('Données projet'!$B$14,Paramètres!$A$1:$I$89,5,0)</f>
        <v>1.4897523215040565E-13</v>
      </c>
      <c r="DQ201" s="13">
        <f t="shared" si="176"/>
        <v>2.136562777003313E-12</v>
      </c>
      <c r="DR201" s="20">
        <f t="shared" si="177"/>
        <v>3.9806453659427267E-12</v>
      </c>
      <c r="DS201" s="59">
        <f t="shared" si="197"/>
        <v>293.33333333333729</v>
      </c>
      <c r="DT201" s="59">
        <f ca="1">AVERAGE(OFFSET($DS$3,0,0,'Données projet'!$E$14+1,1))-AVERAGE(OFFSET($H$3,0,0,'Données projet'!$E$14+1,1))</f>
        <v>295.92103934364718</v>
      </c>
      <c r="DU201" s="59">
        <f t="shared" si="209"/>
        <v>304.84379909635476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0.16011248583311696</v>
      </c>
      <c r="EB201" s="21">
        <f>EXP(-LN(2)/25)*EB200+(1-EXP(-LN(2)/25))/(LN(2)/25)*Calculateur!DW201*Calculateur!DY201*VLOOKUP('Données projet'!$B$14,Paramètres!$A$1:$I$89,3,0)*0.475*44/12</f>
        <v>6.7844573205386449E-2</v>
      </c>
      <c r="EC201" s="21">
        <f>EXP(-LN(2)/2)*EC200+(1-EXP(-LN(2)/2))/(LN(2)/2)*DW201*DZ201*VLOOKUP('Données projet'!$B$14,Paramètres!$A$1:$I$89,3,0)*0.475*44/12</f>
        <v>2.9751176664977532E-25</v>
      </c>
      <c r="ED201" s="22">
        <f t="shared" si="178"/>
        <v>0.22795705903850341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-1.1368683772161603E-13</v>
      </c>
      <c r="O202" s="13">
        <f>N202*VLOOKUP('Données projet'!$B$9,Paramètres!$A$1:$I$89,3,0)*VLOOKUP('Données projet'!$B$9,Paramètres!$A$1:$I$89,5,0)</f>
        <v>-5.3205440053716299E-14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319.22903094674564</v>
      </c>
      <c r="T202" s="59">
        <f t="shared" si="204"/>
        <v>254.58690973142848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0.319416722034845</v>
      </c>
      <c r="AA202" s="21">
        <f>EXP(-LN(2)/25)*AA201+(1-EXP(-LN(2)/25))/(LN(2)/25)*Calculateur!V202*Calculateur!X202*VLOOKUP('Données projet'!$B$9,Paramètres!$A$1:$I$89,3,0)*0.475*44/12</f>
        <v>0.10288771360282482</v>
      </c>
      <c r="AB202" s="21">
        <f>EXP(-LN(2)/2)*AB201+(1-EXP(-LN(2)/2))/(LN(2)/2)*V202*Y202*VLOOKUP('Données projet'!$B$9,Paramètres!$A$1:$I$89,3,0)*0.475*44/12</f>
        <v>4.0369883653681701E-25</v>
      </c>
      <c r="AC202" s="22">
        <f t="shared" si="163"/>
        <v>0.42230443563766984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-3.4106051316484809E-13</v>
      </c>
      <c r="AJ202" s="13">
        <f>AI202*VLOOKUP('Données projet'!$B$10,Paramètres!$A$1:$I$89,3,0)*VLOOKUP('Données projet'!$B$10,Paramètres!$A$1:$I$89,5,0)</f>
        <v>-1.9065282685915009E-13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544.48194192356823</v>
      </c>
      <c r="AO202" s="59">
        <f t="shared" si="205"/>
        <v>668.20427590250733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0.25836312134519124</v>
      </c>
      <c r="AV202" s="21">
        <f>EXP(-LN(2)/25)*AV201+(1-EXP(-LN(2)/25))/(LN(2)/25)*Calculateur!AQ202*Calculateur!AS202*VLOOKUP('Données projet'!$B$10,Paramètres!$A$1:$I$89,3,0)*0.475*44/12</f>
        <v>0.39316190109807458</v>
      </c>
      <c r="AW202" s="21">
        <f>EXP(-LN(2)/2)*AW201+(1-EXP(-LN(2)/2))/(LN(2)/2)*AQ202*AT202*VLOOKUP('Données projet'!$B$10,Paramètres!$A$1:$I$89,3,0)*0.475*44/12</f>
        <v>5.2707099253394988E-25</v>
      </c>
      <c r="AX202" s="21">
        <f t="shared" si="166"/>
        <v>0.65152502244326582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>
        <f>BD202*VLOOKUP('Données projet'!$B$11,Paramètres!$A$1:$I$89,3,0)*VLOOKUP('Données projet'!$B$11,Paramètres!$A$1:$I$89,5,0)</f>
        <v>0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405.7176439604217</v>
      </c>
      <c r="BJ202" s="59">
        <f t="shared" si="206"/>
        <v>278.21741231699929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0.25720542229768767</v>
      </c>
      <c r="BQ202" s="21">
        <f>EXP(-LN(2)/25)*BQ201+(1-EXP(-LN(2)/25))/(LN(2)/25)*Calculateur!BL202*Calculateur!BN202*VLOOKUP('Données projet'!$B$11,Paramètres!$A$1:$I$89,3,0)*0.475*44/12</f>
        <v>8.640406306711941E-2</v>
      </c>
      <c r="BR202" s="21">
        <f>EXP(-LN(2)/2)*BR201+(1-EXP(-LN(2)/2))/(LN(2)/2)*BL202*BO202*VLOOKUP('Données projet'!$B$11,Paramètres!$A$1:$I$89,3,0)*0.475*44/12</f>
        <v>3.1200415186229275E-25</v>
      </c>
      <c r="BS202" s="22">
        <f t="shared" si="169"/>
        <v>0.34360948536480707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259.99999999999983</v>
      </c>
      <c r="BZ202" s="13">
        <f>BY202*VLOOKUP('Données projet'!$B$12,Paramètres!$A$1:$I$89,3,0)*VLOOKUP('Données projet'!$B$12,Paramètres!$A$1:$I$89,5,0)</f>
        <v>227.13599999999985</v>
      </c>
      <c r="CA202" s="13">
        <f t="shared" si="170"/>
        <v>55.662966886685133</v>
      </c>
      <c r="CB202" s="20">
        <f t="shared" si="171"/>
        <v>492.5415339943097</v>
      </c>
      <c r="CC202" s="59">
        <f t="shared" si="195"/>
        <v>785.87486732764296</v>
      </c>
      <c r="CD202" s="59">
        <f ca="1">AVERAGE(OFFSET($CC$3,0,0,'Données projet'!$E$12+1,1))-AVERAGE(OFFSET($H$3,0,0,'Données projet'!$E$12+1,1))</f>
        <v>381.72225529388083</v>
      </c>
      <c r="CE202" s="59">
        <f t="shared" si="207"/>
        <v>360.05900046417361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0.16933382292790936</v>
      </c>
      <c r="CL202" s="21">
        <f>EXP(-LN(2)/25)*CL201+(1-EXP(-LN(2)/25))/(LN(2)/25)*Calculateur!CG202*Calculateur!CI202*VLOOKUP('Données projet'!$B$12,Paramètres!$A$1:$I$89,3,0)*0.475*44/12</f>
        <v>0.10407645503171851</v>
      </c>
      <c r="CM202" s="21">
        <f>EXP(-LN(2)/2)*CM201+(1-EXP(-LN(2)/2))/(LN(2)/2)*CG202*CJ202*VLOOKUP('Données projet'!$B$12,Paramètres!$A$1:$I$89,3,0)*0.475*44/12</f>
        <v>2.5580476753814646E-25</v>
      </c>
      <c r="CN202" s="22">
        <f t="shared" si="172"/>
        <v>0.27341027795962786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-1.7053025658242404E-13</v>
      </c>
      <c r="CU202" s="17">
        <f>CT202*VLOOKUP('Données projet'!$B$13,Paramètres!$A$1:$I$89,3,0)*VLOOKUP('Données projet'!$B$13,Paramètres!$A$1:$I$89,5,0)</f>
        <v>-1.3567387213697657E-13</v>
      </c>
      <c r="CV202" s="13" t="e">
        <f t="shared" si="173"/>
        <v>#NUM!</v>
      </c>
      <c r="CW202" s="20" t="e">
        <f t="shared" si="174"/>
        <v>#NUM!</v>
      </c>
      <c r="CX202" s="59" t="e">
        <f t="shared" si="196"/>
        <v>#NUM!</v>
      </c>
      <c r="CY202" s="59">
        <f ca="1">AVERAGE(OFFSET($CX$3,0,0,'Données projet'!$E$13+1,1))-AVERAGE(OFFSET($H$3,0,0,'Données projet'!$E$13+1,1))</f>
        <v>299.10536994156814</v>
      </c>
      <c r="CZ202" s="59">
        <f t="shared" si="208"/>
        <v>292.57799203101769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0.29636932684483092</v>
      </c>
      <c r="DG202" s="21">
        <f>EXP(-LN(2)/25)*DG201+(1-EXP(-LN(2)/25))/(LN(2)/25)*Calculateur!DB202*Calculateur!DD202*VLOOKUP('Données projet'!$B$13,Paramètres!$A$1:$I$89,3,0)*0.475*44/12</f>
        <v>9.9763916155873961E-2</v>
      </c>
      <c r="DH202" s="21">
        <f>EXP(-LN(2)/2)*DH201+(1-EXP(-LN(2)/2))/(LN(2)/2)*DB202*DE202*VLOOKUP('Données projet'!$B$13,Paramètres!$A$1:$I$89,3,0)*0.475*44/12</f>
        <v>3.2800919971131152E-25</v>
      </c>
      <c r="DI202" s="22">
        <f t="shared" si="175"/>
        <v>0.39613324300070485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2.2737367544323206E-13</v>
      </c>
      <c r="DP202" s="17">
        <f>DO202*VLOOKUP('Données projet'!$B$14,Paramètres!$A$1:$I$89,3,0)*VLOOKUP('Données projet'!$B$14,Paramètres!$A$1:$I$89,5,0)</f>
        <v>1.4897523215040565E-13</v>
      </c>
      <c r="DQ202" s="13">
        <f t="shared" si="176"/>
        <v>2.136562777003313E-12</v>
      </c>
      <c r="DR202" s="20">
        <f t="shared" si="177"/>
        <v>3.9806453659427267E-12</v>
      </c>
      <c r="DS202" s="59">
        <f t="shared" si="197"/>
        <v>293.33333333333729</v>
      </c>
      <c r="DT202" s="59">
        <f ca="1">AVERAGE(OFFSET($DS$3,0,0,'Données projet'!$E$14+1,1))-AVERAGE(OFFSET($H$3,0,0,'Données projet'!$E$14+1,1))</f>
        <v>295.92103934364718</v>
      </c>
      <c r="DU202" s="59">
        <f t="shared" si="209"/>
        <v>304.84379909635476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0.15697277764490289</v>
      </c>
      <c r="EB202" s="21">
        <f>EXP(-LN(2)/25)*EB201+(1-EXP(-LN(2)/25))/(LN(2)/25)*Calculateur!DW202*Calculateur!DY202*VLOOKUP('Données projet'!$B$14,Paramètres!$A$1:$I$89,3,0)*0.475*44/12</f>
        <v>6.5989359783294108E-2</v>
      </c>
      <c r="EC202" s="21">
        <f>EXP(-LN(2)/2)*EC201+(1-EXP(-LN(2)/2))/(LN(2)/2)*DW202*DZ202*VLOOKUP('Données projet'!$B$14,Paramètres!$A$1:$I$89,3,0)*0.475*44/12</f>
        <v>2.1037258768084586E-25</v>
      </c>
      <c r="ED202" s="22">
        <f t="shared" si="178"/>
        <v>0.22296213742819698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-1.1368683772161603E-13</v>
      </c>
      <c r="O203" s="13">
        <f>N203*VLOOKUP('Données projet'!$B$9,Paramètres!$A$1:$I$89,3,0)*VLOOKUP('Données projet'!$B$9,Paramètres!$A$1:$I$89,5,0)</f>
        <v>-5.3205440053716299E-14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319.22903094674564</v>
      </c>
      <c r="T203" s="59">
        <f t="shared" si="204"/>
        <v>254.58690973142848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0.31315315494070478</v>
      </c>
      <c r="AA203" s="21">
        <f>EXP(-LN(2)/25)*AA202+(1-EXP(-LN(2)/25))/(LN(2)/25)*Calculateur!V203*Calculateur!X203*VLOOKUP('Données projet'!$B$9,Paramètres!$A$1:$I$89,3,0)*0.475*44/12</f>
        <v>0.10007424366372587</v>
      </c>
      <c r="AB203" s="21">
        <f>EXP(-LN(2)/2)*AB202+(1-EXP(-LN(2)/2))/(LN(2)/2)*V203*Y203*VLOOKUP('Données projet'!$B$9,Paramètres!$A$1:$I$89,3,0)*0.475*44/12</f>
        <v>2.854581848723029E-25</v>
      </c>
      <c r="AC203" s="22">
        <f t="shared" si="163"/>
        <v>0.41322739860443064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-3.4106051316484809E-13</v>
      </c>
      <c r="AJ203" s="13">
        <f>AI203*VLOOKUP('Données projet'!$B$10,Paramètres!$A$1:$I$89,3,0)*VLOOKUP('Données projet'!$B$10,Paramètres!$A$1:$I$89,5,0)</f>
        <v>-1.9065282685915009E-13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544.48194192356823</v>
      </c>
      <c r="AO203" s="59">
        <f t="shared" si="205"/>
        <v>668.20427590250733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0.25329677812155577</v>
      </c>
      <c r="AV203" s="21">
        <f>EXP(-LN(2)/25)*AV202+(1-EXP(-LN(2)/25))/(LN(2)/25)*Calculateur!AQ203*Calculateur!AS203*VLOOKUP('Données projet'!$B$10,Paramètres!$A$1:$I$89,3,0)*0.475*44/12</f>
        <v>0.38241086823706194</v>
      </c>
      <c r="AW203" s="21">
        <f>EXP(-LN(2)/2)*AW202+(1-EXP(-LN(2)/2))/(LN(2)/2)*AQ203*AT203*VLOOKUP('Données projet'!$B$10,Paramètres!$A$1:$I$89,3,0)*0.475*44/12</f>
        <v>3.7269547298748013E-25</v>
      </c>
      <c r="AX203" s="21">
        <f t="shared" si="166"/>
        <v>0.63570764635861776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>
        <f>BD203*VLOOKUP('Données projet'!$B$11,Paramètres!$A$1:$I$89,3,0)*VLOOKUP('Données projet'!$B$11,Paramètres!$A$1:$I$89,5,0)</f>
        <v>0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405.7176439604217</v>
      </c>
      <c r="BJ203" s="59">
        <f t="shared" si="206"/>
        <v>278.21741231699929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0.25216178084624702</v>
      </c>
      <c r="BQ203" s="21">
        <f>EXP(-LN(2)/25)*BQ202+(1-EXP(-LN(2)/25))/(LN(2)/25)*Calculateur!BL203*Calculateur!BN203*VLOOKUP('Données projet'!$B$11,Paramètres!$A$1:$I$89,3,0)*0.475*44/12</f>
        <v>8.4041339418756827E-2</v>
      </c>
      <c r="BR203" s="21">
        <f>EXP(-LN(2)/2)*BR202+(1-EXP(-LN(2)/2))/(LN(2)/2)*BL203*BO203*VLOOKUP('Données projet'!$B$11,Paramètres!$A$1:$I$89,3,0)*0.475*44/12</f>
        <v>2.2062025154018458E-25</v>
      </c>
      <c r="BS203" s="22">
        <f t="shared" si="169"/>
        <v>0.33620312026500387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259.99999999999983</v>
      </c>
      <c r="BZ203" s="13">
        <f>BY203*VLOOKUP('Données projet'!$B$12,Paramètres!$A$1:$I$89,3,0)*VLOOKUP('Données projet'!$B$12,Paramètres!$A$1:$I$89,5,0)</f>
        <v>227.13599999999985</v>
      </c>
      <c r="CA203" s="13">
        <f t="shared" si="170"/>
        <v>55.662966886685133</v>
      </c>
      <c r="CB203" s="20">
        <f t="shared" si="171"/>
        <v>492.5415339943097</v>
      </c>
      <c r="CC203" s="59">
        <f t="shared" si="195"/>
        <v>785.87486732764296</v>
      </c>
      <c r="CD203" s="59">
        <f ca="1">AVERAGE(OFFSET($CC$3,0,0,'Données projet'!$E$12+1,1))-AVERAGE(OFFSET($H$3,0,0,'Données projet'!$E$12+1,1))</f>
        <v>381.72225529388083</v>
      </c>
      <c r="CE203" s="59">
        <f t="shared" si="207"/>
        <v>360.05900046417361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0.16601328994372666</v>
      </c>
      <c r="CL203" s="21">
        <f>EXP(-LN(2)/25)*CL202+(1-EXP(-LN(2)/25))/(LN(2)/25)*Calculateur!CG203*Calculateur!CI203*VLOOKUP('Données projet'!$B$12,Paramètres!$A$1:$I$89,3,0)*0.475*44/12</f>
        <v>0.10123047889573328</v>
      </c>
      <c r="CM203" s="21">
        <f>EXP(-LN(2)/2)*CM202+(1-EXP(-LN(2)/2))/(LN(2)/2)*CG203*CJ203*VLOOKUP('Données projet'!$B$12,Paramètres!$A$1:$I$89,3,0)*0.475*44/12</f>
        <v>1.8088128578607179E-25</v>
      </c>
      <c r="CN203" s="22">
        <f t="shared" si="172"/>
        <v>0.26724376883945994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-1.7053025658242404E-13</v>
      </c>
      <c r="CU203" s="17">
        <f>CT203*VLOOKUP('Données projet'!$B$13,Paramètres!$A$1:$I$89,3,0)*VLOOKUP('Données projet'!$B$13,Paramètres!$A$1:$I$89,5,0)</f>
        <v>-1.3567387213697657E-13</v>
      </c>
      <c r="CV203" s="13" t="e">
        <f t="shared" si="173"/>
        <v>#NUM!</v>
      </c>
      <c r="CW203" s="20" t="e">
        <f t="shared" si="174"/>
        <v>#NUM!</v>
      </c>
      <c r="CX203" s="59" t="e">
        <f t="shared" si="196"/>
        <v>#NUM!</v>
      </c>
      <c r="CY203" s="59">
        <f ca="1">AVERAGE(OFFSET($CX$3,0,0,'Données projet'!$E$13+1,1))-AVERAGE(OFFSET($H$3,0,0,'Données projet'!$E$13+1,1))</f>
        <v>299.10536994156814</v>
      </c>
      <c r="CZ203" s="59">
        <f t="shared" si="208"/>
        <v>292.57799203101769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0.29055770511284384</v>
      </c>
      <c r="DG203" s="21">
        <f>EXP(-LN(2)/25)*DG202+(1-EXP(-LN(2)/25))/(LN(2)/25)*Calculateur!DB203*Calculateur!DD203*VLOOKUP('Données projet'!$B$13,Paramètres!$A$1:$I$89,3,0)*0.475*44/12</f>
        <v>9.7035866622235248E-2</v>
      </c>
      <c r="DH203" s="21">
        <f>EXP(-LN(2)/2)*DH202+(1-EXP(-LN(2)/2))/(LN(2)/2)*DB203*DE203*VLOOKUP('Données projet'!$B$13,Paramètres!$A$1:$I$89,3,0)*0.475*44/12</f>
        <v>2.3193752940744092E-25</v>
      </c>
      <c r="DI203" s="22">
        <f t="shared" si="175"/>
        <v>0.38759357173507908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2.2737367544323206E-13</v>
      </c>
      <c r="DP203" s="17">
        <f>DO203*VLOOKUP('Données projet'!$B$14,Paramètres!$A$1:$I$89,3,0)*VLOOKUP('Données projet'!$B$14,Paramètres!$A$1:$I$89,5,0)</f>
        <v>1.4897523215040565E-13</v>
      </c>
      <c r="DQ203" s="13">
        <f t="shared" si="176"/>
        <v>2.136562777003313E-12</v>
      </c>
      <c r="DR203" s="20">
        <f t="shared" si="177"/>
        <v>3.9806453659427267E-12</v>
      </c>
      <c r="DS203" s="59">
        <f t="shared" si="197"/>
        <v>293.33333333333729</v>
      </c>
      <c r="DT203" s="59">
        <f ca="1">AVERAGE(OFFSET($DS$3,0,0,'Données projet'!$E$14+1,1))-AVERAGE(OFFSET($H$3,0,0,'Données projet'!$E$14+1,1))</f>
        <v>295.92103934364718</v>
      </c>
      <c r="DU203" s="59">
        <f t="shared" si="209"/>
        <v>304.84379909635476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0.15389463721922678</v>
      </c>
      <c r="EB203" s="21">
        <f>EXP(-LN(2)/25)*EB202+(1-EXP(-LN(2)/25))/(LN(2)/25)*Calculateur!DW203*Calculateur!DY203*VLOOKUP('Données projet'!$B$14,Paramètres!$A$1:$I$89,3,0)*0.475*44/12</f>
        <v>6.4184877269790316E-2</v>
      </c>
      <c r="EC203" s="21">
        <f>EXP(-LN(2)/2)*EC202+(1-EXP(-LN(2)/2))/(LN(2)/2)*DW203*DZ203*VLOOKUP('Données projet'!$B$14,Paramètres!$A$1:$I$89,3,0)*0.475*44/12</f>
        <v>1.4875588332488766E-25</v>
      </c>
      <c r="ED203" s="22">
        <f t="shared" si="178"/>
        <v>0.21807951448901708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1.2880503926580862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1.3306754098332192</v>
      </c>
      <c r="BA205" s="82">
        <f>EXP(LN('Données projet'!B88)/'Données projet'!A88)</f>
        <v>1.2392705892426346</v>
      </c>
      <c r="BV205" s="82">
        <f>EXP(LN('Données projet'!B114)/'Données projet'!A114)</f>
        <v>1.4269435884576509</v>
      </c>
      <c r="CQ205" s="82">
        <f>EXP(LN('Données projet'!B140)/'Données projet'!A140)</f>
        <v>1.2721747796233518</v>
      </c>
      <c r="DL205" s="82">
        <f>EXP(LN('Données projet'!B166)/'Données projet'!A166)</f>
        <v>1.3020054543174677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O13" sqref="O13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Cèdre de l'Atlas</v>
      </c>
      <c r="B6" s="146">
        <f>'Données projet'!D9</f>
        <v>0.40500000000000003</v>
      </c>
      <c r="C6" s="147">
        <f ca="1">IF(OR('Données projet'!B9="",'Données projet'!C9="",'Données projet'!C9=0%),0,Calculateur!S3)</f>
        <v>319.22903094674564</v>
      </c>
      <c r="D6" s="147">
        <f>IF(OR('Données projet'!B9="",'Données projet'!C9="",'Données projet'!C9=0%),0,Calculateur!T3)</f>
        <v>254.58690973142848</v>
      </c>
      <c r="E6" s="147">
        <f ca="1">MIN(C6,D6)</f>
        <v>254.58690973142848</v>
      </c>
      <c r="F6" s="147">
        <f ca="1">E6*B6</f>
        <v>103.10769844122854</v>
      </c>
      <c r="G6" s="147">
        <f ca="1">F6*(100%-'Données projet'!$C$24)*(100%-'Données projet'!$C$25)*(100%-'Données projet'!$C$26)*(100%-'Données projet'!$C$27)</f>
        <v>92.796928597105691</v>
      </c>
      <c r="H6" s="148">
        <f>IF(OR('Données projet'!B9="",'Données projet'!C9="",'Données projet'!C9=0%),0,AVERAGE(Calculateur!$AC$3:$AC$33)*B6)</f>
        <v>1.5849219832030599</v>
      </c>
      <c r="I6" s="149">
        <f>H6*(100%-'Données projet'!$C$24)*(100%-'Données projet'!$C$25)*(100%-'Données projet'!$C$26)*(100%-'Données projet'!$C$27)</f>
        <v>1.4264297848827538</v>
      </c>
      <c r="J6" s="150">
        <f>IF(OR('Données projet'!B9="",'Données projet'!C9="",'Données projet'!C9=0%),0,SUM(Calculateur!$V$3:$V$33)*VLOOKUP('Données projet'!$B$9,Paramètres!$A$1:$I$89,9,0)*B6)</f>
        <v>18.546975000000003</v>
      </c>
      <c r="K6" s="151">
        <f>J6*(100%-'Données projet'!$C$24)*(100%-'Données projet'!$C$25)*(100%-'Données projet'!$C$26)*(100%-'Données projet'!$C$27)</f>
        <v>16.692277500000003</v>
      </c>
      <c r="L6" s="152">
        <f ca="1">G6+I6+K6</f>
        <v>110.91563588198845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Douglas</v>
      </c>
      <c r="B7" s="154">
        <f>'Données projet'!D10</f>
        <v>0.42000000000000004</v>
      </c>
      <c r="C7" s="147">
        <f ca="1">IF(OR('Données projet'!B10="",'Données projet'!C10="",'Données projet'!C10=0%),0,Calculateur!AN3)</f>
        <v>544.48194192356823</v>
      </c>
      <c r="D7" s="147">
        <f>IF(OR('Données projet'!B10="",'Données projet'!C10="",'Données projet'!C10=0%),0,Calculateur!AO3)</f>
        <v>668.20427590250733</v>
      </c>
      <c r="E7" s="147">
        <f t="shared" ref="E7:E15" ca="1" si="0">MIN(C7,D7)</f>
        <v>544.48194192356823</v>
      </c>
      <c r="F7" s="147">
        <f t="shared" ref="F7:F15" ca="1" si="1">E7*B7</f>
        <v>228.68241560789869</v>
      </c>
      <c r="G7" s="147">
        <f ca="1">F7*(100%-'Données projet'!$C$24)*(100%-'Données projet'!$C$25)*(100%-'Données projet'!$C$26)*(100%-'Données projet'!$C$27)</f>
        <v>205.81417404710882</v>
      </c>
      <c r="H7" s="155">
        <f>IF(OR('Données projet'!B10="",'Données projet'!C10="",'Données projet'!C10=0%),0,AVERAGE(Calculateur!$AX$3:$AX$33)*B7)</f>
        <v>4.1338293147473157</v>
      </c>
      <c r="I7" s="149">
        <f>H7*(100%-'Données projet'!$C$24)*(100%-'Données projet'!$C$25)*(100%-'Données projet'!$C$26)*(100%-'Données projet'!$C$27)</f>
        <v>3.7204463832725843</v>
      </c>
      <c r="J7" s="150">
        <f>IF(OR('Données projet'!B10="",'Données projet'!C10="",'Données projet'!C10=0%),0,SUM(Calculateur!$AQ$3:$AQ$33)*VLOOKUP('Données projet'!$B$10,Paramètres!$A$1:$I$89,9,0)*B7)</f>
        <v>34.855800000000002</v>
      </c>
      <c r="K7" s="151">
        <f>J7*(100%-'Données projet'!$C$24)*(100%-'Données projet'!$C$25)*(100%-'Données projet'!$C$26)*(100%-'Données projet'!$C$27)</f>
        <v>31.370220000000003</v>
      </c>
      <c r="L7" s="152">
        <f t="shared" ref="L7:L15" ca="1" si="2">G7+I7+K7</f>
        <v>240.9048404303814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Chêne sessile</v>
      </c>
      <c r="B8" s="154">
        <f>'Données projet'!D11</f>
        <v>0.375</v>
      </c>
      <c r="C8" s="147">
        <f ca="1">IF(OR('Données projet'!B11="",'Données projet'!C11="",'Données projet'!C11=0%),0,Calculateur!BI3)</f>
        <v>405.7176439604217</v>
      </c>
      <c r="D8" s="147">
        <f>IF(OR('Données projet'!B11="",'Données projet'!C11="",'Données projet'!C11=0%),0,Calculateur!BJ3)</f>
        <v>278.21741231699929</v>
      </c>
      <c r="E8" s="147">
        <f t="shared" ca="1" si="0"/>
        <v>278.21741231699929</v>
      </c>
      <c r="F8" s="147">
        <f t="shared" ca="1" si="1"/>
        <v>104.33152961887473</v>
      </c>
      <c r="G8" s="147">
        <f ca="1">F8*(100%-'Données projet'!$C$24)*(100%-'Données projet'!$C$25)*(100%-'Données projet'!$C$26)*(100%-'Données projet'!$C$27)</f>
        <v>93.898376656987253</v>
      </c>
      <c r="H8" s="155">
        <f>IF(OR('Données projet'!B11="",'Données projet'!C11="",'Données projet'!C11=0%),0,AVERAGE(Calculateur!$BS$3:$BS$33)*B8)</f>
        <v>1.2688693093520769</v>
      </c>
      <c r="I8" s="149">
        <f>H8*(100%-'Données projet'!$C$24)*(100%-'Données projet'!$C$25)*(100%-'Données projet'!$C$26)*(100%-'Données projet'!$C$27)</f>
        <v>1.1419823784168692</v>
      </c>
      <c r="J8" s="150">
        <f>IF(OR('Données projet'!B11="",'Données projet'!C11="",'Données projet'!C11=0%),0,SUM(Calculateur!$BL$3:$BL$33)*VLOOKUP('Données projet'!$B$11,Paramètres!$A$1:$I$89,9,0)*B8)</f>
        <v>5.8125</v>
      </c>
      <c r="K8" s="151">
        <f>J8*(100%-'Données projet'!$C$24)*(100%-'Données projet'!$C$25)*(100%-'Données projet'!$C$26)*(100%-'Données projet'!$C$27)</f>
        <v>5.2312500000000002</v>
      </c>
      <c r="L8" s="152">
        <f t="shared" ca="1" si="2"/>
        <v>100.27160903540413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>Chêne rouge d'Amérique</v>
      </c>
      <c r="B9" s="154">
        <f>'Données projet'!D12</f>
        <v>0.09</v>
      </c>
      <c r="C9" s="147">
        <f ca="1">IF(OR('Données projet'!B12="",'Données projet'!C12="",'Données projet'!C12=0%),0,Calculateur!CD3)</f>
        <v>381.72225529388083</v>
      </c>
      <c r="D9" s="147">
        <f>IF(OR('Données projet'!B12="",'Données projet'!C12="",'Données projet'!C12=0%),0,Calculateur!CE3)</f>
        <v>360.05900046417361</v>
      </c>
      <c r="E9" s="147">
        <f t="shared" ca="1" si="0"/>
        <v>360.05900046417361</v>
      </c>
      <c r="F9" s="147">
        <f t="shared" ca="1" si="1"/>
        <v>32.405310041775621</v>
      </c>
      <c r="G9" s="147">
        <f ca="1">F9*(100%-'Données projet'!$C$24)*(100%-'Données projet'!$C$25)*(100%-'Données projet'!$C$26)*(100%-'Données projet'!$C$27)</f>
        <v>29.164779037598059</v>
      </c>
      <c r="H9" s="155">
        <f>IF(OR('Données projet'!B12="",'Données projet'!C12="",'Données projet'!C12=0%),0,AVERAGE(Calculateur!$CN$3:$CN$33)*B9)</f>
        <v>0.55264916646840745</v>
      </c>
      <c r="I9" s="149">
        <f>H9*(100%-'Données projet'!$C$24)*(100%-'Données projet'!$C$25)*(100%-'Données projet'!$C$26)*(100%-'Données projet'!$C$27)</f>
        <v>0.4973842498215667</v>
      </c>
      <c r="J9" s="150">
        <f>IF(OR('Données projet'!B12="",'Données projet'!C12="",'Données projet'!C12=0%),0,SUM(Calculateur!$CG$3:$CG$33)*VLOOKUP('Données projet'!$B$12,Paramètres!$A$1:$I$89,9,0)*B9)</f>
        <v>2.7450000000000001</v>
      </c>
      <c r="K9" s="151">
        <f>J9*(100%-'Données projet'!$C$24)*(100%-'Données projet'!$C$25)*(100%-'Données projet'!$C$26)*(100%-'Données projet'!$C$27)</f>
        <v>2.4705000000000004</v>
      </c>
      <c r="L9" s="152">
        <f t="shared" ca="1" si="2"/>
        <v>32.132663287419625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>Erable sycomore</v>
      </c>
      <c r="B10" s="154">
        <f>'Données projet'!D13</f>
        <v>0.18</v>
      </c>
      <c r="C10" s="147">
        <f ca="1">IF(OR('Données projet'!B13="",'Données projet'!C13="",'Données projet'!C13=0%),0,Calculateur!CY3)</f>
        <v>299.10536994156814</v>
      </c>
      <c r="D10" s="147">
        <f>IF(OR('Données projet'!B13="",'Données projet'!C13="",'Données projet'!C13=0%),0,Calculateur!CZ3)</f>
        <v>292.57799203101769</v>
      </c>
      <c r="E10" s="147">
        <f t="shared" ca="1" si="0"/>
        <v>292.57799203101769</v>
      </c>
      <c r="F10" s="147">
        <f t="shared" ca="1" si="1"/>
        <v>52.664038565583184</v>
      </c>
      <c r="G10" s="147">
        <f ca="1">F10*(100%-'Données projet'!$C$24)*(100%-'Données projet'!$C$25)*(100%-'Données projet'!$C$26)*(100%-'Données projet'!$C$27)</f>
        <v>47.397634709024864</v>
      </c>
      <c r="H10" s="155">
        <f>IF(OR('Données projet'!B13="",'Données projet'!C13="",'Données projet'!C13=0%),0,AVERAGE(Calculateur!$DI$3:$DI$33)*B10)</f>
        <v>1.3350434177832575</v>
      </c>
      <c r="I10" s="149">
        <f>H10*(100%-'Données projet'!$C$24)*(100%-'Données projet'!$C$25)*(100%-'Données projet'!$C$26)*(100%-'Données projet'!$C$27)</f>
        <v>1.2015390760049318</v>
      </c>
      <c r="J10" s="150">
        <f>IF(OR('Données projet'!B13="",'Données projet'!C13="",'Données projet'!C13=0%),0,SUM(Calculateur!$DB$3:$DB$33)*VLOOKUP('Données projet'!$B$13,Paramètres!$A$1:$I$89,9,0)*B10)</f>
        <v>4.4550000000000001</v>
      </c>
      <c r="K10" s="151">
        <f>J10*(100%-'Données projet'!$C$24)*(100%-'Données projet'!$C$25)*(100%-'Données projet'!$C$26)*(100%-'Données projet'!$C$27)</f>
        <v>4.0095000000000001</v>
      </c>
      <c r="L10" s="152">
        <f t="shared" ca="1" si="2"/>
        <v>52.608673785029801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>Aulne glutineux</v>
      </c>
      <c r="B11" s="154">
        <f>'Données projet'!D14</f>
        <v>0.03</v>
      </c>
      <c r="C11" s="147">
        <f ca="1">IF(OR('Données projet'!B14="",'Données projet'!C14="",'Données projet'!C14=0%),0,Calculateur!DT3)</f>
        <v>295.92103934364718</v>
      </c>
      <c r="D11" s="147">
        <f>IF(OR('Données projet'!B14="",'Données projet'!C14="",'Données projet'!C14=0%),0,Calculateur!DU3)</f>
        <v>304.84379909635476</v>
      </c>
      <c r="E11" s="147">
        <f t="shared" ca="1" si="0"/>
        <v>295.92103934364718</v>
      </c>
      <c r="F11" s="147">
        <f t="shared" ca="1" si="1"/>
        <v>8.8776311803094146</v>
      </c>
      <c r="G11" s="147">
        <f ca="1">F11*(100%-'Données projet'!$C$24)*(100%-'Données projet'!$C$25)*(100%-'Données projet'!$C$26)*(100%-'Données projet'!$C$27)</f>
        <v>7.9898680622784735</v>
      </c>
      <c r="H11" s="155">
        <f>IF(OR('Données projet'!B14="",'Données projet'!C14="",'Données projet'!C14=0%),0,AVERAGE(Calculateur!$ED$3:$ED$33)*B11)</f>
        <v>8.7796176871195827E-2</v>
      </c>
      <c r="I11" s="149">
        <f>H11*(100%-'Données projet'!$C$24)*(100%-'Données projet'!$C$25)*(100%-'Données projet'!$C$26)*(100%-'Données projet'!$C$27)</f>
        <v>7.901655918407624E-2</v>
      </c>
      <c r="J11" s="150">
        <f>IF(OR('Données projet'!B14="",'Données projet'!C14="",'Données projet'!C14=0%),0,SUM(Calculateur!$DW$3:$DW$33)*VLOOKUP('Données projet'!$B$14,Paramètres!$A$1:$I$89,9,0)*B11)</f>
        <v>0.51</v>
      </c>
      <c r="K11" s="151">
        <f>J11*(100%-'Données projet'!$C$24)*(100%-'Données projet'!$C$25)*(100%-'Données projet'!$C$26)*(100%-'Données projet'!$C$27)</f>
        <v>0.45900000000000002</v>
      </c>
      <c r="L11" s="152">
        <f t="shared" ca="1" si="2"/>
        <v>8.5278846214625492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530.06862345567026</v>
      </c>
      <c r="G16" s="166">
        <f t="shared" ca="1" si="3"/>
        <v>477.06176111010313</v>
      </c>
      <c r="H16" s="167">
        <f t="shared" si="3"/>
        <v>8.9631093684253127</v>
      </c>
      <c r="I16" s="167">
        <f t="shared" si="3"/>
        <v>8.0667984315827823</v>
      </c>
      <c r="J16" s="168">
        <f t="shared" si="3"/>
        <v>66.925275000000013</v>
      </c>
      <c r="K16" s="168">
        <f t="shared" si="3"/>
        <v>60.232747500000016</v>
      </c>
      <c r="L16" s="169">
        <f t="shared" ca="1" si="3"/>
        <v>545.36130704168602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Cèdre de l'Atlas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Douglas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Chêne sessile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>Chêne rouge d'Amérique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>Erable sycomore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>Aulne glutineux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zoomScale="80" zoomScaleNormal="80" workbookViewId="0">
      <selection activeCell="R5" sqref="R5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Cèdre de l'Atlas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-426.35711401235085</v>
      </c>
      <c r="U10" s="178">
        <f>'Données projet'!D9</f>
        <v>0.40500000000000003</v>
      </c>
      <c r="V10" s="177">
        <f>U10*T10</f>
        <v>-172.67463117500211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Douglas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3510.5032025404007</v>
      </c>
      <c r="U11" s="178">
        <f>'Données projet'!D10</f>
        <v>0.42000000000000004</v>
      </c>
      <c r="V11" s="177">
        <f t="shared" ref="V11" si="0">U11*T11</f>
        <v>1474.4113450669684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Chêne sessile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-1296.5266442753489</v>
      </c>
      <c r="U12" s="178">
        <f>'Données projet'!D11</f>
        <v>0.375</v>
      </c>
      <c r="V12" s="177">
        <f t="shared" ref="V12:V19" si="1">U12*T12</f>
        <v>-486.1974916032558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Chêne rouge d'Amérique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-1964.6929135123416</v>
      </c>
      <c r="U13" s="178">
        <f>'Données projet'!D12</f>
        <v>0.09</v>
      </c>
      <c r="V13" s="177">
        <f t="shared" si="1"/>
        <v>-176.82236221611075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Cèdre de l'Atlas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Erable sycomore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-537.21087301989451</v>
      </c>
      <c r="U14" s="178">
        <f>'Données projet'!D13</f>
        <v>0.18</v>
      </c>
      <c r="V14" s="177">
        <f t="shared" si="1"/>
        <v>-96.697957143581007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Aulne glutineux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-505.11474009921869</v>
      </c>
      <c r="U15" s="178">
        <f>'Données projet'!D14</f>
        <v>0.03</v>
      </c>
      <c r="V15" s="177">
        <f t="shared" si="1"/>
        <v>-15.15344220297656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>
        <f>1300*(1.23+0.5)</f>
        <v>2249</v>
      </c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0</v>
      </c>
      <c r="I20" s="191">
        <f>(813.71+1619.2+102.8+294.45+294.45+505+429.25+1437)/1.15+(75.96+247+38)/0.142+(121+36)/0.313</f>
        <v>7822.577970727546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725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875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20</v>
      </c>
      <c r="B23" s="181">
        <f>'Données projet'!D36</f>
        <v>39.5</v>
      </c>
      <c r="C23" s="193">
        <v>2</v>
      </c>
      <c r="D23" s="182">
        <f>B23*C23</f>
        <v>79</v>
      </c>
      <c r="E23" s="193"/>
      <c r="F23" s="230"/>
      <c r="H23" s="190">
        <v>3</v>
      </c>
      <c r="I23" s="191">
        <v>1000</v>
      </c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-14764.011818906032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30</v>
      </c>
      <c r="B24" s="181">
        <f>'Données projet'!D37</f>
        <v>67</v>
      </c>
      <c r="C24" s="193">
        <v>4</v>
      </c>
      <c r="D24" s="182">
        <f t="shared" ref="D24:D42" si="2">B24*C24</f>
        <v>268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40</v>
      </c>
      <c r="B25" s="181">
        <f>'Données projet'!D38</f>
        <v>70</v>
      </c>
      <c r="C25" s="193">
        <v>27</v>
      </c>
      <c r="D25" s="182">
        <f t="shared" si="2"/>
        <v>1890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>
        <v>0</v>
      </c>
      <c r="Q25" s="234"/>
      <c r="R25" s="23"/>
      <c r="S25" s="186" t="s">
        <v>266</v>
      </c>
      <c r="T25" s="303">
        <f ca="1">T23-T24</f>
        <v>-14764.011818906032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50</v>
      </c>
      <c r="B26" s="181">
        <f>'Données projet'!D39</f>
        <v>75</v>
      </c>
      <c r="C26" s="193">
        <v>27</v>
      </c>
      <c r="D26" s="182">
        <f t="shared" si="2"/>
        <v>2025</v>
      </c>
      <c r="E26" s="193"/>
      <c r="F26" s="233"/>
      <c r="G26" s="229"/>
      <c r="H26" s="190"/>
      <c r="I26" s="191"/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60</v>
      </c>
      <c r="B27" s="181">
        <f>'Données projet'!D40</f>
        <v>80</v>
      </c>
      <c r="C27" s="193">
        <v>26.7</v>
      </c>
      <c r="D27" s="182">
        <f t="shared" si="2"/>
        <v>2136</v>
      </c>
      <c r="E27" s="193"/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70</v>
      </c>
      <c r="B28" s="181">
        <f>'Données projet'!D41</f>
        <v>87</v>
      </c>
      <c r="C28" s="193">
        <v>46</v>
      </c>
      <c r="D28" s="182">
        <f t="shared" si="2"/>
        <v>4002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80</v>
      </c>
      <c r="B29" s="181">
        <f>'Données projet'!D42</f>
        <v>93</v>
      </c>
      <c r="C29" s="193">
        <v>46</v>
      </c>
      <c r="D29" s="182">
        <f t="shared" si="2"/>
        <v>4278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90</v>
      </c>
      <c r="B30" s="181">
        <f>'Données projet'!D43</f>
        <v>98</v>
      </c>
      <c r="C30" s="193">
        <v>46</v>
      </c>
      <c r="D30" s="182">
        <f t="shared" si="2"/>
        <v>4508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100</v>
      </c>
      <c r="B31" s="181">
        <f>'Données projet'!D44</f>
        <v>675.5</v>
      </c>
      <c r="C31" s="193">
        <v>75</v>
      </c>
      <c r="D31" s="182">
        <f t="shared" si="2"/>
        <v>50662.5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Douglas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>
        <f>1300*(0.51+0.5)</f>
        <v>1313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20</v>
      </c>
      <c r="B54" s="181">
        <f>'Données projet'!D62</f>
        <v>43</v>
      </c>
      <c r="C54" s="191">
        <v>1.95</v>
      </c>
      <c r="D54" s="179">
        <f>B54*C54</f>
        <v>83.85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25</v>
      </c>
      <c r="B55" s="181">
        <f>'Données projet'!D63</f>
        <v>60</v>
      </c>
      <c r="C55" s="191">
        <v>1.95</v>
      </c>
      <c r="D55" s="179">
        <f t="shared" ref="D55:D73" si="4">B55*C55</f>
        <v>117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30</v>
      </c>
      <c r="B56" s="181">
        <f>'Données projet'!D64</f>
        <v>90</v>
      </c>
      <c r="C56" s="191">
        <v>4.4800000000000004</v>
      </c>
      <c r="D56" s="179">
        <f t="shared" si="4"/>
        <v>403.20000000000005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35</v>
      </c>
      <c r="B57" s="181">
        <f>'Données projet'!D65</f>
        <v>72</v>
      </c>
      <c r="C57" s="191">
        <v>4.4800000000000004</v>
      </c>
      <c r="D57" s="179">
        <f t="shared" si="4"/>
        <v>322.56000000000006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40</v>
      </c>
      <c r="B58" s="181">
        <f>'Données projet'!D66</f>
        <v>77</v>
      </c>
      <c r="C58" s="191">
        <v>32.799999999999997</v>
      </c>
      <c r="D58" s="179">
        <f t="shared" si="4"/>
        <v>2525.6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45</v>
      </c>
      <c r="B59" s="181">
        <f>'Données projet'!D67</f>
        <v>64</v>
      </c>
      <c r="C59" s="191">
        <v>32.799999999999997</v>
      </c>
      <c r="D59" s="179">
        <f t="shared" si="4"/>
        <v>2099.1999999999998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50</v>
      </c>
      <c r="B60" s="181">
        <f>'Données projet'!D68</f>
        <v>62</v>
      </c>
      <c r="C60" s="191">
        <v>33</v>
      </c>
      <c r="D60" s="179">
        <f t="shared" si="4"/>
        <v>2046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55</v>
      </c>
      <c r="B61" s="181">
        <f>'Données projet'!D69</f>
        <v>46</v>
      </c>
      <c r="C61" s="191">
        <v>55</v>
      </c>
      <c r="D61" s="179">
        <f t="shared" si="4"/>
        <v>2530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60</v>
      </c>
      <c r="B62" s="181">
        <f>'Données projet'!D70</f>
        <v>35</v>
      </c>
      <c r="C62" s="191">
        <v>55.11</v>
      </c>
      <c r="D62" s="179">
        <f t="shared" si="4"/>
        <v>1928.85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65</v>
      </c>
      <c r="B63" s="181">
        <f>'Données projet'!D71</f>
        <v>769</v>
      </c>
      <c r="C63" s="191">
        <v>75</v>
      </c>
      <c r="D63" s="179">
        <f t="shared" si="4"/>
        <v>57675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Chêne sessile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f>1300*(1.3+0.5)</f>
        <v>2340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20</v>
      </c>
      <c r="B85" s="181">
        <f>'Données projet'!D88</f>
        <v>6</v>
      </c>
      <c r="C85" s="191">
        <v>1.3</v>
      </c>
      <c r="D85" s="179">
        <f>B85*C85</f>
        <v>7.8000000000000007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25</v>
      </c>
      <c r="B86" s="181">
        <f>'Données projet'!D89</f>
        <v>28</v>
      </c>
      <c r="C86" s="191">
        <v>1.3</v>
      </c>
      <c r="D86" s="179">
        <f t="shared" ref="D86:D104" si="6">B86*C86</f>
        <v>36.4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30</v>
      </c>
      <c r="B87" s="181">
        <f>'Données projet'!D90</f>
        <v>28</v>
      </c>
      <c r="C87" s="191">
        <v>2.2799999999999998</v>
      </c>
      <c r="D87" s="179">
        <f t="shared" si="6"/>
        <v>63.839999999999996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35</v>
      </c>
      <c r="B88" s="181">
        <f>'Données projet'!D91</f>
        <v>28</v>
      </c>
      <c r="C88" s="191">
        <v>2.2799999999999998</v>
      </c>
      <c r="D88" s="179">
        <f t="shared" si="6"/>
        <v>63.839999999999996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40</v>
      </c>
      <c r="B89" s="181">
        <f>'Données projet'!D92</f>
        <v>28</v>
      </c>
      <c r="C89" s="191">
        <v>2.2799999999999998</v>
      </c>
      <c r="D89" s="179">
        <f t="shared" si="6"/>
        <v>63.839999999999996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45</v>
      </c>
      <c r="B90" s="181">
        <f>'Données projet'!D93</f>
        <v>28</v>
      </c>
      <c r="C90" s="191">
        <v>2.2799999999999998</v>
      </c>
      <c r="D90" s="179">
        <f t="shared" si="6"/>
        <v>63.839999999999996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50</v>
      </c>
      <c r="B91" s="181">
        <f>'Données projet'!D94</f>
        <v>28</v>
      </c>
      <c r="C91" s="191">
        <v>2.83</v>
      </c>
      <c r="D91" s="179">
        <f t="shared" si="6"/>
        <v>79.240000000000009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55</v>
      </c>
      <c r="B92" s="181">
        <f>'Données projet'!D95</f>
        <v>28</v>
      </c>
      <c r="C92" s="191">
        <v>2.83</v>
      </c>
      <c r="D92" s="179">
        <f t="shared" si="6"/>
        <v>79.240000000000009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60</v>
      </c>
      <c r="B93" s="181">
        <f>'Données projet'!D96</f>
        <v>28</v>
      </c>
      <c r="C93" s="191">
        <v>2.83</v>
      </c>
      <c r="D93" s="179">
        <f t="shared" si="6"/>
        <v>79.240000000000009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65</v>
      </c>
      <c r="B94" s="181">
        <f>'Données projet'!D97</f>
        <v>28</v>
      </c>
      <c r="C94" s="191">
        <v>40.5</v>
      </c>
      <c r="D94" s="179">
        <f t="shared" si="6"/>
        <v>1134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70</v>
      </c>
      <c r="B95" s="181">
        <f>'Données projet'!D98</f>
        <v>28</v>
      </c>
      <c r="C95" s="191">
        <v>40.5</v>
      </c>
      <c r="D95" s="179">
        <f t="shared" si="6"/>
        <v>1134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75</v>
      </c>
      <c r="B96" s="181">
        <f>'Données projet'!D99</f>
        <v>28</v>
      </c>
      <c r="C96" s="191">
        <v>40.5</v>
      </c>
      <c r="D96" s="179">
        <f t="shared" si="6"/>
        <v>1134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80</v>
      </c>
      <c r="B97" s="181">
        <f>'Données projet'!D100</f>
        <v>28</v>
      </c>
      <c r="C97" s="191">
        <v>41</v>
      </c>
      <c r="D97" s="179">
        <f t="shared" si="6"/>
        <v>1148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85</v>
      </c>
      <c r="B98" s="181">
        <f>'Données projet'!D101</f>
        <v>28</v>
      </c>
      <c r="C98" s="191">
        <v>41</v>
      </c>
      <c r="D98" s="179">
        <f t="shared" si="6"/>
        <v>1148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90</v>
      </c>
      <c r="B99" s="181">
        <f>'Données projet'!D102</f>
        <v>28</v>
      </c>
      <c r="C99" s="191">
        <v>41</v>
      </c>
      <c r="D99" s="179">
        <f t="shared" si="6"/>
        <v>1148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str">
        <f>IF(O98+1&lt;=MIN('Données projet'!$E$9:$E$18),O98+1,"STOP")</f>
        <v>STOP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95</v>
      </c>
      <c r="B100" s="181">
        <f>'Données projet'!D103</f>
        <v>28</v>
      </c>
      <c r="C100" s="191">
        <v>41</v>
      </c>
      <c r="D100" s="179">
        <f t="shared" si="6"/>
        <v>1148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100</v>
      </c>
      <c r="B101" s="181">
        <f>'Données projet'!D104</f>
        <v>333</v>
      </c>
      <c r="C101" s="191">
        <v>170.75</v>
      </c>
      <c r="D101" s="179">
        <f t="shared" si="6"/>
        <v>56859.75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>Chêne rouge d'Amérique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f>1300*(1.3+0.5)</f>
        <v>2340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10</v>
      </c>
      <c r="B116" s="181">
        <f>'Données projet'!D114</f>
        <v>0</v>
      </c>
      <c r="C116" s="191">
        <v>0</v>
      </c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15</v>
      </c>
      <c r="B117" s="181">
        <f>'Données projet'!D115</f>
        <v>30</v>
      </c>
      <c r="C117" s="191">
        <v>2</v>
      </c>
      <c r="D117" s="179">
        <f t="shared" ref="D117:D135" si="8">B117*C117</f>
        <v>60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20</v>
      </c>
      <c r="B118" s="181">
        <f>'Données projet'!D116</f>
        <v>29</v>
      </c>
      <c r="C118" s="191">
        <v>2</v>
      </c>
      <c r="D118" s="179">
        <f t="shared" si="8"/>
        <v>58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25</v>
      </c>
      <c r="B119" s="181">
        <f>'Données projet'!D117</f>
        <v>31</v>
      </c>
      <c r="C119" s="191">
        <v>2</v>
      </c>
      <c r="D119" s="179">
        <f t="shared" si="8"/>
        <v>62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30</v>
      </c>
      <c r="B120" s="181">
        <f>'Données projet'!D118</f>
        <v>32</v>
      </c>
      <c r="C120" s="191">
        <v>1</v>
      </c>
      <c r="D120" s="179">
        <f t="shared" si="8"/>
        <v>32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35</v>
      </c>
      <c r="B121" s="181">
        <f>'Données projet'!D119</f>
        <v>32</v>
      </c>
      <c r="C121" s="191">
        <v>3</v>
      </c>
      <c r="D121" s="179">
        <f t="shared" si="8"/>
        <v>96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40</v>
      </c>
      <c r="B122" s="181">
        <f>'Données projet'!D120</f>
        <v>31</v>
      </c>
      <c r="C122" s="191">
        <v>3</v>
      </c>
      <c r="D122" s="179">
        <f t="shared" si="8"/>
        <v>93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45</v>
      </c>
      <c r="B123" s="181">
        <f>'Données projet'!D121</f>
        <v>30</v>
      </c>
      <c r="C123" s="191">
        <v>3</v>
      </c>
      <c r="D123" s="179">
        <f t="shared" si="8"/>
        <v>90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50</v>
      </c>
      <c r="B124" s="181">
        <f>'Données projet'!D122</f>
        <v>28</v>
      </c>
      <c r="C124" s="191">
        <v>3</v>
      </c>
      <c r="D124" s="179">
        <f t="shared" si="8"/>
        <v>84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55</v>
      </c>
      <c r="B125" s="181">
        <f>'Données projet'!D123</f>
        <v>26</v>
      </c>
      <c r="C125" s="191">
        <v>3</v>
      </c>
      <c r="D125" s="179">
        <f t="shared" si="8"/>
        <v>78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60</v>
      </c>
      <c r="B126" s="181">
        <f>'Données projet'!D124</f>
        <v>24</v>
      </c>
      <c r="C126" s="191">
        <v>20</v>
      </c>
      <c r="D126" s="179">
        <f t="shared" si="8"/>
        <v>480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65</v>
      </c>
      <c r="B127" s="181">
        <f>'Données projet'!D125</f>
        <v>22</v>
      </c>
      <c r="C127" s="191">
        <v>40.5</v>
      </c>
      <c r="D127" s="179">
        <f t="shared" si="8"/>
        <v>891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70</v>
      </c>
      <c r="B128" s="181">
        <f>'Données projet'!D126</f>
        <v>21</v>
      </c>
      <c r="C128" s="191">
        <v>40.5</v>
      </c>
      <c r="D128" s="179">
        <f t="shared" si="8"/>
        <v>850.5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75</v>
      </c>
      <c r="B129" s="181">
        <f>'Données projet'!D127</f>
        <v>19</v>
      </c>
      <c r="C129" s="191">
        <v>41</v>
      </c>
      <c r="D129" s="179">
        <f t="shared" si="8"/>
        <v>779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80</v>
      </c>
      <c r="B130" s="181">
        <f>'Données projet'!D128</f>
        <v>17</v>
      </c>
      <c r="C130" s="191">
        <v>41</v>
      </c>
      <c r="D130" s="179">
        <f t="shared" si="8"/>
        <v>697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85</v>
      </c>
      <c r="B131" s="181">
        <f>'Données projet'!D129</f>
        <v>16</v>
      </c>
      <c r="C131" s="191">
        <v>41</v>
      </c>
      <c r="D131" s="179">
        <f t="shared" si="8"/>
        <v>656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90</v>
      </c>
      <c r="B132" s="181">
        <f>'Données projet'!D130</f>
        <v>14</v>
      </c>
      <c r="C132" s="191">
        <v>41</v>
      </c>
      <c r="D132" s="179">
        <f t="shared" si="8"/>
        <v>574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95</v>
      </c>
      <c r="B133" s="181">
        <f>'Données projet'!D131</f>
        <v>13</v>
      </c>
      <c r="C133" s="191">
        <v>50</v>
      </c>
      <c r="D133" s="179">
        <f t="shared" si="8"/>
        <v>650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100</v>
      </c>
      <c r="B134" s="181">
        <f>'Données projet'!D132</f>
        <v>13</v>
      </c>
      <c r="C134" s="191">
        <v>100</v>
      </c>
      <c r="D134" s="179">
        <f t="shared" si="8"/>
        <v>1300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>Erable sycomore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f>1300*(0.82+0.5)</f>
        <v>1715.9999999999998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15</v>
      </c>
      <c r="B147" s="175">
        <f>'Données projet'!D140</f>
        <v>15</v>
      </c>
      <c r="C147" s="191">
        <v>10</v>
      </c>
      <c r="D147" s="182">
        <f>B147*C147</f>
        <v>150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20</v>
      </c>
      <c r="B148" s="175">
        <f>'Données projet'!D141</f>
        <v>28</v>
      </c>
      <c r="C148" s="191">
        <v>10</v>
      </c>
      <c r="D148" s="182">
        <f t="shared" ref="D148:D166" si="10">B148*C148</f>
        <v>280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25</v>
      </c>
      <c r="B149" s="175">
        <f>'Données projet'!D142</f>
        <v>28</v>
      </c>
      <c r="C149" s="191">
        <v>10</v>
      </c>
      <c r="D149" s="182">
        <f t="shared" si="10"/>
        <v>280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30</v>
      </c>
      <c r="B150" s="175">
        <f>'Données projet'!D143</f>
        <v>28</v>
      </c>
      <c r="C150" s="191">
        <v>20</v>
      </c>
      <c r="D150" s="182">
        <f t="shared" si="10"/>
        <v>560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35</v>
      </c>
      <c r="B151" s="175">
        <f>'Données projet'!D144</f>
        <v>28</v>
      </c>
      <c r="C151" s="191">
        <v>20</v>
      </c>
      <c r="D151" s="182">
        <f t="shared" si="10"/>
        <v>560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40</v>
      </c>
      <c r="B152" s="175">
        <f>'Données projet'!D145</f>
        <v>28</v>
      </c>
      <c r="C152" s="191">
        <v>20</v>
      </c>
      <c r="D152" s="182">
        <f t="shared" si="10"/>
        <v>560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45</v>
      </c>
      <c r="B153" s="175">
        <f>'Données projet'!D146</f>
        <v>22</v>
      </c>
      <c r="C153" s="191">
        <v>20</v>
      </c>
      <c r="D153" s="182">
        <f t="shared" si="10"/>
        <v>440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50</v>
      </c>
      <c r="B154" s="175">
        <f>'Données projet'!D147</f>
        <v>17</v>
      </c>
      <c r="C154" s="191">
        <v>20</v>
      </c>
      <c r="D154" s="182">
        <f t="shared" si="10"/>
        <v>340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55</v>
      </c>
      <c r="B155" s="175">
        <f>'Données projet'!D148</f>
        <v>13</v>
      </c>
      <c r="C155" s="191">
        <v>20</v>
      </c>
      <c r="D155" s="182">
        <f t="shared" si="10"/>
        <v>260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60</v>
      </c>
      <c r="B156" s="175">
        <f>'Données projet'!D149</f>
        <v>12</v>
      </c>
      <c r="C156" s="191">
        <v>35</v>
      </c>
      <c r="D156" s="182">
        <f t="shared" si="10"/>
        <v>420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65</v>
      </c>
      <c r="B157" s="175">
        <f>'Données projet'!D150</f>
        <v>11</v>
      </c>
      <c r="C157" s="191">
        <v>35</v>
      </c>
      <c r="D157" s="182">
        <f t="shared" si="10"/>
        <v>385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70</v>
      </c>
      <c r="B158" s="175">
        <f>'Données projet'!D151</f>
        <v>10</v>
      </c>
      <c r="C158" s="191">
        <v>35</v>
      </c>
      <c r="D158" s="182">
        <f t="shared" si="10"/>
        <v>350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75</v>
      </c>
      <c r="B159" s="175">
        <f>'Données projet'!D152</f>
        <v>9</v>
      </c>
      <c r="C159" s="191">
        <v>35</v>
      </c>
      <c r="D159" s="182">
        <f t="shared" si="10"/>
        <v>315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80</v>
      </c>
      <c r="B160" s="175">
        <f>'Données projet'!D153</f>
        <v>275</v>
      </c>
      <c r="C160" s="191">
        <v>40</v>
      </c>
      <c r="D160" s="182">
        <f t="shared" si="10"/>
        <v>11000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>Aulne glutineux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f>1300*(0.77+0.45)</f>
        <v>1586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10</v>
      </c>
      <c r="B178" s="181">
        <f>'Données projet'!D166</f>
        <v>1</v>
      </c>
      <c r="C178" s="193">
        <v>0</v>
      </c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15</v>
      </c>
      <c r="B179" s="181">
        <f>'Données projet'!D167</f>
        <v>5</v>
      </c>
      <c r="C179" s="193">
        <v>2</v>
      </c>
      <c r="D179" s="179">
        <f t="shared" ref="D179:D197" si="11">B179*C179</f>
        <v>10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20</v>
      </c>
      <c r="B180" s="181">
        <f>'Données projet'!D168</f>
        <v>12</v>
      </c>
      <c r="C180" s="193">
        <v>10</v>
      </c>
      <c r="D180" s="179">
        <f t="shared" si="11"/>
        <v>120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25</v>
      </c>
      <c r="B181" s="181">
        <f>'Données projet'!D169</f>
        <v>24</v>
      </c>
      <c r="C181" s="193">
        <v>10</v>
      </c>
      <c r="D181" s="179">
        <f t="shared" si="11"/>
        <v>240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30</v>
      </c>
      <c r="B182" s="181">
        <f>'Données projet'!D170</f>
        <v>26</v>
      </c>
      <c r="C182" s="193">
        <v>20</v>
      </c>
      <c r="D182" s="179">
        <f t="shared" si="11"/>
        <v>520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35</v>
      </c>
      <c r="B183" s="181">
        <f>'Données projet'!D171</f>
        <v>28</v>
      </c>
      <c r="C183" s="193">
        <v>20</v>
      </c>
      <c r="D183" s="179">
        <f t="shared" si="11"/>
        <v>560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40</v>
      </c>
      <c r="B184" s="181">
        <f>'Données projet'!D172</f>
        <v>28</v>
      </c>
      <c r="C184" s="193">
        <v>20</v>
      </c>
      <c r="D184" s="179">
        <f t="shared" si="11"/>
        <v>560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45</v>
      </c>
      <c r="B185" s="181">
        <f>'Données projet'!D173</f>
        <v>28</v>
      </c>
      <c r="C185" s="193">
        <v>20</v>
      </c>
      <c r="D185" s="179">
        <f t="shared" si="11"/>
        <v>560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50</v>
      </c>
      <c r="B186" s="181">
        <f>'Données projet'!D174</f>
        <v>27</v>
      </c>
      <c r="C186" s="193">
        <v>20</v>
      </c>
      <c r="D186" s="179">
        <f t="shared" si="11"/>
        <v>540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55</v>
      </c>
      <c r="B187" s="181">
        <f>'Données projet'!D175</f>
        <v>25</v>
      </c>
      <c r="C187" s="193">
        <v>20</v>
      </c>
      <c r="D187" s="179">
        <f t="shared" si="11"/>
        <v>500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60</v>
      </c>
      <c r="B188" s="181">
        <f>'Données projet'!D176</f>
        <v>24</v>
      </c>
      <c r="C188" s="193">
        <v>35</v>
      </c>
      <c r="D188" s="179">
        <f t="shared" si="11"/>
        <v>840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65</v>
      </c>
      <c r="B189" s="181">
        <f>'Données projet'!D177</f>
        <v>22</v>
      </c>
      <c r="C189" s="193">
        <v>35</v>
      </c>
      <c r="D189" s="179">
        <f t="shared" si="11"/>
        <v>770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70</v>
      </c>
      <c r="B190" s="181">
        <f>'Données projet'!D178</f>
        <v>21</v>
      </c>
      <c r="C190" s="193">
        <v>35</v>
      </c>
      <c r="D190" s="179">
        <f t="shared" si="11"/>
        <v>735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75</v>
      </c>
      <c r="B191" s="181">
        <f>'Données projet'!D179</f>
        <v>19</v>
      </c>
      <c r="C191" s="193">
        <v>35</v>
      </c>
      <c r="D191" s="179">
        <f t="shared" si="11"/>
        <v>665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80</v>
      </c>
      <c r="B192" s="181">
        <f>'Données projet'!D180</f>
        <v>18</v>
      </c>
      <c r="C192" s="193">
        <v>35</v>
      </c>
      <c r="D192" s="179">
        <f t="shared" si="11"/>
        <v>630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85</v>
      </c>
      <c r="B193" s="181">
        <f>'Données projet'!D181</f>
        <v>16</v>
      </c>
      <c r="C193" s="193">
        <v>35</v>
      </c>
      <c r="D193" s="179">
        <f t="shared" si="11"/>
        <v>560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90</v>
      </c>
      <c r="B194" s="181">
        <f>'Données projet'!D182</f>
        <v>283</v>
      </c>
      <c r="C194" s="193">
        <v>40</v>
      </c>
      <c r="D194" s="179">
        <f t="shared" si="11"/>
        <v>11320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>
        <f>1300*(0.48+0.5)</f>
        <v>1274</v>
      </c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>
        <v>2</v>
      </c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>
        <v>1.95</v>
      </c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>
        <v>1.95</v>
      </c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>
        <v>4.4800000000000004</v>
      </c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>
        <v>4.4800000000000004</v>
      </c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>
        <v>4.8</v>
      </c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>
        <v>27</v>
      </c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>
        <v>45</v>
      </c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>
        <v>60</v>
      </c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>
        <f>1300*(0.82+0.5)</f>
        <v>1715.9999999999998</v>
      </c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Vianney FALCONNET</cp:lastModifiedBy>
  <cp:lastPrinted>2024-06-19T08:35:56Z</cp:lastPrinted>
  <dcterms:created xsi:type="dcterms:W3CDTF">2021-02-01T08:22:39Z</dcterms:created>
  <dcterms:modified xsi:type="dcterms:W3CDTF">2025-05-28T12:39:21Z</dcterms:modified>
</cp:coreProperties>
</file>