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Charentes\CHILLAC (16) -GF DE RODE ET RAMARD\Dossier à déposer\"/>
    </mc:Choice>
  </mc:AlternateContent>
  <xr:revisionPtr revIDLastSave="0" documentId="13_ncr:1_{AE3BFC5B-1F4F-43B7-890E-921F1ECA06CC}" xr6:coauthVersionLast="36" xr6:coauthVersionMax="36" xr10:uidLastSave="{00000000-0000-0000-0000-000000000000}"/>
  <bookViews>
    <workbookView xWindow="0" yWindow="0" windowWidth="28800" windowHeight="12615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9" i="2" a="1"/>
  <c r="AH199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" i="2" l="1" a="1"/>
  <c r="AH19" i="2" s="1"/>
  <c r="AH90" i="2" a="1"/>
  <c r="AH90" i="2" s="1"/>
  <c r="AH151" i="2" a="1"/>
  <c r="AH151" i="2" s="1"/>
  <c r="AH163" i="2" a="1"/>
  <c r="AH163" i="2" s="1"/>
  <c r="AH62" i="2" a="1"/>
  <c r="AH62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M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M6" i="4" s="1"/>
  <c r="F16" i="4"/>
  <c r="BS161" i="2" l="1"/>
  <c r="G16" i="4"/>
  <c r="L16" i="4"/>
  <c r="M16" i="4" s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<sst xmlns="http://schemas.openxmlformats.org/spreadsheetml/2006/main" count="1169" uniqueCount="324">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</sst>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2.1827412805591249</c:v>
                </c:pt>
                <c:pt idx="2">
                  <c:v>3.072752466359074</c:v>
                </c:pt>
                <c:pt idx="3">
                  <c:v>4.3272468407963478</c:v>
                </c:pt>
                <c:pt idx="4">
                  <c:v>6.0960991203634167</c:v>
                </c:pt>
                <c:pt idx="5">
                  <c:v>8.5910457829428761</c:v>
                </c:pt>
                <c:pt idx="6">
                  <c:v>12.111308120410888</c:v>
                </c:pt>
                <c:pt idx="7">
                  <c:v>17.079862262962827</c:v>
                </c:pt>
                <c:pt idx="8">
                  <c:v>24.094793106242644</c:v>
                </c:pt>
                <c:pt idx="9">
                  <c:v>34.002022945399325</c:v>
                </c:pt>
                <c:pt idx="10">
                  <c:v>47.998335925397946</c:v>
                </c:pt>
                <c:pt idx="11">
                  <c:v>67.777352025416505</c:v>
                </c:pt>
                <c:pt idx="12">
                  <c:v>95.736402105530317</c:v>
                </c:pt>
                <c:pt idx="13">
                  <c:v>135.26977619819337</c:v>
                </c:pt>
                <c:pt idx="14">
                  <c:v>122.99225398355058</c:v>
                </c:pt>
                <c:pt idx="15">
                  <c:v>147.26006612469442</c:v>
                </c:pt>
                <c:pt idx="16">
                  <c:v>171.43215609711328</c:v>
                </c:pt>
                <c:pt idx="17">
                  <c:v>195.52394332084884</c:v>
                </c:pt>
                <c:pt idx="18">
                  <c:v>219.54672196983498</c:v>
                </c:pt>
                <c:pt idx="19">
                  <c:v>190.86670891760676</c:v>
                </c:pt>
                <c:pt idx="20">
                  <c:v>213.86965334974411</c:v>
                </c:pt>
                <c:pt idx="21">
                  <c:v>236.81560804160597</c:v>
                </c:pt>
                <c:pt idx="22">
                  <c:v>259.71087111615634</c:v>
                </c:pt>
                <c:pt idx="23">
                  <c:v>282.56053853494797</c:v>
                </c:pt>
                <c:pt idx="24">
                  <c:v>235.19675671623455</c:v>
                </c:pt>
                <c:pt idx="25">
                  <c:v>254.68019125492972</c:v>
                </c:pt>
                <c:pt idx="26">
                  <c:v>274.129893403339</c:v>
                </c:pt>
                <c:pt idx="27">
                  <c:v>293.54859261186851</c:v>
                </c:pt>
                <c:pt idx="28">
                  <c:v>312.93862766627666</c:v>
                </c:pt>
                <c:pt idx="29">
                  <c:v>332.30202385642195</c:v>
                </c:pt>
                <c:pt idx="30">
                  <c:v>351.64055120002314</c:v>
                </c:pt>
                <c:pt idx="31">
                  <c:v>369.4987981688775</c:v>
                </c:pt>
                <c:pt idx="32">
                  <c:v>387.33822121677053</c:v>
                </c:pt>
                <c:pt idx="33">
                  <c:v>405.15980898705612</c:v>
                </c:pt>
                <c:pt idx="34">
                  <c:v>422.96445608157745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25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25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25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25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25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25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25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25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25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25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25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25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25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25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25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25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25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25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90" zoomScaleNormal="90" workbookViewId="0">
      <selection activeCell="D21" sqref="D21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8" t="s">
        <v>190</v>
      </c>
      <c r="D1" s="298"/>
      <c r="E1" s="298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5" t="s">
        <v>231</v>
      </c>
      <c r="B5" s="305"/>
      <c r="C5" s="26">
        <v>1.92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1</v>
      </c>
      <c r="D9" s="36">
        <f t="shared" ref="D9:D18" si="0">C9*$C$5</f>
        <v>1.92</v>
      </c>
      <c r="E9" s="37">
        <v>34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1.92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13</v>
      </c>
      <c r="B36" s="63">
        <v>101</v>
      </c>
      <c r="C36" s="63">
        <v>1</v>
      </c>
      <c r="D36" s="63">
        <v>28</v>
      </c>
      <c r="E36" s="54"/>
      <c r="F36" s="54"/>
      <c r="G36" s="54">
        <v>1</v>
      </c>
      <c r="H36" s="54"/>
      <c r="I36" s="52">
        <f>IFERROR(B36/A36,"")</f>
        <v>7.7692307692307692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18</v>
      </c>
      <c r="B37" s="63">
        <v>166</v>
      </c>
      <c r="C37" s="63">
        <v>2</v>
      </c>
      <c r="D37" s="63">
        <v>40</v>
      </c>
      <c r="E37" s="54">
        <v>0.25</v>
      </c>
      <c r="F37" s="54"/>
      <c r="G37" s="54">
        <v>0.75</v>
      </c>
      <c r="H37" s="54"/>
      <c r="I37" s="56">
        <f t="shared" ref="I37:I55" si="1">IF(A37&lt;&gt;0,(B37-(B36-D36))/(A37-A36),"")</f>
        <v>18.600000000000001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23</v>
      </c>
      <c r="B38" s="63">
        <v>215</v>
      </c>
      <c r="C38" s="63">
        <v>3</v>
      </c>
      <c r="D38" s="63">
        <v>52</v>
      </c>
      <c r="E38" s="54">
        <v>0.5</v>
      </c>
      <c r="F38" s="54"/>
      <c r="G38" s="54">
        <v>0.5</v>
      </c>
      <c r="H38" s="54"/>
      <c r="I38" s="56">
        <f t="shared" si="1"/>
        <v>17.8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269</v>
      </c>
      <c r="C39" s="63">
        <v>4</v>
      </c>
      <c r="D39" s="63">
        <v>0</v>
      </c>
      <c r="E39" s="54"/>
      <c r="F39" s="54"/>
      <c r="G39" s="54"/>
      <c r="H39" s="54"/>
      <c r="I39" s="52">
        <f t="shared" si="1"/>
        <v>15.142857142857142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34</v>
      </c>
      <c r="B40" s="63">
        <v>325</v>
      </c>
      <c r="C40" s="63">
        <v>5</v>
      </c>
      <c r="D40" s="63">
        <v>325</v>
      </c>
      <c r="E40" s="54">
        <v>0.7</v>
      </c>
      <c r="F40" s="54"/>
      <c r="G40" s="54">
        <v>0.3</v>
      </c>
      <c r="H40" s="54"/>
      <c r="I40" s="52">
        <f t="shared" si="1"/>
        <v>14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E16" sqref="E16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Pin maritime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/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/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/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/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/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/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151.58413719376074</v>
      </c>
      <c r="T3" s="62">
        <f>IF('Données projet'!E9&gt;30,$R$33-$H$33,LOOKUP('Données projet'!$E$9,$A$3:$A$203,R3:R203)-LOOKUP('Données projet'!$E$9,$A$3:$A$203,$H$3:$H$203))</f>
        <v>310.105543138185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7.7692307692307692</v>
      </c>
      <c r="N4" s="14">
        <f>IF('Données projet'!$A$36&gt;35,N3+M4-V3,IF(A4&lt;'Données projet'!$A$36,$K$205^A4,IF(A4='Données projet'!$A$36,'Données projet'!$B$36,N3+M4-V3)))</f>
        <v>1.4261938757879591</v>
      </c>
      <c r="O4" s="14">
        <f>N4*VLOOKUP('Données projet'!$B$9,Paramètres!$A$1:$I$89,3,0)*VLOOKUP('Données projet'!$B$9,Paramètres!$A$1:$I$89,5,0)</f>
        <v>0.85286393772119951</v>
      </c>
      <c r="P4" s="14">
        <f>EXP(-1.0587+0.8836*LN(O4)+0.284)</f>
        <v>0.40038464441801103</v>
      </c>
      <c r="Q4" s="22">
        <f t="shared" ref="Q4:Q34" si="2">(O4+P4)*0.475*44/12</f>
        <v>2.1827412805591249</v>
      </c>
      <c r="R4" s="62">
        <f t="shared" si="0"/>
        <v>295.51607461389244</v>
      </c>
      <c r="S4" s="62">
        <f ca="1">AVERAGE(OFFSET($R$3,0,0,'Données projet'!$E$9+1,1))-AVERAGE(OFFSET($H$3,0,0,'Données projet'!$E$9+1,1))</f>
        <v>151.58413719376074</v>
      </c>
      <c r="T4" s="62">
        <f>$T$3</f>
        <v>310.105543138185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7.7692307692307692</v>
      </c>
      <c r="N5" s="14">
        <f>IF('Données projet'!$A$36&gt;35,N4+M5-V4,IF(A5&lt;'Données projet'!$A$36,$K$205^A5,IF(A5='Données projet'!$A$36,'Données projet'!$B$36,N4+M5-V4)))</f>
        <v>2.0340289713350805</v>
      </c>
      <c r="O5" s="14">
        <f>N5*VLOOKUP('Données projet'!$B$9,Paramètres!$A$1:$I$89,3,0)*VLOOKUP('Données projet'!$B$9,Paramètres!$A$1:$I$89,5,0)</f>
        <v>1.2163493248583781</v>
      </c>
      <c r="P5" s="14">
        <f t="shared" ref="P5:P68" si="33">EXP(-1.0587+0.8836*LN(O5)+0.284)</f>
        <v>0.54791046443869817</v>
      </c>
      <c r="Q5" s="22">
        <f t="shared" si="2"/>
        <v>3.072752466359074</v>
      </c>
      <c r="R5" s="62">
        <f t="shared" si="0"/>
        <v>296.40608579969239</v>
      </c>
      <c r="S5" s="62">
        <f ca="1">AVERAGE(OFFSET($R$3,0,0,'Données projet'!$E$9+1,1))-AVERAGE(OFFSET($H$3,0,0,'Données projet'!$E$9+1,1))</f>
        <v>151.58413719376074</v>
      </c>
      <c r="T5" s="62">
        <f t="shared" ref="T5:T68" si="34">$T$3</f>
        <v>310.105543138185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7.7692307692307692</v>
      </c>
      <c r="N6" s="14">
        <f>IF('Données projet'!$A$36&gt;35,N5+M6-V5,IF(A6&lt;'Données projet'!$A$36,$K$205^A6,IF(A6='Données projet'!$A$36,'Données projet'!$B$36,N5+M6-V5)))</f>
        <v>2.9009196620933739</v>
      </c>
      <c r="O6" s="14">
        <f>N6*VLOOKUP('Données projet'!$B$9,Paramètres!$A$1:$I$89,3,0)*VLOOKUP('Données projet'!$B$9,Paramètres!$A$1:$I$89,5,0)</f>
        <v>1.7347499579318377</v>
      </c>
      <c r="P6" s="14">
        <f t="shared" si="33"/>
        <v>0.74979368271678282</v>
      </c>
      <c r="Q6" s="22">
        <f t="shared" si="2"/>
        <v>4.3272468407963478</v>
      </c>
      <c r="R6" s="62">
        <f t="shared" si="0"/>
        <v>297.66058017412968</v>
      </c>
      <c r="S6" s="62">
        <f ca="1">AVERAGE(OFFSET($R$3,0,0,'Données projet'!$E$9+1,1))-AVERAGE(OFFSET($H$3,0,0,'Données projet'!$E$9+1,1))</f>
        <v>151.58413719376074</v>
      </c>
      <c r="T6" s="62">
        <f t="shared" si="34"/>
        <v>310.105543138185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7.7692307692307692</v>
      </c>
      <c r="N7" s="14">
        <f>IF('Données projet'!$A$36&gt;35,N6+M7-V6,IF(A7&lt;'Données projet'!$A$36,$K$205^A7,IF(A7='Données projet'!$A$36,'Données projet'!$B$36,N6+M7-V6)))</f>
        <v>4.1372738562304461</v>
      </c>
      <c r="O7" s="14">
        <f>N7*VLOOKUP('Données projet'!$B$9,Paramètres!$A$1:$I$89,3,0)*VLOOKUP('Données projet'!$B$9,Paramètres!$A$1:$I$89,5,0)</f>
        <v>2.474089766025807</v>
      </c>
      <c r="P7" s="14">
        <f t="shared" si="33"/>
        <v>1.0260628389675426</v>
      </c>
      <c r="Q7" s="22">
        <f t="shared" si="2"/>
        <v>6.0960991203634167</v>
      </c>
      <c r="R7" s="62">
        <f t="shared" si="0"/>
        <v>299.42943245369673</v>
      </c>
      <c r="S7" s="62">
        <f ca="1">AVERAGE(OFFSET($R$3,0,0,'Données projet'!$E$9+1,1))-AVERAGE(OFFSET($H$3,0,0,'Données projet'!$E$9+1,1))</f>
        <v>151.58413719376074</v>
      </c>
      <c r="T7" s="62">
        <f t="shared" si="34"/>
        <v>310.105543138185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7.7692307692307692</v>
      </c>
      <c r="N8" s="14">
        <f>IF('Données projet'!$A$36&gt;35,N7+M8-V7,IF(A8&lt;'Données projet'!$A$36,$K$205^A8,IF(A8='Données projet'!$A$36,'Données projet'!$B$36,N7+M8-V7)))</f>
        <v>5.9005546362134957</v>
      </c>
      <c r="O8" s="14">
        <f>N8*VLOOKUP('Données projet'!$B$9,Paramètres!$A$1:$I$89,3,0)*VLOOKUP('Données projet'!$B$9,Paramètres!$A$1:$I$89,5,0)</f>
        <v>3.5285316724556708</v>
      </c>
      <c r="P8" s="14">
        <f t="shared" si="33"/>
        <v>1.404126193348852</v>
      </c>
      <c r="Q8" s="22">
        <f t="shared" si="2"/>
        <v>8.5910457829428761</v>
      </c>
      <c r="R8" s="62">
        <f t="shared" si="0"/>
        <v>301.92437911627621</v>
      </c>
      <c r="S8" s="62">
        <f ca="1">AVERAGE(OFFSET($R$3,0,0,'Données projet'!$E$9+1,1))-AVERAGE(OFFSET($H$3,0,0,'Données projet'!$E$9+1,1))</f>
        <v>151.58413719376074</v>
      </c>
      <c r="T8" s="62">
        <f t="shared" si="34"/>
        <v>310.105543138185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7.7692307692307692</v>
      </c>
      <c r="N9" s="14">
        <f>IF('Données projet'!$A$36&gt;35,N8+M9-V8,IF(A9&lt;'Données projet'!$A$36,$K$205^A9,IF(A9='Données projet'!$A$36,'Données projet'!$B$36,N8+M9-V8)))</f>
        <v>8.4153348859199362</v>
      </c>
      <c r="O9" s="14">
        <f>N9*VLOOKUP('Données projet'!$B$9,Paramètres!$A$1:$I$89,3,0)*VLOOKUP('Données projet'!$B$9,Paramètres!$A$1:$I$89,5,0)</f>
        <v>5.0323702617801223</v>
      </c>
      <c r="P9" s="14">
        <f t="shared" si="33"/>
        <v>1.9214908599868947</v>
      </c>
      <c r="Q9" s="22">
        <f t="shared" si="2"/>
        <v>12.111308120410888</v>
      </c>
      <c r="R9" s="62">
        <f t="shared" si="0"/>
        <v>305.44464145374423</v>
      </c>
      <c r="S9" s="62">
        <f ca="1">AVERAGE(OFFSET($R$3,0,0,'Données projet'!$E$9+1,1))-AVERAGE(OFFSET($H$3,0,0,'Données projet'!$E$9+1,1))</f>
        <v>151.58413719376074</v>
      </c>
      <c r="T9" s="62">
        <f t="shared" si="34"/>
        <v>310.105543138185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7.7692307692307692</v>
      </c>
      <c r="N10" s="14">
        <f>IF('Données projet'!$A$36&gt;35,N9+M10-V9,IF(A10&lt;'Données projet'!$A$36,$K$205^A10,IF(A10='Données projet'!$A$36,'Données projet'!$B$36,N9+M10-V9)))</f>
        <v>12.001899077003776</v>
      </c>
      <c r="O10" s="14">
        <f>N10*VLOOKUP('Données projet'!$B$9,Paramètres!$A$1:$I$89,3,0)*VLOOKUP('Données projet'!$B$9,Paramètres!$A$1:$I$89,5,0)</f>
        <v>7.1771356480482584</v>
      </c>
      <c r="P10" s="14">
        <f t="shared" si="33"/>
        <v>2.6294838330787229</v>
      </c>
      <c r="Q10" s="22">
        <f t="shared" si="2"/>
        <v>17.079862262962827</v>
      </c>
      <c r="R10" s="62">
        <f t="shared" si="0"/>
        <v>310.41319559629613</v>
      </c>
      <c r="S10" s="62">
        <f ca="1">AVERAGE(OFFSET($R$3,0,0,'Données projet'!$E$9+1,1))-AVERAGE(OFFSET($H$3,0,0,'Données projet'!$E$9+1,1))</f>
        <v>151.58413719376074</v>
      </c>
      <c r="T10" s="62">
        <f t="shared" si="34"/>
        <v>310.105543138185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7.7692307692307692</v>
      </c>
      <c r="N11" s="14">
        <f>IF('Données projet'!$A$36&gt;35,N10+M11-V10,IF(A11&lt;'Données projet'!$A$36,$K$205^A11,IF(A11='Données projet'!$A$36,'Données projet'!$B$36,N10+M11-V10)))</f>
        <v>17.117034961447946</v>
      </c>
      <c r="O11" s="14">
        <f>N11*VLOOKUP('Données projet'!$B$9,Paramètres!$A$1:$I$89,3,0)*VLOOKUP('Données projet'!$B$9,Paramètres!$A$1:$I$89,5,0)</f>
        <v>10.235986906945872</v>
      </c>
      <c r="P11" s="14">
        <f t="shared" si="33"/>
        <v>3.5983440631455994</v>
      </c>
      <c r="Q11" s="22">
        <f t="shared" si="2"/>
        <v>24.094793106242644</v>
      </c>
      <c r="R11" s="62">
        <f t="shared" si="0"/>
        <v>317.42812643957598</v>
      </c>
      <c r="S11" s="62">
        <f ca="1">AVERAGE(OFFSET($R$3,0,0,'Données projet'!$E$9+1,1))-AVERAGE(OFFSET($H$3,0,0,'Données projet'!$E$9+1,1))</f>
        <v>151.58413719376074</v>
      </c>
      <c r="T11" s="62">
        <f t="shared" si="34"/>
        <v>310.105543138185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7.7692307692307692</v>
      </c>
      <c r="N12" s="14">
        <f>IF('Données projet'!$A$36&gt;35,N11+M12-V11,IF(A12&lt;'Données projet'!$A$36,$K$205^A12,IF(A12='Données projet'!$A$36,'Données projet'!$B$36,N11+M12-V11)))</f>
        <v>24.412210433665443</v>
      </c>
      <c r="O12" s="14">
        <f>N12*VLOOKUP('Données projet'!$B$9,Paramètres!$A$1:$I$89,3,0)*VLOOKUP('Données projet'!$B$9,Paramètres!$A$1:$I$89,5,0)</f>
        <v>14.598501839331936</v>
      </c>
      <c r="P12" s="14">
        <f t="shared" si="33"/>
        <v>4.9241907608973428</v>
      </c>
      <c r="Q12" s="22">
        <f t="shared" si="2"/>
        <v>34.002022945399325</v>
      </c>
      <c r="R12" s="62">
        <f t="shared" si="0"/>
        <v>327.33535627873266</v>
      </c>
      <c r="S12" s="62">
        <f ca="1">AVERAGE(OFFSET($R$3,0,0,'Données projet'!$E$9+1,1))-AVERAGE(OFFSET($H$3,0,0,'Données projet'!$E$9+1,1))</f>
        <v>151.58413719376074</v>
      </c>
      <c r="T12" s="62">
        <f t="shared" si="34"/>
        <v>310.105543138185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7.7692307692307692</v>
      </c>
      <c r="N13" s="14">
        <f>IF('Données projet'!$A$36&gt;35,N12+M13-V12,IF(A13&lt;'Données projet'!$A$36,$K$205^A13,IF(A13='Données projet'!$A$36,'Données projet'!$B$36,N12+M13-V12)))</f>
        <v>34.816545014940573</v>
      </c>
      <c r="O13" s="14">
        <f>N13*VLOOKUP('Données projet'!$B$9,Paramètres!$A$1:$I$89,3,0)*VLOOKUP('Données projet'!$B$9,Paramètres!$A$1:$I$89,5,0)</f>
        <v>20.820293918934464</v>
      </c>
      <c r="P13" s="14">
        <f t="shared" si="33"/>
        <v>6.7385592439734481</v>
      </c>
      <c r="Q13" s="22">
        <f t="shared" si="2"/>
        <v>47.998335925397946</v>
      </c>
      <c r="R13" s="62">
        <f t="shared" si="0"/>
        <v>341.33166925873127</v>
      </c>
      <c r="S13" s="62">
        <f ca="1">AVERAGE(OFFSET($R$3,0,0,'Données projet'!$E$9+1,1))-AVERAGE(OFFSET($H$3,0,0,'Données projet'!$E$9+1,1))</f>
        <v>151.58413719376074</v>
      </c>
      <c r="T13" s="62">
        <f t="shared" si="34"/>
        <v>310.105543138185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7.7692307692307692</v>
      </c>
      <c r="N14" s="14">
        <f>IF('Données projet'!$A$36&gt;35,N13+M14-V13,IF(A14&lt;'Données projet'!$A$36,$K$205^A14,IF(A14='Données projet'!$A$36,'Données projet'!$B$36,N13+M14-V13)))</f>
        <v>49.65514327640404</v>
      </c>
      <c r="O14" s="14">
        <f>N14*VLOOKUP('Données projet'!$B$9,Paramètres!$A$1:$I$89,3,0)*VLOOKUP('Données projet'!$B$9,Paramètres!$A$1:$I$89,5,0)</f>
        <v>29.693775679289619</v>
      </c>
      <c r="P14" s="14">
        <f t="shared" si="33"/>
        <v>9.2214503640117265</v>
      </c>
      <c r="Q14" s="22">
        <f t="shared" si="2"/>
        <v>67.777352025416505</v>
      </c>
      <c r="R14" s="62">
        <f t="shared" si="0"/>
        <v>361.11068535874983</v>
      </c>
      <c r="S14" s="62">
        <f ca="1">AVERAGE(OFFSET($R$3,0,0,'Données projet'!$E$9+1,1))-AVERAGE(OFFSET($H$3,0,0,'Données projet'!$E$9+1,1))</f>
        <v>151.58413719376074</v>
      </c>
      <c r="T14" s="62">
        <f t="shared" si="34"/>
        <v>310.105543138185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7.7692307692307692</v>
      </c>
      <c r="N15" s="14">
        <f>IF('Données projet'!$A$36&gt;35,N14+M15-V14,IF(A15&lt;'Données projet'!$A$36,$K$205^A15,IF(A15='Données projet'!$A$36,'Données projet'!$B$36,N14+M15-V14)))</f>
        <v>70.81786124218111</v>
      </c>
      <c r="O15" s="14">
        <f>N15*VLOOKUP('Données projet'!$B$9,Paramètres!$A$1:$I$89,3,0)*VLOOKUP('Données projet'!$B$9,Paramètres!$A$1:$I$89,5,0)</f>
        <v>42.349081022824308</v>
      </c>
      <c r="P15" s="14">
        <f t="shared" si="33"/>
        <v>12.61918812867636</v>
      </c>
      <c r="Q15" s="22">
        <f t="shared" si="2"/>
        <v>95.736402105530317</v>
      </c>
      <c r="R15" s="62">
        <f t="shared" si="0"/>
        <v>389.06973543886363</v>
      </c>
      <c r="S15" s="62">
        <f ca="1">AVERAGE(OFFSET($R$3,0,0,'Données projet'!$E$9+1,1))-AVERAGE(OFFSET($H$3,0,0,'Données projet'!$E$9+1,1))</f>
        <v>151.58413719376074</v>
      </c>
      <c r="T15" s="62">
        <f t="shared" si="34"/>
        <v>310.105543138185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>
        <f>VLOOKUP(A16,'Données projet'!$A$35:$I$55,2,0)</f>
        <v>101</v>
      </c>
      <c r="L16" s="13">
        <f>VLOOKUP(A16,'Données projet'!$A$35:$I$55,9,0)</f>
        <v>7.7692307692307692</v>
      </c>
      <c r="M16" s="13">
        <f t="array" ref="M16">INDEX(L:L,MIN(IF(ISNUMBER(L16:L212),ROW(L16:L212),"")))</f>
        <v>7.7692307692307692</v>
      </c>
      <c r="N16" s="14">
        <f>IF('Données projet'!$A$36&gt;35,N15+M16-V15,IF(A16&lt;'Données projet'!$A$36,$K$205^A16,IF(A16='Données projet'!$A$36,'Données projet'!$B$36,N15+M16-V15)))</f>
        <v>101</v>
      </c>
      <c r="O16" s="14">
        <f>N16*VLOOKUP('Données projet'!$B$9,Paramètres!$A$1:$I$89,3,0)*VLOOKUP('Données projet'!$B$9,Paramètres!$A$1:$I$89,5,0)</f>
        <v>60.398000000000003</v>
      </c>
      <c r="P16" s="14">
        <f t="shared" si="33"/>
        <v>17.26885714728807</v>
      </c>
      <c r="Q16" s="22">
        <f t="shared" si="2"/>
        <v>135.26977619819337</v>
      </c>
      <c r="R16" s="62">
        <f t="shared" si="0"/>
        <v>428.60310953152668</v>
      </c>
      <c r="S16" s="62">
        <f ca="1">AVERAGE(OFFSET($R$3,0,0,'Données projet'!$E$9+1,1))-AVERAGE(OFFSET($H$3,0,0,'Données projet'!$E$9+1,1))</f>
        <v>151.58413719376074</v>
      </c>
      <c r="T16" s="62">
        <f t="shared" si="34"/>
        <v>310.105543138185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28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18.958097589783147</v>
      </c>
      <c r="AC16" s="24">
        <f t="shared" si="3"/>
        <v>18.958097589783147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18.600000000000001</v>
      </c>
      <c r="N17" s="14">
        <f>IF('Données projet'!$A$36&gt;35,N16+M17-V16,IF(A17&lt;'Données projet'!$A$36,$K$205^A17,IF(A17='Données projet'!$A$36,'Données projet'!$B$36,N16+M17-V16)))</f>
        <v>91.6</v>
      </c>
      <c r="O17" s="14">
        <f>N17*VLOOKUP('Données projet'!$B$9,Paramètres!$A$1:$I$89,3,0)*VLOOKUP('Données projet'!$B$9,Paramètres!$A$1:$I$89,5,0)</f>
        <v>54.776799999999994</v>
      </c>
      <c r="P17" s="14">
        <f t="shared" si="33"/>
        <v>15.840762095818524</v>
      </c>
      <c r="Q17" s="22">
        <f t="shared" si="2"/>
        <v>122.99225398355058</v>
      </c>
      <c r="R17" s="62">
        <f t="shared" si="0"/>
        <v>416.32558731688391</v>
      </c>
      <c r="S17" s="62">
        <f ca="1">AVERAGE(OFFSET($R$3,0,0,'Données projet'!$E$9+1,1))-AVERAGE(OFFSET($H$3,0,0,'Données projet'!$E$9+1,1))</f>
        <v>151.58413719376074</v>
      </c>
      <c r="T17" s="62">
        <f t="shared" si="34"/>
        <v>310.105543138185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13.405399364132007</v>
      </c>
      <c r="AC17" s="24">
        <f t="shared" si="3"/>
        <v>13.405399364132007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18.600000000000001</v>
      </c>
      <c r="N18" s="14">
        <f>IF('Données projet'!$A$36&gt;35,N17+M18-V17,IF(A18&lt;'Données projet'!$A$36,$K$205^A18,IF(A18='Données projet'!$A$36,'Données projet'!$B$36,N17+M18-V17)))</f>
        <v>110.19999999999999</v>
      </c>
      <c r="O18" s="14">
        <f>N18*VLOOKUP('Données projet'!$B$9,Paramètres!$A$1:$I$89,3,0)*VLOOKUP('Données projet'!$B$9,Paramètres!$A$1:$I$89,5,0)</f>
        <v>65.899600000000007</v>
      </c>
      <c r="P18" s="14">
        <f t="shared" si="33"/>
        <v>18.651634138580526</v>
      </c>
      <c r="Q18" s="22">
        <f t="shared" si="2"/>
        <v>147.26006612469442</v>
      </c>
      <c r="R18" s="62">
        <f t="shared" si="0"/>
        <v>440.59339945802776</v>
      </c>
      <c r="S18" s="62">
        <f ca="1">AVERAGE(OFFSET($R$3,0,0,'Données projet'!$E$9+1,1))-AVERAGE(OFFSET($H$3,0,0,'Données projet'!$E$9+1,1))</f>
        <v>151.58413719376074</v>
      </c>
      <c r="T18" s="62">
        <f t="shared" si="34"/>
        <v>310.105543138185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9.4790487948915754</v>
      </c>
      <c r="AC18" s="24">
        <f t="shared" si="3"/>
        <v>9.4790487948915754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18.600000000000001</v>
      </c>
      <c r="N19" s="14">
        <f>IF('Données projet'!$A$36&gt;35,N18+M19-V18,IF(A19&lt;'Données projet'!$A$36,$K$205^A19,IF(A19='Données projet'!$A$36,'Données projet'!$B$36,N18+M19-V18)))</f>
        <v>128.79999999999998</v>
      </c>
      <c r="O19" s="14">
        <f>N19*VLOOKUP('Données projet'!$B$9,Paramètres!$A$1:$I$89,3,0)*VLOOKUP('Données projet'!$B$9,Paramètres!$A$1:$I$89,5,0)</f>
        <v>77.022400000000005</v>
      </c>
      <c r="P19" s="14">
        <f t="shared" si="33"/>
        <v>21.407546084466961</v>
      </c>
      <c r="Q19" s="22">
        <f t="shared" si="2"/>
        <v>171.43215609711328</v>
      </c>
      <c r="R19" s="62">
        <f t="shared" si="0"/>
        <v>464.76548943044656</v>
      </c>
      <c r="S19" s="62">
        <f ca="1">AVERAGE(OFFSET($R$3,0,0,'Données projet'!$E$9+1,1))-AVERAGE(OFFSET($H$3,0,0,'Données projet'!$E$9+1,1))</f>
        <v>151.58413719376074</v>
      </c>
      <c r="T19" s="62">
        <f t="shared" si="34"/>
        <v>310.105543138185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6.7026996820660045</v>
      </c>
      <c r="AC19" s="24">
        <f t="shared" si="3"/>
        <v>6.7026996820660045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18.600000000000001</v>
      </c>
      <c r="N20" s="14">
        <f>IF('Données projet'!$A$36&gt;35,N19+M20-V19,IF(A20&lt;'Données projet'!$A$36,$K$205^A20,IF(A20='Données projet'!$A$36,'Données projet'!$B$36,N19+M20-V19)))</f>
        <v>147.39999999999998</v>
      </c>
      <c r="O20" s="14">
        <f>N20*VLOOKUP('Données projet'!$B$9,Paramètres!$A$1:$I$89,3,0)*VLOOKUP('Données projet'!$B$9,Paramètres!$A$1:$I$89,5,0)</f>
        <v>88.145199999999988</v>
      </c>
      <c r="P20" s="14">
        <f t="shared" si="33"/>
        <v>24.117351189004136</v>
      </c>
      <c r="Q20" s="22">
        <f t="shared" si="2"/>
        <v>195.52394332084884</v>
      </c>
      <c r="R20" s="62">
        <f t="shared" si="0"/>
        <v>488.85727665418216</v>
      </c>
      <c r="S20" s="62">
        <f ca="1">AVERAGE(OFFSET($R$3,0,0,'Données projet'!$E$9+1,1))-AVERAGE(OFFSET($H$3,0,0,'Données projet'!$E$9+1,1))</f>
        <v>151.58413719376074</v>
      </c>
      <c r="T20" s="62">
        <f t="shared" si="34"/>
        <v>310.105543138185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4.7395243974457886</v>
      </c>
      <c r="AC20" s="24">
        <f t="shared" si="3"/>
        <v>4.7395243974457886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>
        <f>VLOOKUP(A21,'Données projet'!$A$35:$I$55,2,0)</f>
        <v>166</v>
      </c>
      <c r="L21" s="13">
        <f>VLOOKUP(A21,'Données projet'!$A$35:$I$55,9,0)</f>
        <v>18.600000000000001</v>
      </c>
      <c r="M21" s="13">
        <f t="array" ref="M21">INDEX(L:L,MIN(IF(ISNUMBER(L21:L217),ROW(L21:L217),"")))</f>
        <v>18.600000000000001</v>
      </c>
      <c r="N21" s="14">
        <f>IF('Données projet'!$A$36&gt;35,N20+M21-V20,IF(A21&lt;'Données projet'!$A$36,$K$205^A21,IF(A21='Données projet'!$A$36,'Données projet'!$B$36,N20+M21-V20)))</f>
        <v>165.99999999999997</v>
      </c>
      <c r="O21" s="14">
        <f>N21*VLOOKUP('Données projet'!$B$9,Paramètres!$A$1:$I$89,3,0)*VLOOKUP('Données projet'!$B$9,Paramètres!$A$1:$I$89,5,0)</f>
        <v>99.267999999999986</v>
      </c>
      <c r="P21" s="14">
        <f t="shared" si="33"/>
        <v>26.78753414535981</v>
      </c>
      <c r="Q21" s="22">
        <f t="shared" si="2"/>
        <v>219.54672196983498</v>
      </c>
      <c r="R21" s="62">
        <f t="shared" si="0"/>
        <v>512.88005530316832</v>
      </c>
      <c r="S21" s="62">
        <f ca="1">AVERAGE(OFFSET($R$3,0,0,'Données projet'!$E$9+1,1))-AVERAGE(OFFSET($H$3,0,0,'Données projet'!$E$9+1,1))</f>
        <v>151.58413719376074</v>
      </c>
      <c r="T21" s="62">
        <f t="shared" si="34"/>
        <v>310.105543138185</v>
      </c>
      <c r="U21" s="16">
        <f>IF(ISNA(VLOOKUP(A21,'Données projet'!$A$35:$I$55,3,0)),0,VLOOKUP(A21,'Données projet'!$A$35:$I$55,3,0))</f>
        <v>2</v>
      </c>
      <c r="V21" s="16">
        <f>IF(ISNA(VLOOKUP(A21,'Données projet'!$A$35:$I$55,4,0)),0,VLOOKUP(A21,'Données projet'!$A$35:$I$55,4,0))</f>
        <v>40</v>
      </c>
      <c r="W21" s="17">
        <f>IF(ISNA(VLOOKUP(A21,'Données projet'!$A$35:$I$55,5,0)),0%,VLOOKUP(A21,'Données projet'!$A$35:$I$55,5,0)*VLOOKUP('Données projet'!$B$9,Paramètres!$A$1:$I$89,7,0))</f>
        <v>0.1125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0.75</v>
      </c>
      <c r="Z21" s="23">
        <f>EXP(-LN(2)/35)*Z20+(1-EXP(-LN(2)/35))/(LN(2)/35)*V21*W21*VLOOKUP('Données projet'!$B$9,Paramètres!$A$1:$I$89,3,0)*0.475*44/12</f>
        <v>3.5697849495878025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23.663597258657802</v>
      </c>
      <c r="AC21" s="24">
        <f t="shared" si="3"/>
        <v>27.233382208245605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17.8</v>
      </c>
      <c r="N22" s="14">
        <f>IF('Données projet'!$A$36&gt;35,N21+M22-V21,IF(A22&lt;'Données projet'!$A$36,$K$205^A22,IF(A22='Données projet'!$A$36,'Données projet'!$B$36,N21+M22-V21)))</f>
        <v>143.79999999999998</v>
      </c>
      <c r="O22" s="14">
        <f>N22*VLOOKUP('Données projet'!$B$9,Paramètres!$A$1:$I$89,3,0)*VLOOKUP('Données projet'!$B$9,Paramètres!$A$1:$I$89,5,0)</f>
        <v>85.992400000000004</v>
      </c>
      <c r="P22" s="14">
        <f t="shared" si="33"/>
        <v>23.596141005324462</v>
      </c>
      <c r="Q22" s="22">
        <f t="shared" si="2"/>
        <v>190.86670891760676</v>
      </c>
      <c r="R22" s="62">
        <f t="shared" si="0"/>
        <v>484.2000422509401</v>
      </c>
      <c r="S22" s="62">
        <f ca="1">AVERAGE(OFFSET($R$3,0,0,'Données projet'!$E$9+1,1))-AVERAGE(OFFSET($H$3,0,0,'Données projet'!$E$9+1,1))</f>
        <v>151.58413719376074</v>
      </c>
      <c r="T22" s="62">
        <f t="shared" si="34"/>
        <v>310.105543138185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3.499783644080209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16.732690088864331</v>
      </c>
      <c r="AC22" s="24">
        <f t="shared" si="3"/>
        <v>20.232473732944541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17.8</v>
      </c>
      <c r="N23" s="14">
        <f>IF('Données projet'!$A$36&gt;35,N22+M23-V22,IF(A23&lt;'Données projet'!$A$36,$K$205^A23,IF(A23='Données projet'!$A$36,'Données projet'!$B$36,N22+M23-V22)))</f>
        <v>161.6</v>
      </c>
      <c r="O23" s="14">
        <f>N23*VLOOKUP('Données projet'!$B$9,Paramètres!$A$1:$I$89,3,0)*VLOOKUP('Données projet'!$B$9,Paramètres!$A$1:$I$89,5,0)</f>
        <v>96.636800000000008</v>
      </c>
      <c r="P23" s="14">
        <f t="shared" si="33"/>
        <v>26.159173215164081</v>
      </c>
      <c r="Q23" s="22">
        <f t="shared" si="2"/>
        <v>213.86965334974411</v>
      </c>
      <c r="R23" s="62">
        <f t="shared" si="0"/>
        <v>507.20298668307743</v>
      </c>
      <c r="S23" s="62">
        <f ca="1">AVERAGE(OFFSET($R$3,0,0,'Données projet'!$E$9+1,1))-AVERAGE(OFFSET($H$3,0,0,'Données projet'!$E$9+1,1))</f>
        <v>151.58413719376074</v>
      </c>
      <c r="T23" s="62">
        <f t="shared" si="34"/>
        <v>310.105543138185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3.4311550214770392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11.831798629328903</v>
      </c>
      <c r="AC23" s="24">
        <f t="shared" si="3"/>
        <v>15.262953650805942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17.8</v>
      </c>
      <c r="N24" s="14">
        <f>IF('Données projet'!$A$36&gt;35,N23+M24-V23,IF(A24&lt;'Données projet'!$A$36,$K$205^A24,IF(A24='Données projet'!$A$36,'Données projet'!$B$36,N23+M24-V23)))</f>
        <v>179.4</v>
      </c>
      <c r="O24" s="14">
        <f>N24*VLOOKUP('Données projet'!$B$9,Paramètres!$A$1:$I$89,3,0)*VLOOKUP('Données projet'!$B$9,Paramètres!$A$1:$I$89,5,0)</f>
        <v>107.2812</v>
      </c>
      <c r="P24" s="14">
        <f t="shared" si="33"/>
        <v>28.68948404302737</v>
      </c>
      <c r="Q24" s="22">
        <f t="shared" si="2"/>
        <v>236.81560804160597</v>
      </c>
      <c r="R24" s="62">
        <f t="shared" si="0"/>
        <v>530.14894137493934</v>
      </c>
      <c r="S24" s="62">
        <f ca="1">AVERAGE(OFFSET($R$3,0,0,'Données projet'!$E$9+1,1))-AVERAGE(OFFSET($H$3,0,0,'Données projet'!$E$9+1,1))</f>
        <v>151.58413719376074</v>
      </c>
      <c r="T24" s="62">
        <f t="shared" si="34"/>
        <v>310.105543138185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3.3638721643037908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8.3663450444321654</v>
      </c>
      <c r="AC24" s="24">
        <f t="shared" si="3"/>
        <v>11.730217208735956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17.8</v>
      </c>
      <c r="N25" s="14">
        <f>IF('Données projet'!$A$36&gt;35,N24+M25-V24,IF(A25&lt;'Données projet'!$A$36,$K$205^A25,IF(A25='Données projet'!$A$36,'Données projet'!$B$36,N24+M25-V24)))</f>
        <v>197.20000000000002</v>
      </c>
      <c r="O25" s="14">
        <f>N25*VLOOKUP('Données projet'!$B$9,Paramètres!$A$1:$I$89,3,0)*VLOOKUP('Données projet'!$B$9,Paramètres!$A$1:$I$89,5,0)</f>
        <v>117.92560000000003</v>
      </c>
      <c r="P25" s="14">
        <f t="shared" si="33"/>
        <v>31.190689636070587</v>
      </c>
      <c r="Q25" s="22">
        <f t="shared" si="2"/>
        <v>259.71087111615634</v>
      </c>
      <c r="R25" s="62">
        <f t="shared" si="0"/>
        <v>553.0442044494896</v>
      </c>
      <c r="S25" s="62">
        <f ca="1">AVERAGE(OFFSET($R$3,0,0,'Données projet'!$E$9+1,1))-AVERAGE(OFFSET($H$3,0,0,'Données projet'!$E$9+1,1))</f>
        <v>151.58413719376074</v>
      </c>
      <c r="T25" s="62">
        <f t="shared" si="34"/>
        <v>310.105543138185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3.2979086829212192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5.9158993146644514</v>
      </c>
      <c r="AC25" s="24">
        <f t="shared" si="3"/>
        <v>9.2138079975856702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>
        <f>VLOOKUP(A26,'Données projet'!$A$35:$I$55,2,0)</f>
        <v>215</v>
      </c>
      <c r="L26" s="13">
        <f>VLOOKUP(A26,'Données projet'!$A$35:$I$55,9,0)</f>
        <v>17.8</v>
      </c>
      <c r="M26" s="13">
        <f t="array" ref="M26">INDEX(L:L,MIN(IF(ISNUMBER(L26:L222),ROW(L26:L222),"")))</f>
        <v>17.8</v>
      </c>
      <c r="N26" s="14">
        <f>IF('Données projet'!$A$36&gt;35,N25+M26-V25,IF(A26&lt;'Données projet'!$A$36,$K$205^A26,IF(A26='Données projet'!$A$36,'Données projet'!$B$36,N25+M26-V25)))</f>
        <v>215.00000000000003</v>
      </c>
      <c r="O26" s="14">
        <f>N26*VLOOKUP('Données projet'!$B$9,Paramètres!$A$1:$I$89,3,0)*VLOOKUP('Données projet'!$B$9,Paramètres!$A$1:$I$89,5,0)</f>
        <v>128.57000000000002</v>
      </c>
      <c r="P26" s="14">
        <f t="shared" si="33"/>
        <v>33.665715905233277</v>
      </c>
      <c r="Q26" s="22">
        <f t="shared" si="2"/>
        <v>282.56053853494797</v>
      </c>
      <c r="R26" s="62">
        <f t="shared" si="0"/>
        <v>575.89387186828128</v>
      </c>
      <c r="S26" s="62">
        <f ca="1">AVERAGE(OFFSET($R$3,0,0,'Données projet'!$E$9+1,1))-AVERAGE(OFFSET($H$3,0,0,'Données projet'!$E$9+1,1))</f>
        <v>151.58413719376074</v>
      </c>
      <c r="T26" s="62">
        <f t="shared" si="34"/>
        <v>310.105543138185</v>
      </c>
      <c r="U26" s="16">
        <f>IF(ISNA(VLOOKUP(A26,'Données projet'!$A$35:$I$55,3,0)),0,VLOOKUP(A26,'Données projet'!$A$35:$I$55,3,0))</f>
        <v>3</v>
      </c>
      <c r="V26" s="16">
        <f>IF(ISNA(VLOOKUP(A26,'Données projet'!$A$35:$I$55,4,0)),0,VLOOKUP(A26,'Données projet'!$A$35:$I$55,4,0))</f>
        <v>52</v>
      </c>
      <c r="W26" s="17">
        <f>IF(ISNA(VLOOKUP(A26,'Données projet'!$A$35:$I$55,5,0)),0%,VLOOKUP(A26,'Données projet'!$A$35:$I$55,5,0)*VLOOKUP('Données projet'!$B$9,Paramètres!$A$1:$I$89,7,0))</f>
        <v>0.22500000000000001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0.5</v>
      </c>
      <c r="Z26" s="23">
        <f>EXP(-LN(2)/35)*Z25+(1-EXP(-LN(2)/35))/(LN(2)/35)*V26*W26*VLOOKUP('Données projet'!$B$9,Paramètres!$A$1:$I$89,3,0)*0.475*44/12</f>
        <v>12.514679574103097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21.787120284157577</v>
      </c>
      <c r="AC26" s="24">
        <f t="shared" si="3"/>
        <v>34.301799858260672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15.142857142857142</v>
      </c>
      <c r="N27" s="14">
        <f>IF('Données projet'!$A$36&gt;35,N26+M27-V26,IF(A27&lt;'Données projet'!$A$36,$K$205^A27,IF(A27='Données projet'!$A$36,'Données projet'!$B$36,N26+M27-V26)))</f>
        <v>178.14285714285717</v>
      </c>
      <c r="O27" s="14">
        <f>N27*VLOOKUP('Données projet'!$B$9,Paramètres!$A$1:$I$89,3,0)*VLOOKUP('Données projet'!$B$9,Paramètres!$A$1:$I$89,5,0)</f>
        <v>106.5294285714286</v>
      </c>
      <c r="P27" s="14">
        <f t="shared" si="33"/>
        <v>28.511771457031461</v>
      </c>
      <c r="Q27" s="22">
        <f t="shared" si="2"/>
        <v>235.19675671623455</v>
      </c>
      <c r="R27" s="62">
        <f t="shared" si="0"/>
        <v>528.53009004956789</v>
      </c>
      <c r="S27" s="62">
        <f ca="1">AVERAGE(OFFSET($R$3,0,0,'Données projet'!$E$9+1,1))-AVERAGE(OFFSET($H$3,0,0,'Données projet'!$E$9+1,1))</f>
        <v>151.58413719376074</v>
      </c>
      <c r="T27" s="62">
        <f t="shared" si="34"/>
        <v>310.105543138185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12.269274340855759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15.405820495454805</v>
      </c>
      <c r="AC27" s="24">
        <f t="shared" si="3"/>
        <v>27.675094836310564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15.142857142857142</v>
      </c>
      <c r="N28" s="14">
        <f>IF('Données projet'!$A$36&gt;35,N27+M28-V27,IF(A28&lt;'Données projet'!$A$36,$K$205^A28,IF(A28='Données projet'!$A$36,'Données projet'!$B$36,N27+M28-V27)))</f>
        <v>193.28571428571431</v>
      </c>
      <c r="O28" s="14">
        <f>N28*VLOOKUP('Données projet'!$B$9,Paramètres!$A$1:$I$89,3,0)*VLOOKUP('Données projet'!$B$9,Paramètres!$A$1:$I$89,5,0)</f>
        <v>115.58485714285716</v>
      </c>
      <c r="P28" s="14">
        <f t="shared" si="33"/>
        <v>30.643003864758004</v>
      </c>
      <c r="Q28" s="22">
        <f t="shared" si="2"/>
        <v>254.68019125492972</v>
      </c>
      <c r="R28" s="62">
        <f t="shared" si="0"/>
        <v>548.01352458826307</v>
      </c>
      <c r="S28" s="62">
        <f ca="1">AVERAGE(OFFSET($R$3,0,0,'Données projet'!$E$9+1,1))-AVERAGE(OFFSET($H$3,0,0,'Données projet'!$E$9+1,1))</f>
        <v>151.58413719376074</v>
      </c>
      <c r="T28" s="62">
        <f t="shared" si="34"/>
        <v>310.105543138185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12.02868135454999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10.89356014207879</v>
      </c>
      <c r="AC28" s="24">
        <f t="shared" si="3"/>
        <v>22.922241496628779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15.142857142857142</v>
      </c>
      <c r="N29" s="14">
        <f>IF('Données projet'!$A$36&gt;35,N28+M29-V28,IF(A29&lt;'Données projet'!$A$36,$K$205^A29,IF(A29='Données projet'!$A$36,'Données projet'!$B$36,N28+M29-V28)))</f>
        <v>208.42857142857144</v>
      </c>
      <c r="O29" s="14">
        <f>N29*VLOOKUP('Données projet'!$B$9,Paramètres!$A$1:$I$89,3,0)*VLOOKUP('Données projet'!$B$9,Paramètres!$A$1:$I$89,5,0)</f>
        <v>124.64028571428574</v>
      </c>
      <c r="P29" s="14">
        <f t="shared" si="33"/>
        <v>32.754868392894572</v>
      </c>
      <c r="Q29" s="22">
        <f t="shared" si="2"/>
        <v>274.129893403339</v>
      </c>
      <c r="R29" s="62">
        <f t="shared" si="0"/>
        <v>567.46322673667237</v>
      </c>
      <c r="S29" s="62">
        <f ca="1">AVERAGE(OFFSET($R$3,0,0,'Données projet'!$E$9+1,1))-AVERAGE(OFFSET($H$3,0,0,'Données projet'!$E$9+1,1))</f>
        <v>151.58413719376074</v>
      </c>
      <c r="T29" s="62">
        <f t="shared" si="34"/>
        <v>310.105543138185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11.792806249958446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7.7029102477274032</v>
      </c>
      <c r="AC29" s="24">
        <f t="shared" si="3"/>
        <v>19.495716497685848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15.142857142857142</v>
      </c>
      <c r="N30" s="14">
        <f>IF('Données projet'!$A$36&gt;35,N29+M30-V29,IF(A30&lt;'Données projet'!$A$36,$K$205^A30,IF(A30='Données projet'!$A$36,'Données projet'!$B$36,N29+M30-V29)))</f>
        <v>223.57142857142858</v>
      </c>
      <c r="O30" s="14">
        <f>N30*VLOOKUP('Données projet'!$B$9,Paramètres!$A$1:$I$89,3,0)*VLOOKUP('Données projet'!$B$9,Paramètres!$A$1:$I$89,5,0)</f>
        <v>133.6957142857143</v>
      </c>
      <c r="P30" s="14">
        <f t="shared" si="33"/>
        <v>34.848932189999701</v>
      </c>
      <c r="Q30" s="22">
        <f t="shared" si="2"/>
        <v>293.54859261186851</v>
      </c>
      <c r="R30" s="62">
        <f t="shared" si="0"/>
        <v>586.88192594520183</v>
      </c>
      <c r="S30" s="62">
        <f ca="1">AVERAGE(OFFSET($R$3,0,0,'Données projet'!$E$9+1,1))-AVERAGE(OFFSET($H$3,0,0,'Données projet'!$E$9+1,1))</f>
        <v>151.58413719376074</v>
      </c>
      <c r="T30" s="62">
        <f t="shared" si="34"/>
        <v>310.105543138185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11.561556512298333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5.4467800710393961</v>
      </c>
      <c r="AC30" s="24">
        <f t="shared" si="3"/>
        <v>17.00833658333773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15.142857142857142</v>
      </c>
      <c r="N31" s="14">
        <f>IF('Données projet'!$A$36&gt;35,N30+M31-V30,IF(A31&lt;'Données projet'!$A$36,$K$205^A31,IF(A31='Données projet'!$A$36,'Données projet'!$B$36,N30+M31-V30)))</f>
        <v>238.71428571428572</v>
      </c>
      <c r="O31" s="14">
        <f>N31*VLOOKUP('Données projet'!$B$9,Paramètres!$A$1:$I$89,3,0)*VLOOKUP('Données projet'!$B$9,Paramètres!$A$1:$I$89,5,0)</f>
        <v>142.75114285714287</v>
      </c>
      <c r="P31" s="14">
        <f t="shared" si="33"/>
        <v>36.926538099571019</v>
      </c>
      <c r="Q31" s="22">
        <f t="shared" si="2"/>
        <v>312.93862766627666</v>
      </c>
      <c r="R31" s="62">
        <f t="shared" si="0"/>
        <v>606.27196099960997</v>
      </c>
      <c r="S31" s="62">
        <f ca="1">AVERAGE(OFFSET($R$3,0,0,'Données projet'!$E$9+1,1))-AVERAGE(OFFSET($H$3,0,0,'Données projet'!$E$9+1,1))</f>
        <v>151.58413719376074</v>
      </c>
      <c r="T31" s="62">
        <f t="shared" si="34"/>
        <v>310.105543138185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11.334841440945322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3.8514551238637025</v>
      </c>
      <c r="AC31" s="24">
        <f t="shared" si="3"/>
        <v>15.186296564809025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15.142857142857142</v>
      </c>
      <c r="N32" s="14">
        <f>IF('Données projet'!$A$36&gt;35,N31+M32-V31,IF(A32&lt;'Données projet'!$A$36,$K$205^A32,IF(A32='Données projet'!$A$36,'Données projet'!$B$36,N31+M32-V31)))</f>
        <v>253.85714285714286</v>
      </c>
      <c r="O32" s="14">
        <f>N32*VLOOKUP('Données projet'!$B$9,Paramètres!$A$1:$I$89,3,0)*VLOOKUP('Données projet'!$B$9,Paramètres!$A$1:$I$89,5,0)</f>
        <v>151.80657142857146</v>
      </c>
      <c r="P32" s="14">
        <f t="shared" si="33"/>
        <v>38.988848967460292</v>
      </c>
      <c r="Q32" s="22">
        <f t="shared" si="2"/>
        <v>332.30202385642195</v>
      </c>
      <c r="R32" s="62">
        <f t="shared" si="0"/>
        <v>625.63535718975527</v>
      </c>
      <c r="S32" s="62">
        <f ca="1">AVERAGE(OFFSET($R$3,0,0,'Données projet'!$E$9+1,1))-AVERAGE(OFFSET($H$3,0,0,'Données projet'!$E$9+1,1))</f>
        <v>151.58413719376074</v>
      </c>
      <c r="T32" s="62">
        <f t="shared" si="34"/>
        <v>310.105543138185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11.112572113859004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2.7233900355196985</v>
      </c>
      <c r="AC32" s="24">
        <f t="shared" si="3"/>
        <v>13.835962149378702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269</v>
      </c>
      <c r="L33" s="13">
        <f>VLOOKUP(A33,'Données projet'!$A$35:$I$55,9,0)</f>
        <v>15.142857142857142</v>
      </c>
      <c r="M33" s="13">
        <f t="array" ref="M33">INDEX(L:L,MIN(IF(ISNUMBER(L33:L229),ROW(L33:L229),"")))</f>
        <v>15.142857142857142</v>
      </c>
      <c r="N33" s="14">
        <f>IF('Données projet'!$A$36&gt;35,N32+M33-V32,IF(A33&lt;'Données projet'!$A$36,$K$205^A33,IF(A33='Données projet'!$A$36,'Données projet'!$B$36,N32+M33-V32)))</f>
        <v>269</v>
      </c>
      <c r="O33" s="14">
        <f>N33*VLOOKUP('Données projet'!$B$9,Paramètres!$A$1:$I$89,3,0)*VLOOKUP('Données projet'!$B$9,Paramètres!$A$1:$I$89,5,0)</f>
        <v>160.86200000000002</v>
      </c>
      <c r="P33" s="14">
        <f t="shared" si="33"/>
        <v>41.03688107178359</v>
      </c>
      <c r="Q33" s="22">
        <f t="shared" si="2"/>
        <v>351.64055120002314</v>
      </c>
      <c r="R33" s="62">
        <f t="shared" si="0"/>
        <v>644.97388453335645</v>
      </c>
      <c r="S33" s="62">
        <f ca="1">AVERAGE(OFFSET($R$3,0,0,'Données projet'!$E$9+1,1))-AVERAGE(OFFSET($H$3,0,0,'Données projet'!$E$9+1,1))</f>
        <v>151.58413719376074</v>
      </c>
      <c r="T33" s="62">
        <f t="shared" si="34"/>
        <v>310.105543138185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10.894661352705947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1.9257275619318515</v>
      </c>
      <c r="AC33" s="24">
        <f t="shared" si="3"/>
        <v>12.8203889146378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14</v>
      </c>
      <c r="N34" s="14">
        <f>IF('Données projet'!$A$36&gt;35,N33+M34-V33,IF(A34&lt;'Données projet'!$A$36,$K$205^A34,IF(A34='Données projet'!$A$36,'Données projet'!$B$36,N33+M34-V33)))</f>
        <v>283</v>
      </c>
      <c r="O34" s="14">
        <f>N34*VLOOKUP('Données projet'!$B$9,Paramètres!$A$1:$I$89,3,0)*VLOOKUP('Données projet'!$B$9,Paramètres!$A$1:$I$89,5,0)</f>
        <v>169.23400000000001</v>
      </c>
      <c r="P34" s="14">
        <f t="shared" si="33"/>
        <v>42.918420001269354</v>
      </c>
      <c r="Q34" s="22">
        <f t="shared" si="2"/>
        <v>369.4987981688775</v>
      </c>
      <c r="R34" s="62">
        <f t="shared" si="0"/>
        <v>662.83213150221081</v>
      </c>
      <c r="S34" s="62">
        <f ca="1">AVERAGE(OFFSET($R$3,0,0,'Données projet'!$E$9+1,1))-AVERAGE(OFFSET($H$3,0,0,'Données projet'!$E$9+1,1))</f>
        <v>151.58413719376074</v>
      </c>
      <c r="T34" s="62">
        <f t="shared" si="34"/>
        <v>310.105543138185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10.681023688666661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1.3616950177598495</v>
      </c>
      <c r="AC34" s="24">
        <f t="shared" si="3"/>
        <v>12.042718706426511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14</v>
      </c>
      <c r="N35" s="14">
        <f>IF('Données projet'!$A$36&gt;35,N34+M35-V34,IF(A35&lt;'Données projet'!$A$36,$K$205^A35,IF(A35='Données projet'!$A$36,'Données projet'!$B$36,N34+M35-V34)))</f>
        <v>297</v>
      </c>
      <c r="O35" s="14">
        <f>N35*VLOOKUP('Données projet'!$B$9,Paramètres!$A$1:$I$89,3,0)*VLOOKUP('Données projet'!$B$9,Paramètres!$A$1:$I$89,5,0)</f>
        <v>177.60600000000002</v>
      </c>
      <c r="P35" s="14">
        <f t="shared" si="33"/>
        <v>44.789150937858665</v>
      </c>
      <c r="Q35" s="22">
        <f t="shared" ref="Q35:Q66" si="53">(O35+P35)*0.475*44/12</f>
        <v>387.33822121677053</v>
      </c>
      <c r="R35" s="62">
        <f t="shared" si="0"/>
        <v>680.67155455010379</v>
      </c>
      <c r="S35" s="62">
        <f ca="1">AVERAGE(OFFSET($R$3,0,0,'Données projet'!$E$9+1,1))-AVERAGE(OFFSET($H$3,0,0,'Données projet'!$E$9+1,1))</f>
        <v>151.58413719376074</v>
      </c>
      <c r="T35" s="62">
        <f t="shared" si="34"/>
        <v>310.105543138185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10.471575328913076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0.96286378096592584</v>
      </c>
      <c r="AC35" s="24">
        <f t="shared" si="3"/>
        <v>11.434439109879001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14</v>
      </c>
      <c r="N36" s="14">
        <f>IF('Données projet'!$A$36&gt;35,N35+M36-V35,IF(A36&lt;'Données projet'!$A$36,$K$205^A36,IF(A36='Données projet'!$A$36,'Données projet'!$B$36,N35+M36-V35)))</f>
        <v>311</v>
      </c>
      <c r="O36" s="14">
        <f>N36*VLOOKUP('Données projet'!$B$9,Paramètres!$A$1:$I$89,3,0)*VLOOKUP('Données projet'!$B$9,Paramètres!$A$1:$I$89,5,0)</f>
        <v>185.97800000000001</v>
      </c>
      <c r="P36" s="14">
        <f t="shared" si="33"/>
        <v>46.649641523668571</v>
      </c>
      <c r="Q36" s="22">
        <f t="shared" si="53"/>
        <v>405.15980898705612</v>
      </c>
      <c r="R36" s="62">
        <f t="shared" si="0"/>
        <v>698.49314232038944</v>
      </c>
      <c r="S36" s="62">
        <f ca="1">AVERAGE(OFFSET($R$3,0,0,'Données projet'!$E$9+1,1))-AVERAGE(OFFSET($H$3,0,0,'Données projet'!$E$9+1,1))</f>
        <v>151.58413719376074</v>
      </c>
      <c r="T36" s="62">
        <f t="shared" si="34"/>
        <v>310.105543138185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10.266234123743374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0.68084750887992485</v>
      </c>
      <c r="AC36" s="24">
        <f t="shared" si="3"/>
        <v>10.947081632623298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>
        <f>VLOOKUP(A37,'Données projet'!$A$35:$I$55,2,0)</f>
        <v>325</v>
      </c>
      <c r="L37" s="13">
        <f>VLOOKUP(A37,'Données projet'!$A$35:$I$55,9,0)</f>
        <v>14</v>
      </c>
      <c r="M37" s="13">
        <f t="array" ref="M37">INDEX(L:L,MIN(IF(ISNUMBER(L37:L233),ROW(L37:L233),"")))</f>
        <v>14</v>
      </c>
      <c r="N37" s="14">
        <f>IF('Données projet'!$A$36&gt;35,N36+M37-V36,IF(A37&lt;'Données projet'!$A$36,$K$205^A37,IF(A37='Données projet'!$A$36,'Données projet'!$B$36,N36+M37-V36)))</f>
        <v>325</v>
      </c>
      <c r="O37" s="14">
        <f>N37*VLOOKUP('Données projet'!$B$9,Paramètres!$A$1:$I$89,3,0)*VLOOKUP('Données projet'!$B$9,Paramètres!$A$1:$I$89,5,0)</f>
        <v>194.35</v>
      </c>
      <c r="P37" s="14">
        <f t="shared" si="33"/>
        <v>48.500405405690429</v>
      </c>
      <c r="Q37" s="22">
        <f t="shared" si="53"/>
        <v>422.96445608157745</v>
      </c>
      <c r="R37" s="62">
        <f t="shared" si="0"/>
        <v>716.29778941491077</v>
      </c>
      <c r="S37" s="62">
        <f ca="1">AVERAGE(OFFSET($R$3,0,0,'Données projet'!$E$9+1,1))-AVERAGE(OFFSET($H$3,0,0,'Données projet'!$E$9+1,1))</f>
        <v>151.58413719376074</v>
      </c>
      <c r="T37" s="62">
        <f t="shared" si="34"/>
        <v>310.105543138185</v>
      </c>
      <c r="U37" s="16">
        <f>IF(ISNA(VLOOKUP(A37,'Données projet'!$A$35:$I$55,3,0)),0,VLOOKUP(A37,'Données projet'!$A$35:$I$55,3,0))</f>
        <v>5</v>
      </c>
      <c r="V37" s="16">
        <f>IF(ISNA(VLOOKUP(A37,'Données projet'!$A$35:$I$55,4,0)),0,VLOOKUP(A37,'Données projet'!$A$35:$I$55,4,0))</f>
        <v>325</v>
      </c>
      <c r="W37" s="17">
        <f>IF(ISNA(VLOOKUP(A37,'Données projet'!$A$35:$I$55,5,0)),0%,VLOOKUP(A37,'Données projet'!$A$35:$I$55,5,0)*VLOOKUP('Données projet'!$B$9,Paramètres!$A$1:$I$89,7,0))</f>
        <v>0.315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0.3</v>
      </c>
      <c r="Z37" s="23">
        <f>EXP(-LN(2)/35)*Z36+(1-EXP(-LN(2)/35))/(LN(2)/35)*V37*W37*VLOOKUP('Données projet'!$B$9,Paramètres!$A$1:$I$89,3,0)*0.475*44/12</f>
        <v>91.277527137483801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66.496235997763563</v>
      </c>
      <c r="AC37" s="24">
        <f t="shared" si="3"/>
        <v>157.77376313524735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151.58413719376074</v>
      </c>
      <c r="T38" s="62">
        <f t="shared" si="34"/>
        <v>310.105543138185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89.487630504111962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47.019939397399625</v>
      </c>
      <c r="AC38" s="24">
        <f t="shared" si="3"/>
        <v>136.5075699015116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151.58413719376074</v>
      </c>
      <c r="T39" s="62">
        <f t="shared" si="34"/>
        <v>310.105543138185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87.732832651991401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33.248117998881781</v>
      </c>
      <c r="AC39" s="24">
        <f t="shared" si="3"/>
        <v>120.98095065087318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151.58413719376074</v>
      </c>
      <c r="T40" s="62">
        <f t="shared" si="34"/>
        <v>310.105543138185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86.012445315429929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23.509969698699813</v>
      </c>
      <c r="AC40" s="24">
        <f t="shared" si="3"/>
        <v>109.52241501412973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151.58413719376074</v>
      </c>
      <c r="T41" s="62">
        <f t="shared" si="34"/>
        <v>310.105543138185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84.325793725205756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16.624058999440891</v>
      </c>
      <c r="AC41" s="24">
        <f t="shared" si="3"/>
        <v>100.94985272464665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151.58413719376074</v>
      </c>
      <c r="T42" s="62">
        <f t="shared" si="34"/>
        <v>310.105543138185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82.672216343909994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11.754984849349906</v>
      </c>
      <c r="AC42" s="24">
        <f t="shared" si="3"/>
        <v>94.427201193259904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151.58413719376074</v>
      </c>
      <c r="T43" s="62">
        <f t="shared" si="34"/>
        <v>310.105543138185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81.051064606478832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8.3120294997204454</v>
      </c>
      <c r="AC43" s="24">
        <f t="shared" si="3"/>
        <v>89.36309410619927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151.58413719376074</v>
      </c>
      <c r="T44" s="62">
        <f t="shared" si="34"/>
        <v>310.105543138185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79.46170266581376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5.8774924246749531</v>
      </c>
      <c r="AC44" s="24">
        <f t="shared" si="3"/>
        <v>85.339195090488715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151.58413719376074</v>
      </c>
      <c r="T45" s="62">
        <f t="shared" si="34"/>
        <v>310.105543138185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77.903507143390073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4.1560147498602227</v>
      </c>
      <c r="AC45" s="24">
        <f t="shared" si="3"/>
        <v>82.059521893250292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151.58413719376074</v>
      </c>
      <c r="T46" s="62">
        <f t="shared" si="34"/>
        <v>310.105543138185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76.375866884755695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2.9387462123374766</v>
      </c>
      <c r="AC46" s="24">
        <f t="shared" si="3"/>
        <v>79.314613097093172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151.58413719376074</v>
      </c>
      <c r="T47" s="62">
        <f t="shared" si="34"/>
        <v>310.105543138185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74.878182719824579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2.0780073749301113</v>
      </c>
      <c r="AC47" s="24">
        <f t="shared" si="3"/>
        <v>76.956190094754689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151.58413719376074</v>
      </c>
      <c r="T48" s="62">
        <f t="shared" si="34"/>
        <v>310.105543138185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73.40986722787062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1.4693731061687383</v>
      </c>
      <c r="AC48" s="24">
        <f t="shared" si="3"/>
        <v>74.879240334039352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151.58413719376074</v>
      </c>
      <c r="T49" s="62">
        <f t="shared" si="34"/>
        <v>310.105543138185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71.970344507129866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1.0390036874650557</v>
      </c>
      <c r="AC49" s="24">
        <f t="shared" si="3"/>
        <v>73.009348194594921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151.58413719376074</v>
      </c>
      <c r="T50" s="62">
        <f t="shared" si="34"/>
        <v>310.105543138185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70.559049948920674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0.73468655308436914</v>
      </c>
      <c r="AC50" s="24">
        <f t="shared" si="3"/>
        <v>71.293736502005046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151.58413719376074</v>
      </c>
      <c r="T51" s="62">
        <f t="shared" si="34"/>
        <v>310.105543138185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69.175430016193275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0.51950184373252783</v>
      </c>
      <c r="AC51" s="24">
        <f t="shared" si="3"/>
        <v>69.694931859925802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151.58413719376074</v>
      </c>
      <c r="T52" s="62">
        <f t="shared" si="34"/>
        <v>310.105543138185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67.818942026421837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0.36734327654218457</v>
      </c>
      <c r="AC52" s="24">
        <f t="shared" si="3"/>
        <v>68.186285302964023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151.58413719376074</v>
      </c>
      <c r="T53" s="62">
        <f t="shared" si="34"/>
        <v>310.105543138185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66.489053938753841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0.25975092186626392</v>
      </c>
      <c r="AC53" s="24">
        <f t="shared" si="3"/>
        <v>66.748804860620112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151.58413719376074</v>
      </c>
      <c r="T54" s="62">
        <f t="shared" si="34"/>
        <v>310.105543138185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65.185244145333371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0.18367163827109229</v>
      </c>
      <c r="AC54" s="24">
        <f t="shared" si="3"/>
        <v>65.368915783604464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151.58413719376074</v>
      </c>
      <c r="T55" s="62">
        <f t="shared" si="34"/>
        <v>310.105543138185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63.907001266716428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0.12987546093313196</v>
      </c>
      <c r="AC55" s="24">
        <f t="shared" si="3"/>
        <v>64.036876727649556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151.58413719376074</v>
      </c>
      <c r="T56" s="62">
        <f t="shared" si="34"/>
        <v>310.105543138185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62.653823951297994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9.1835819135546143E-2</v>
      </c>
      <c r="AC56" s="24">
        <f t="shared" si="3"/>
        <v>62.745659770433541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151.58413719376074</v>
      </c>
      <c r="T57" s="62">
        <f t="shared" si="34"/>
        <v>310.105543138185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61.425220678672225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6.4937730466565979E-2</v>
      </c>
      <c r="AC57" s="24">
        <f t="shared" si="3"/>
        <v>61.490158409138793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151.58413719376074</v>
      </c>
      <c r="T58" s="62">
        <f t="shared" si="34"/>
        <v>310.105543138185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60.220709566848647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4.5917909567773071E-2</v>
      </c>
      <c r="AC58" s="24">
        <f t="shared" si="3"/>
        <v>60.266627476416417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151.58413719376074</v>
      </c>
      <c r="T59" s="62">
        <f t="shared" si="34"/>
        <v>310.105543138185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59.039818183248698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3.246886523328299E-2</v>
      </c>
      <c r="AC59" s="24">
        <f t="shared" si="3"/>
        <v>59.072287048481982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151.58413719376074</v>
      </c>
      <c r="T60" s="62">
        <f t="shared" si="34"/>
        <v>310.105543138185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57.882083359408519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2.2958954783886536E-2</v>
      </c>
      <c r="AC60" s="24">
        <f t="shared" si="3"/>
        <v>57.905042314192407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151.58413719376074</v>
      </c>
      <c r="T61" s="62">
        <f t="shared" si="34"/>
        <v>310.105543138185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56.747051009315328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1.6234432616641495E-2</v>
      </c>
      <c r="AC61" s="24">
        <f t="shared" si="3"/>
        <v>56.76328544193197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151.58413719376074</v>
      </c>
      <c r="T62" s="62">
        <f t="shared" si="34"/>
        <v>310.105543138185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55.634275951306094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1.1479477391943268E-2</v>
      </c>
      <c r="AC62" s="24">
        <f t="shared" si="3"/>
        <v>55.645755428698038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151.58413719376074</v>
      </c>
      <c r="T63" s="62">
        <f t="shared" si="34"/>
        <v>310.105543138185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54.543321733458654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8.1172163083207474E-3</v>
      </c>
      <c r="AC63" s="24">
        <f t="shared" si="3"/>
        <v>54.551438949766975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151.58413719376074</v>
      </c>
      <c r="T64" s="62">
        <f t="shared" si="34"/>
        <v>310.105543138185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53.47376046240683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5.7397386959716339E-3</v>
      </c>
      <c r="AC64" s="24">
        <f t="shared" si="3"/>
        <v>53.479500201102802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151.58413719376074</v>
      </c>
      <c r="T65" s="62">
        <f t="shared" si="34"/>
        <v>310.105543138185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52.425172635512375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4.0586081541603737E-3</v>
      </c>
      <c r="AC65" s="24">
        <f t="shared" si="3"/>
        <v>52.429231243666536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151.58413719376074</v>
      </c>
      <c r="T66" s="62">
        <f t="shared" si="34"/>
        <v>310.105543138185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51.397146976327896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2.869869347985817E-3</v>
      </c>
      <c r="AC66" s="24">
        <f t="shared" si="3"/>
        <v>51.400016845675879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151.58413719376074</v>
      </c>
      <c r="T67" s="62">
        <f t="shared" si="34"/>
        <v>310.105543138185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50.389280273286289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2.0293040770801869E-3</v>
      </c>
      <c r="AC67" s="24">
        <f t="shared" si="3"/>
        <v>50.391309577363366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151.58413719376074</v>
      </c>
      <c r="T68" s="62">
        <f t="shared" si="34"/>
        <v>310.105543138185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49.40117722155334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1.4349346739929085E-3</v>
      </c>
      <c r="AC68" s="24">
        <f t="shared" ref="AC68:AC131" si="57">SUM(Z68:AB68)</f>
        <v>49.402612156227335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151.58413719376074</v>
      </c>
      <c r="T69" s="62">
        <f t="shared" ref="T69:T132" si="88">$T$3</f>
        <v>310.105543138185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48.432450267981523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1.0146520385400934E-3</v>
      </c>
      <c r="AC69" s="24">
        <f t="shared" si="57"/>
        <v>48.433464920020064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151.58413719376074</v>
      </c>
      <c r="T70" s="62">
        <f t="shared" si="88"/>
        <v>310.105543138185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47.482719459104146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7.1746733699645424E-4</v>
      </c>
      <c r="AC70" s="24">
        <f t="shared" si="57"/>
        <v>47.483436926441144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151.58413719376074</v>
      </c>
      <c r="T71" s="62">
        <f t="shared" si="88"/>
        <v>310.105543138185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46.551612292110264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5.0732601927004671E-4</v>
      </c>
      <c r="AC71" s="24">
        <f t="shared" si="57"/>
        <v>46.552119618129531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151.58413719376074</v>
      </c>
      <c r="T72" s="62">
        <f t="shared" si="88"/>
        <v>310.105543138185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45.638763568741837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3.5873366849822712E-4</v>
      </c>
      <c r="AC72" s="24">
        <f t="shared" si="57"/>
        <v>45.639122302410335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151.58413719376074</v>
      </c>
      <c r="T73" s="62">
        <f t="shared" si="88"/>
        <v>310.105543138185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44.743815252055924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2.5366300963502336E-4</v>
      </c>
      <c r="AC73" s="24">
        <f t="shared" si="57"/>
        <v>44.744068915065561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151.58413719376074</v>
      </c>
      <c r="T74" s="62">
        <f t="shared" si="88"/>
        <v>310.105543138185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43.866416325995644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1.7936683424911356E-4</v>
      </c>
      <c r="AC74" s="24">
        <f t="shared" si="57"/>
        <v>43.86659569282989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151.58413719376074</v>
      </c>
      <c r="T75" s="62">
        <f t="shared" si="88"/>
        <v>310.105543138185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43.006222657714908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1.2683150481751168E-4</v>
      </c>
      <c r="AC75" s="24">
        <f t="shared" si="57"/>
        <v>43.006349489219723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151.58413719376074</v>
      </c>
      <c r="T76" s="62">
        <f t="shared" si="88"/>
        <v>310.105543138185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42.162896862602821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8.968341712455678E-5</v>
      </c>
      <c r="AC76" s="24">
        <f t="shared" si="57"/>
        <v>42.162986546019944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151.58413719376074</v>
      </c>
      <c r="T77" s="62">
        <f t="shared" si="88"/>
        <v>310.105543138185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41.33610817195494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6.3415752408755839E-5</v>
      </c>
      <c r="AC77" s="24">
        <f t="shared" si="57"/>
        <v>41.336171587707348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151.58413719376074</v>
      </c>
      <c r="T78" s="62">
        <f t="shared" si="88"/>
        <v>310.105543138185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40.525532303239359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4.484170856227839E-5</v>
      </c>
      <c r="AC78" s="24">
        <f t="shared" si="57"/>
        <v>40.525577144947924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151.58413719376074</v>
      </c>
      <c r="T79" s="62">
        <f t="shared" si="88"/>
        <v>310.105543138185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39.73085133290683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3.170787620437792E-5</v>
      </c>
      <c r="AC79" s="24">
        <f t="shared" si="57"/>
        <v>39.730883040783034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151.58413719376074</v>
      </c>
      <c r="T80" s="62">
        <f t="shared" si="88"/>
        <v>310.105543138185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38.951753571694987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2.2420854281139195E-5</v>
      </c>
      <c r="AC80" s="24">
        <f t="shared" si="57"/>
        <v>38.951775992549265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151.58413719376074</v>
      </c>
      <c r="T81" s="62">
        <f t="shared" si="88"/>
        <v>310.105543138185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38.187933442377798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1.585393810218896E-5</v>
      </c>
      <c r="AC81" s="24">
        <f t="shared" si="57"/>
        <v>38.1879492963159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151.58413719376074</v>
      </c>
      <c r="T82" s="62">
        <f t="shared" si="88"/>
        <v>310.105543138185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37.43909135991224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1.1210427140569598E-5</v>
      </c>
      <c r="AC82" s="24">
        <f t="shared" si="57"/>
        <v>37.439102570339379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151.58413719376074</v>
      </c>
      <c r="T83" s="62">
        <f t="shared" si="88"/>
        <v>310.105543138185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36.70493361393526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7.9269690510944799E-6</v>
      </c>
      <c r="AC83" s="24">
        <f t="shared" si="57"/>
        <v>36.704941540904315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151.58413719376074</v>
      </c>
      <c r="T84" s="62">
        <f t="shared" si="88"/>
        <v>310.105543138185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35.985172253564883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5.6052135702847988E-6</v>
      </c>
      <c r="AC84" s="24">
        <f t="shared" si="57"/>
        <v>35.985177858778457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151.58413719376074</v>
      </c>
      <c r="T85" s="62">
        <f t="shared" si="88"/>
        <v>310.105543138185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35.279524974460287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3.96348452554724E-6</v>
      </c>
      <c r="AC85" s="24">
        <f t="shared" si="57"/>
        <v>35.279528937944811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151.58413719376074</v>
      </c>
      <c r="T86" s="62">
        <f t="shared" si="88"/>
        <v>310.105543138185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34.587715008096588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2.8026067851423994E-6</v>
      </c>
      <c r="AC86" s="24">
        <f t="shared" si="57"/>
        <v>34.587717810703374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151.58413719376074</v>
      </c>
      <c r="T87" s="62">
        <f t="shared" si="88"/>
        <v>310.105543138185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33.909471013210869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1.98174226277362E-6</v>
      </c>
      <c r="AC87" s="24">
        <f t="shared" si="57"/>
        <v>33.909472994953134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151.58413719376074</v>
      </c>
      <c r="T88" s="62">
        <f t="shared" si="88"/>
        <v>310.105543138185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33.244526969376871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1.4013033925711997E-6</v>
      </c>
      <c r="AC88" s="24">
        <f t="shared" si="57"/>
        <v>33.244528370680264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151.58413719376074</v>
      </c>
      <c r="T89" s="62">
        <f t="shared" si="88"/>
        <v>310.105543138185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32.592622072666636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9.9087113138680999E-7</v>
      </c>
      <c r="AC89" s="24">
        <f t="shared" si="57"/>
        <v>32.592623063537765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151.58413719376074</v>
      </c>
      <c r="T90" s="62">
        <f t="shared" si="88"/>
        <v>310.105543138185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31.953500633358168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7.0065169628559984E-7</v>
      </c>
      <c r="AC90" s="24">
        <f t="shared" si="57"/>
        <v>31.953501334009864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151.58413719376074</v>
      </c>
      <c r="T91" s="62">
        <f t="shared" si="88"/>
        <v>310.105543138185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31.326911975648951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4.9543556569340499E-7</v>
      </c>
      <c r="AC91" s="24">
        <f t="shared" si="57"/>
        <v>31.326912471084515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151.58413719376074</v>
      </c>
      <c r="T92" s="62">
        <f t="shared" si="88"/>
        <v>310.105543138185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30.712610339336067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3.5032584814279992E-7</v>
      </c>
      <c r="AC92" s="24">
        <f t="shared" si="57"/>
        <v>30.712610689661915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151.58413719376074</v>
      </c>
      <c r="T93" s="62">
        <f t="shared" si="88"/>
        <v>310.105543138185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30.110354783424278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2.477177828467025E-7</v>
      </c>
      <c r="AC93" s="24">
        <f t="shared" si="57"/>
        <v>30.11035503114206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151.58413719376074</v>
      </c>
      <c r="T94" s="62">
        <f t="shared" si="88"/>
        <v>310.105543138185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29.519909091624303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1.7516292407139996E-7</v>
      </c>
      <c r="AC94" s="24">
        <f t="shared" si="57"/>
        <v>29.519909266787227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151.58413719376074</v>
      </c>
      <c r="T95" s="62">
        <f t="shared" si="88"/>
        <v>310.105543138185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28.941041679704213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1.2385889142335125E-7</v>
      </c>
      <c r="AC95" s="24">
        <f t="shared" si="57"/>
        <v>28.941041803563106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151.58413719376074</v>
      </c>
      <c r="T96" s="62">
        <f t="shared" si="88"/>
        <v>310.105543138185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28.373525504657618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8.7581462035699981E-8</v>
      </c>
      <c r="AC96" s="24">
        <f t="shared" si="57"/>
        <v>28.37352559223908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151.58413719376074</v>
      </c>
      <c r="T97" s="62">
        <f t="shared" si="88"/>
        <v>310.105543138185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27.817137975653001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6.1929445711675624E-8</v>
      </c>
      <c r="AC97" s="24">
        <f t="shared" si="57"/>
        <v>27.817138037582446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151.58413719376074</v>
      </c>
      <c r="T98" s="62">
        <f t="shared" si="88"/>
        <v>310.105543138185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27.271660866729281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4.379073101784999E-8</v>
      </c>
      <c r="AC98" s="24">
        <f t="shared" si="57"/>
        <v>27.271660910520012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151.58413719376074</v>
      </c>
      <c r="T99" s="62">
        <f t="shared" si="88"/>
        <v>310.105543138185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26.736880231203372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3.0964722855837812E-8</v>
      </c>
      <c r="AC99" s="24">
        <f t="shared" si="57"/>
        <v>26.736880262168096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151.58413719376074</v>
      </c>
      <c r="T100" s="62">
        <f t="shared" si="88"/>
        <v>310.105543138185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26.212586317756145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2.1895365508924995E-8</v>
      </c>
      <c r="AC100" s="24">
        <f t="shared" si="57"/>
        <v>26.212586339651509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151.58413719376074</v>
      </c>
      <c r="T101" s="62">
        <f t="shared" si="88"/>
        <v>310.105543138185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25.698573488163905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1.5482361427918906E-8</v>
      </c>
      <c r="AC101" s="24">
        <f t="shared" si="57"/>
        <v>25.698573503646266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151.58413719376074</v>
      </c>
      <c r="T102" s="62">
        <f t="shared" si="88"/>
        <v>310.105543138185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25.194640136643102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1.0947682754462498E-8</v>
      </c>
      <c r="AC102" s="24">
        <f t="shared" si="57"/>
        <v>25.194640147590786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151.58413719376074</v>
      </c>
      <c r="T103" s="62">
        <f t="shared" si="88"/>
        <v>310.105543138185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24.700588610776627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7.741180713959453E-9</v>
      </c>
      <c r="AC103" s="24">
        <f t="shared" si="57"/>
        <v>24.700588618517809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151.58413719376074</v>
      </c>
      <c r="T104" s="62">
        <f t="shared" si="88"/>
        <v>310.105543138185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24.216225133990719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5.4738413772312488E-9</v>
      </c>
      <c r="AC104" s="24">
        <f t="shared" si="57"/>
        <v>24.216225139464559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151.58413719376074</v>
      </c>
      <c r="T105" s="62">
        <f t="shared" si="88"/>
        <v>310.105543138185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23.741359729552034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3.8705903569797265E-9</v>
      </c>
      <c r="AC105" s="24">
        <f t="shared" si="57"/>
        <v>23.741359733422623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151.58413719376074</v>
      </c>
      <c r="T106" s="62">
        <f t="shared" si="88"/>
        <v>310.105543138185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23.275806146055093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2.7369206886156244E-9</v>
      </c>
      <c r="AC106" s="24">
        <f t="shared" si="57"/>
        <v>23.275806148792014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151.58413719376074</v>
      </c>
      <c r="T107" s="62">
        <f t="shared" si="88"/>
        <v>310.105543138185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22.819381784370879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1.9352951784898633E-9</v>
      </c>
      <c r="AC107" s="24">
        <f t="shared" si="57"/>
        <v>22.819381786306174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151.58413719376074</v>
      </c>
      <c r="T108" s="62">
        <f t="shared" si="88"/>
        <v>310.105543138185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22.371907626027923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1.3684603443078122E-9</v>
      </c>
      <c r="AC108" s="24">
        <f t="shared" si="57"/>
        <v>22.371907627396382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151.58413719376074</v>
      </c>
      <c r="T109" s="62">
        <f t="shared" si="88"/>
        <v>310.105543138185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21.933208162997783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9.6764758924493163E-10</v>
      </c>
      <c r="AC109" s="24">
        <f t="shared" si="57"/>
        <v>21.933208163965432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151.58413719376074</v>
      </c>
      <c r="T110" s="62">
        <f t="shared" si="88"/>
        <v>310.105543138185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21.503111328857415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6.842301721539061E-10</v>
      </c>
      <c r="AC110" s="24">
        <f t="shared" si="57"/>
        <v>21.503111329541646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151.58413719376074</v>
      </c>
      <c r="T111" s="62">
        <f t="shared" si="88"/>
        <v>310.105543138185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21.081448431301371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4.8382379462246581E-10</v>
      </c>
      <c r="AC111" s="24">
        <f t="shared" si="57"/>
        <v>21.081448431785194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151.58413719376074</v>
      </c>
      <c r="T112" s="62">
        <f t="shared" si="88"/>
        <v>310.105543138185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20.668054085977431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3.4211508607695305E-10</v>
      </c>
      <c r="AC112" s="24">
        <f t="shared" si="57"/>
        <v>20.668054086319547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151.58413719376074</v>
      </c>
      <c r="T113" s="62">
        <f t="shared" si="88"/>
        <v>310.105543138185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20.26276615161964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2.4191189731123291E-10</v>
      </c>
      <c r="AC113" s="24">
        <f t="shared" si="57"/>
        <v>20.262766151861552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151.58413719376074</v>
      </c>
      <c r="T114" s="62">
        <f t="shared" si="88"/>
        <v>310.105543138185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19.865425666453376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1.7105754303847652E-10</v>
      </c>
      <c r="AC114" s="24">
        <f t="shared" si="57"/>
        <v>19.865425666624432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151.58413719376074</v>
      </c>
      <c r="T115" s="62">
        <f t="shared" si="88"/>
        <v>310.105543138185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19.475876785847454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1.2095594865561645E-10</v>
      </c>
      <c r="AC115" s="24">
        <f t="shared" si="57"/>
        <v>19.47587678596841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151.58413719376074</v>
      </c>
      <c r="T116" s="62">
        <f t="shared" si="88"/>
        <v>310.105543138185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19.09396672118886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8.5528771519238262E-11</v>
      </c>
      <c r="AC116" s="24">
        <f t="shared" si="57"/>
        <v>19.093966721274388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151.58413719376074</v>
      </c>
      <c r="T117" s="62">
        <f t="shared" si="88"/>
        <v>310.105543138185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18.719545679956081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6.0477974327808227E-11</v>
      </c>
      <c r="AC117" s="24">
        <f t="shared" si="57"/>
        <v>18.719545680016559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151.58413719376074</v>
      </c>
      <c r="T118" s="62">
        <f t="shared" si="88"/>
        <v>310.105543138185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18.352466806967595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4.2764385759619131E-11</v>
      </c>
      <c r="AC118" s="24">
        <f t="shared" si="57"/>
        <v>18.352466807010359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151.58413719376074</v>
      </c>
      <c r="T119" s="62">
        <f t="shared" si="88"/>
        <v>310.105543138185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17.992586126782406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3.0238987163904113E-11</v>
      </c>
      <c r="AC119" s="24">
        <f t="shared" si="57"/>
        <v>17.992586126812647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151.58413719376074</v>
      </c>
      <c r="T120" s="62">
        <f t="shared" si="88"/>
        <v>310.105543138185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17.639762487230108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2.1382192879809566E-11</v>
      </c>
      <c r="AC120" s="24">
        <f t="shared" si="57"/>
        <v>17.639762487251492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151.58413719376074</v>
      </c>
      <c r="T121" s="62">
        <f t="shared" si="88"/>
        <v>310.105543138185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17.293857504048262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1.5119493581952057E-11</v>
      </c>
      <c r="AC121" s="24">
        <f t="shared" si="57"/>
        <v>17.293857504063382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151.58413719376074</v>
      </c>
      <c r="T122" s="62">
        <f t="shared" si="88"/>
        <v>310.105543138185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16.954735506605402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1.0691096439904783E-11</v>
      </c>
      <c r="AC122" s="24">
        <f t="shared" si="57"/>
        <v>16.954735506616093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151.58413719376074</v>
      </c>
      <c r="T123" s="62">
        <f t="shared" si="88"/>
        <v>310.105543138185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16.622263484688403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7.5597467909760283E-12</v>
      </c>
      <c r="AC123" s="24">
        <f t="shared" si="57"/>
        <v>16.622263484695964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151.58413719376074</v>
      </c>
      <c r="T124" s="62">
        <f t="shared" si="88"/>
        <v>310.105543138185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16.296311036333289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5.3455482199523914E-12</v>
      </c>
      <c r="AC124" s="24">
        <f t="shared" si="57"/>
        <v>16.296311036338636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151.58413719376074</v>
      </c>
      <c r="T125" s="62">
        <f t="shared" si="88"/>
        <v>310.105543138185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15.976750316679055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3.7798733954880142E-12</v>
      </c>
      <c r="AC125" s="24">
        <f t="shared" si="57"/>
        <v>15.976750316682836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151.58413719376074</v>
      </c>
      <c r="T126" s="62">
        <f t="shared" si="88"/>
        <v>310.105543138185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15.663455987824447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2.6727741099761957E-12</v>
      </c>
      <c r="AC126" s="24">
        <f t="shared" si="57"/>
        <v>15.66345598782712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151.58413719376074</v>
      </c>
      <c r="T127" s="62">
        <f t="shared" si="88"/>
        <v>310.105543138185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15.356305169668007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1.8899366977440071E-12</v>
      </c>
      <c r="AC127" s="24">
        <f t="shared" si="57"/>
        <v>15.356305169669897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151.58413719376074</v>
      </c>
      <c r="T128" s="62">
        <f t="shared" si="88"/>
        <v>310.105543138185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15.055177391712114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1.3363870549880978E-12</v>
      </c>
      <c r="AC128" s="24">
        <f t="shared" si="57"/>
        <v>15.05517739171345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151.58413719376074</v>
      </c>
      <c r="T129" s="62">
        <f t="shared" si="88"/>
        <v>310.105543138185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14.759954545812127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9.4496834887200354E-13</v>
      </c>
      <c r="AC129" s="24">
        <f t="shared" si="57"/>
        <v>14.759954545813072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151.58413719376074</v>
      </c>
      <c r="T130" s="62">
        <f t="shared" si="88"/>
        <v>310.105543138185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14.470520839852083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6.6819352749404892E-13</v>
      </c>
      <c r="AC130" s="24">
        <f t="shared" si="57"/>
        <v>14.470520839852751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151.58413719376074</v>
      </c>
      <c r="T131" s="62">
        <f t="shared" si="88"/>
        <v>310.105543138185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14.186762752328788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4.7248417443600177E-13</v>
      </c>
      <c r="AC131" s="24">
        <f t="shared" si="57"/>
        <v>14.18676275232926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151.58413719376074</v>
      </c>
      <c r="T132" s="62">
        <f t="shared" si="88"/>
        <v>310.105543138185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13.908568987826479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3.3409676374702446E-13</v>
      </c>
      <c r="AC132" s="24">
        <f t="shared" ref="AC132:AC153" si="111">SUM(Z132:AB132)</f>
        <v>13.908568987826813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151.58413719376074</v>
      </c>
      <c r="T133" s="62">
        <f t="shared" ref="T133:T196" si="142">$T$3</f>
        <v>310.105543138185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13.635830433364619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2.3624208721800089E-13</v>
      </c>
      <c r="AC133" s="24">
        <f t="shared" si="111"/>
        <v>13.635830433364855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151.58413719376074</v>
      </c>
      <c r="T134" s="62">
        <f t="shared" si="142"/>
        <v>310.105543138185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13.368440115601665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1.6704838187351223E-13</v>
      </c>
      <c r="AC134" s="24">
        <f t="shared" si="111"/>
        <v>13.368440115601832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151.58413719376074</v>
      </c>
      <c r="T135" s="62">
        <f t="shared" si="142"/>
        <v>310.105543138185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13.106293158878051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1.1812104360900044E-13</v>
      </c>
      <c r="AC135" s="24">
        <f t="shared" si="111"/>
        <v>13.106293158878168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151.58413719376074</v>
      </c>
      <c r="T136" s="62">
        <f t="shared" si="142"/>
        <v>310.105543138185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12.849286744081933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8.3524190936756116E-14</v>
      </c>
      <c r="AC136" s="24">
        <f t="shared" si="111"/>
        <v>12.849286744082017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151.58413719376074</v>
      </c>
      <c r="T137" s="62">
        <f t="shared" si="142"/>
        <v>310.105543138185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12.597320068321531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5.9060521804500221E-14</v>
      </c>
      <c r="AC137" s="24">
        <f t="shared" si="111"/>
        <v>12.59732006832159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151.58413719376074</v>
      </c>
      <c r="T138" s="62">
        <f t="shared" si="142"/>
        <v>310.105543138185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12.350294305388294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4.1762095468378058E-14</v>
      </c>
      <c r="AC138" s="24">
        <f t="shared" si="111"/>
        <v>12.350294305388337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151.58413719376074</v>
      </c>
      <c r="T139" s="62">
        <f t="shared" si="142"/>
        <v>310.105543138185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12.10811256699534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2.9530260902250111E-14</v>
      </c>
      <c r="AC139" s="24">
        <f t="shared" si="111"/>
        <v>12.10811256699537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151.58413719376074</v>
      </c>
      <c r="T140" s="62">
        <f t="shared" si="142"/>
        <v>310.105543138185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11.870679864775997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2.0881047734189029E-14</v>
      </c>
      <c r="AC140" s="24">
        <f t="shared" si="111"/>
        <v>11.870679864776019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151.58413719376074</v>
      </c>
      <c r="T141" s="62">
        <f t="shared" si="142"/>
        <v>310.105543138185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11.637903073027527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1.4765130451125055E-14</v>
      </c>
      <c r="AC141" s="24">
        <f t="shared" si="111"/>
        <v>11.637903073027541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151.58413719376074</v>
      </c>
      <c r="T142" s="62">
        <f t="shared" si="142"/>
        <v>310.105543138185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11.40969089218542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1.0440523867094514E-14</v>
      </c>
      <c r="AC142" s="24">
        <f t="shared" si="111"/>
        <v>11.409690892185431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151.58413719376074</v>
      </c>
      <c r="T143" s="62">
        <f t="shared" si="142"/>
        <v>310.105543138185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11.185953813013942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7.3825652255625277E-15</v>
      </c>
      <c r="AC143" s="24">
        <f t="shared" si="111"/>
        <v>11.185953813013949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151.58413719376074</v>
      </c>
      <c r="T144" s="62">
        <f t="shared" si="142"/>
        <v>310.105543138185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10.966604081498874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5.2202619335472572E-15</v>
      </c>
      <c r="AC144" s="24">
        <f t="shared" si="111"/>
        <v>10.966604081498879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151.58413719376074</v>
      </c>
      <c r="T145" s="62">
        <f t="shared" si="142"/>
        <v>310.105543138185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10.75155566442869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3.6912826127812638E-15</v>
      </c>
      <c r="AC145" s="24">
        <f t="shared" si="111"/>
        <v>10.751555664428693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151.58413719376074</v>
      </c>
      <c r="T146" s="62">
        <f t="shared" si="142"/>
        <v>310.105543138185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10.54072421565067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2.6101309667736286E-15</v>
      </c>
      <c r="AC146" s="24">
        <f t="shared" si="111"/>
        <v>10.540724215650672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151.58413719376074</v>
      </c>
      <c r="T147" s="62">
        <f t="shared" si="142"/>
        <v>310.105543138185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10.3340270429887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1.8456413063906319E-15</v>
      </c>
      <c r="AC147" s="24">
        <f t="shared" si="111"/>
        <v>10.334027042988701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151.58413719376074</v>
      </c>
      <c r="T148" s="62">
        <f t="shared" si="142"/>
        <v>310.105543138185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10.131383075809804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1.3050654833868143E-15</v>
      </c>
      <c r="AC148" s="24">
        <f t="shared" si="111"/>
        <v>10.131383075809806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151.58413719376074</v>
      </c>
      <c r="T149" s="62">
        <f t="shared" si="142"/>
        <v>310.105543138185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9.9327128332266721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9.2282065319531596E-16</v>
      </c>
      <c r="AC149" s="24">
        <f t="shared" si="111"/>
        <v>9.9327128332266739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151.58413719376074</v>
      </c>
      <c r="T150" s="62">
        <f t="shared" si="142"/>
        <v>310.105543138185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9.7379383929237129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6.5253274169340715E-16</v>
      </c>
      <c r="AC150" s="24">
        <f t="shared" si="111"/>
        <v>9.7379383929237129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151.58413719376074</v>
      </c>
      <c r="T151" s="62">
        <f t="shared" si="142"/>
        <v>310.105543138185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9.5469833605944157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4.6141032659765798E-16</v>
      </c>
      <c r="AC151" s="24">
        <f t="shared" si="111"/>
        <v>9.5469833605944157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151.58413719376074</v>
      </c>
      <c r="T152" s="62">
        <f t="shared" si="142"/>
        <v>310.105543138185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9.359772839978028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3.2626637084670358E-16</v>
      </c>
      <c r="AC152" s="24">
        <f t="shared" si="111"/>
        <v>9.359772839978028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151.58413719376074</v>
      </c>
      <c r="T153" s="62">
        <f t="shared" si="142"/>
        <v>310.105543138185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9.1762334034837849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2.3070516329882899E-16</v>
      </c>
      <c r="AC153" s="24">
        <f t="shared" si="111"/>
        <v>9.1762334034837849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151.58413719376074</v>
      </c>
      <c r="T154" s="62">
        <f t="shared" si="142"/>
        <v>310.105543138185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8.9962930633911906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1.6313318542335179E-16</v>
      </c>
      <c r="AC154" s="24">
        <f t="shared" ref="AC154:AC203" si="163">SUM(Z154:AB154)</f>
        <v>8.9962930633911906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151.58413719376074</v>
      </c>
      <c r="T155" s="62">
        <f t="shared" si="142"/>
        <v>310.105543138185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8.8198812436150416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1.153525816494145E-16</v>
      </c>
      <c r="AC155" s="24">
        <f t="shared" si="163"/>
        <v>8.8198812436150416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151.58413719376074</v>
      </c>
      <c r="T156" s="62">
        <f t="shared" si="142"/>
        <v>310.105543138185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8.6469287520241185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8.1566592711675894E-17</v>
      </c>
      <c r="AC156" s="24">
        <f t="shared" si="163"/>
        <v>8.6469287520241185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151.58413719376074</v>
      </c>
      <c r="T157" s="62">
        <f t="shared" si="142"/>
        <v>310.105543138185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8.4773677533026888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5.7676290824707248E-17</v>
      </c>
      <c r="AC157" s="24">
        <f t="shared" si="163"/>
        <v>8.4773677533026888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151.58413719376074</v>
      </c>
      <c r="T158" s="62">
        <f t="shared" si="142"/>
        <v>310.105543138185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8.3111317423441893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4.0783296355837947E-17</v>
      </c>
      <c r="AC158" s="24">
        <f t="shared" si="163"/>
        <v>8.3111317423441893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151.58413719376074</v>
      </c>
      <c r="T159" s="62">
        <f t="shared" si="142"/>
        <v>310.105543138185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8.1481555181666323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2.8838145412353624E-17</v>
      </c>
      <c r="AC159" s="24">
        <f t="shared" si="163"/>
        <v>8.1481555181666323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151.58413719376074</v>
      </c>
      <c r="T160" s="62">
        <f t="shared" si="142"/>
        <v>310.105543138185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7.9883751583395153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2.0391648177918974E-17</v>
      </c>
      <c r="AC160" s="24">
        <f t="shared" si="163"/>
        <v>7.9883751583395153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151.58413719376074</v>
      </c>
      <c r="T161" s="62">
        <f t="shared" si="142"/>
        <v>310.105543138185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7.831727993912212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1.4419072706176812E-17</v>
      </c>
      <c r="AC161" s="24">
        <f t="shared" si="163"/>
        <v>7.831727993912212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151.58413719376074</v>
      </c>
      <c r="T162" s="62">
        <f t="shared" si="142"/>
        <v>310.105543138185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7.6781525848339918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1.0195824088959487E-17</v>
      </c>
      <c r="AC162" s="24">
        <f t="shared" si="163"/>
        <v>7.6781525848339918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151.58413719376074</v>
      </c>
      <c r="T163" s="62">
        <f t="shared" si="142"/>
        <v>310.105543138185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7.5275886958560454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7.2095363530884059E-18</v>
      </c>
      <c r="AC163" s="24">
        <f t="shared" si="163"/>
        <v>7.5275886958560454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151.58413719376074</v>
      </c>
      <c r="T164" s="62">
        <f t="shared" si="142"/>
        <v>310.105543138185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7.3799772729060518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5.0979120444797434E-18</v>
      </c>
      <c r="AC164" s="24">
        <f t="shared" si="163"/>
        <v>7.3799772729060518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151.58413719376074</v>
      </c>
      <c r="T165" s="62">
        <f t="shared" si="142"/>
        <v>310.105543138185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7.2352604199260302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3.604768176544203E-18</v>
      </c>
      <c r="AC165" s="24">
        <f t="shared" si="163"/>
        <v>7.2352604199260302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151.58413719376074</v>
      </c>
      <c r="T166" s="62">
        <f t="shared" si="142"/>
        <v>310.105543138185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7.0933813761643822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2.5489560222398717E-18</v>
      </c>
      <c r="AC166" s="24">
        <f t="shared" si="163"/>
        <v>7.0933813761643822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151.58413719376074</v>
      </c>
      <c r="T167" s="62">
        <f t="shared" si="142"/>
        <v>310.105543138185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6.954284493913228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1.8023840882721015E-18</v>
      </c>
      <c r="AC167" s="24">
        <f t="shared" si="163"/>
        <v>6.954284493913228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151.58413719376074</v>
      </c>
      <c r="T168" s="62">
        <f t="shared" si="142"/>
        <v>310.105543138185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6.8179152166822981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1.2744780111199358E-18</v>
      </c>
      <c r="AC168" s="24">
        <f t="shared" si="163"/>
        <v>6.8179152166822981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151.58413719376074</v>
      </c>
      <c r="T169" s="62">
        <f t="shared" si="142"/>
        <v>310.105543138185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6.6842200578008208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9.0119204413605074E-19</v>
      </c>
      <c r="AC169" s="24">
        <f t="shared" si="163"/>
        <v>6.6842200578008208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151.58413719376074</v>
      </c>
      <c r="T170" s="62">
        <f t="shared" si="142"/>
        <v>310.105543138185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6.5531465794390149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6.3723900555996792E-19</v>
      </c>
      <c r="AC170" s="24">
        <f t="shared" si="163"/>
        <v>6.5531465794390149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151.58413719376074</v>
      </c>
      <c r="T171" s="62">
        <f t="shared" si="142"/>
        <v>310.105543138185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6.4246433720409559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4.5059602206802537E-19</v>
      </c>
      <c r="AC171" s="24">
        <f t="shared" si="163"/>
        <v>6.4246433720409559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151.58413719376074</v>
      </c>
      <c r="T172" s="62">
        <f t="shared" si="142"/>
        <v>310.105543138185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6.2986600341607559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3.1861950277998396E-19</v>
      </c>
      <c r="AC172" s="24">
        <f t="shared" si="163"/>
        <v>6.2986600341607559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151.58413719376074</v>
      </c>
      <c r="T173" s="62">
        <f t="shared" si="142"/>
        <v>310.105543138185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6.1751471526941382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2.2529801103401269E-19</v>
      </c>
      <c r="AC173" s="24">
        <f t="shared" si="163"/>
        <v>6.1751471526941382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151.58413719376074</v>
      </c>
      <c r="T174" s="62">
        <f t="shared" si="142"/>
        <v>310.105543138185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6.054056283497661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1.5930975138999198E-19</v>
      </c>
      <c r="AC174" s="24">
        <f t="shared" si="163"/>
        <v>6.054056283497661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151.58413719376074</v>
      </c>
      <c r="T175" s="62">
        <f t="shared" si="142"/>
        <v>310.105543138185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5.9353399323879898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1.1264900551700634E-19</v>
      </c>
      <c r="AC175" s="24">
        <f t="shared" si="163"/>
        <v>5.9353399323879898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151.58413719376074</v>
      </c>
      <c r="T176" s="62">
        <f t="shared" si="142"/>
        <v>310.105543138185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5.8189515365137554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7.965487569499599E-20</v>
      </c>
      <c r="AC176" s="24">
        <f t="shared" si="163"/>
        <v>5.8189515365137554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151.58413719376074</v>
      </c>
      <c r="T177" s="62">
        <f t="shared" si="142"/>
        <v>310.105543138185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5.7048454460927029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5.6324502758503171E-20</v>
      </c>
      <c r="AC177" s="24">
        <f t="shared" si="163"/>
        <v>5.7048454460927029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151.58413719376074</v>
      </c>
      <c r="T178" s="62">
        <f t="shared" si="142"/>
        <v>310.105543138185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5.5929769065069639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3.9827437847497995E-20</v>
      </c>
      <c r="AC178" s="24">
        <f t="shared" si="163"/>
        <v>5.5929769065069639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151.58413719376074</v>
      </c>
      <c r="T179" s="62">
        <f t="shared" si="142"/>
        <v>310.105543138185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5.4833020407494297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2.8162251379251586E-20</v>
      </c>
      <c r="AC179" s="24">
        <f t="shared" si="163"/>
        <v>5.4833020407494297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151.58413719376074</v>
      </c>
      <c r="T180" s="62">
        <f t="shared" si="142"/>
        <v>310.105543138185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5.3757778322143377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1.9913718923748998E-20</v>
      </c>
      <c r="AC180" s="24">
        <f t="shared" si="163"/>
        <v>5.3757778322143377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151.58413719376074</v>
      </c>
      <c r="T181" s="62">
        <f t="shared" si="142"/>
        <v>310.105543138185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5.2703621078253278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1.4081125689625793E-20</v>
      </c>
      <c r="AC181" s="24">
        <f t="shared" si="163"/>
        <v>5.2703621078253278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151.58413719376074</v>
      </c>
      <c r="T182" s="62">
        <f t="shared" si="142"/>
        <v>310.105543138185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5.1670135214943436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9.9568594618744988E-21</v>
      </c>
      <c r="AC182" s="24">
        <f t="shared" si="163"/>
        <v>5.1670135214943436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151.58413719376074</v>
      </c>
      <c r="T183" s="62">
        <f t="shared" si="142"/>
        <v>310.105543138185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5.0656915379048959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7.0405628448128964E-21</v>
      </c>
      <c r="AC183" s="24">
        <f t="shared" si="163"/>
        <v>5.0656915379048959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151.58413719376074</v>
      </c>
      <c r="T184" s="62">
        <f t="shared" si="142"/>
        <v>310.105543138185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4.9663564166133298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4.9784297309372494E-21</v>
      </c>
      <c r="AC184" s="24">
        <f t="shared" si="163"/>
        <v>4.9663564166133298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151.58413719376074</v>
      </c>
      <c r="T185" s="62">
        <f t="shared" si="142"/>
        <v>310.105543138185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4.8689691964618502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3.5202814224064482E-21</v>
      </c>
      <c r="AC185" s="24">
        <f t="shared" si="163"/>
        <v>4.8689691964618502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151.58413719376074</v>
      </c>
      <c r="T186" s="62">
        <f t="shared" si="142"/>
        <v>310.105543138185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4.7734916802972016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2.4892148654686247E-21</v>
      </c>
      <c r="AC186" s="24">
        <f t="shared" si="163"/>
        <v>4.7734916802972016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151.58413719376074</v>
      </c>
      <c r="T187" s="62">
        <f t="shared" si="142"/>
        <v>310.105543138185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4.6798864199890078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1.7601407112032241E-21</v>
      </c>
      <c r="AC187" s="24">
        <f t="shared" si="163"/>
        <v>4.6798864199890078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151.58413719376074</v>
      </c>
      <c r="T188" s="62">
        <f t="shared" si="142"/>
        <v>310.105543138185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4.5881167017418862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1.2446074327343123E-21</v>
      </c>
      <c r="AC188" s="24">
        <f t="shared" si="163"/>
        <v>4.5881167017418862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151.58413719376074</v>
      </c>
      <c r="T189" s="62">
        <f t="shared" si="142"/>
        <v>310.105543138185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4.4981465316955891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8.8007035560161205E-22</v>
      </c>
      <c r="AC189" s="24">
        <f t="shared" si="163"/>
        <v>4.4981465316955891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151.58413719376074</v>
      </c>
      <c r="T190" s="62">
        <f t="shared" si="142"/>
        <v>310.105543138185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4.4099406218075154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6.2230371636715617E-22</v>
      </c>
      <c r="AC190" s="24">
        <f t="shared" si="163"/>
        <v>4.4099406218075154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151.58413719376074</v>
      </c>
      <c r="T191" s="62">
        <f t="shared" si="142"/>
        <v>310.105543138185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4.3234643760120539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4.4003517780080603E-22</v>
      </c>
      <c r="AC191" s="24">
        <f t="shared" si="163"/>
        <v>4.3234643760120539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151.58413719376074</v>
      </c>
      <c r="T192" s="62">
        <f t="shared" si="142"/>
        <v>310.105543138185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4.2386838766513399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3.1115185818357809E-22</v>
      </c>
      <c r="AC192" s="24">
        <f t="shared" si="163"/>
        <v>4.2386838766513399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151.58413719376074</v>
      </c>
      <c r="T193" s="62">
        <f t="shared" si="142"/>
        <v>310.105543138185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4.1555658711720902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2.2001758890040301E-22</v>
      </c>
      <c r="AC193" s="24">
        <f t="shared" si="163"/>
        <v>4.1555658711720902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151.58413719376074</v>
      </c>
      <c r="T194" s="62">
        <f t="shared" si="142"/>
        <v>310.105543138185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4.0740777590833117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1.5557592909178904E-22</v>
      </c>
      <c r="AC194" s="24">
        <f t="shared" si="163"/>
        <v>4.0740777590833117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151.58413719376074</v>
      </c>
      <c r="T195" s="62">
        <f t="shared" si="142"/>
        <v>310.105543138185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3.9941875791697532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1.1000879445020151E-22</v>
      </c>
      <c r="AC195" s="24">
        <f t="shared" si="163"/>
        <v>3.9941875791697532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151.58413719376074</v>
      </c>
      <c r="T196" s="62">
        <f t="shared" si="142"/>
        <v>310.105543138185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3.9158639969561015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7.7787964545894522E-23</v>
      </c>
      <c r="AC196" s="24">
        <f t="shared" si="163"/>
        <v>3.9158639969561015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151.58413719376074</v>
      </c>
      <c r="T197" s="62">
        <f t="shared" ref="T197:T203" si="204">$T$3</f>
        <v>310.105543138185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3.8390762924169914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5.5004397225100753E-23</v>
      </c>
      <c r="AC197" s="24">
        <f t="shared" si="163"/>
        <v>3.8390762924169914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151.58413719376074</v>
      </c>
      <c r="T198" s="62">
        <f t="shared" si="204"/>
        <v>310.105543138185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3.7637943479280183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3.8893982272947261E-23</v>
      </c>
      <c r="AC198" s="24">
        <f t="shared" si="163"/>
        <v>3.7637943479280183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151.58413719376074</v>
      </c>
      <c r="T199" s="62">
        <f t="shared" si="204"/>
        <v>310.105543138185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3.6899886364530219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2.7502198612550377E-23</v>
      </c>
      <c r="AC199" s="24">
        <f t="shared" si="163"/>
        <v>3.6899886364530219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151.58413719376074</v>
      </c>
      <c r="T200" s="62">
        <f t="shared" si="204"/>
        <v>310.105543138185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3.6176302099630111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1.944699113647363E-23</v>
      </c>
      <c r="AC200" s="24">
        <f t="shared" si="163"/>
        <v>3.6176302099630111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151.58413719376074</v>
      </c>
      <c r="T201" s="62">
        <f t="shared" si="204"/>
        <v>310.105543138185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3.5466906880821871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1.3751099306275188E-23</v>
      </c>
      <c r="AC201" s="24">
        <f t="shared" si="163"/>
        <v>3.5466906880821871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151.58413719376074</v>
      </c>
      <c r="T202" s="62">
        <f t="shared" si="204"/>
        <v>310.105543138185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3.47714224695661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9.7234955682368152E-24</v>
      </c>
      <c r="AC202" s="24">
        <f t="shared" si="163"/>
        <v>3.47714224695661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151.58413719376074</v>
      </c>
      <c r="T203" s="62">
        <f t="shared" si="204"/>
        <v>310.105543138185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3.408957608341145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6.8755496531375942E-24</v>
      </c>
      <c r="AC203" s="24">
        <f t="shared" si="163"/>
        <v>3.408957608341145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1.4261938757879591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D1" workbookViewId="0">
      <selection activeCell="D5" sqref="D5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1.92</v>
      </c>
      <c r="C6" s="156">
        <f ca="1">IF(OR('Données projet'!B9="",'Données projet'!C9="",'Données projet'!C9=0%),0,Calculateur!S3)</f>
        <v>151.58413719376074</v>
      </c>
      <c r="D6" s="156">
        <f>IF(OR('Données projet'!B9="",'Données projet'!C9="",'Données projet'!C9=0%),0,Calculateur!T3)</f>
        <v>310.105543138185</v>
      </c>
      <c r="E6" s="156">
        <f ca="1">MIN(C6,D6)</f>
        <v>151.58413719376074</v>
      </c>
      <c r="F6" s="156">
        <f ca="1">E6*B6</f>
        <v>291.04154341202059</v>
      </c>
      <c r="G6" s="156">
        <f ca="1">F6*(100%-'Données projet'!$C$24)*(100%-'Données projet'!$C$25)*(100%-'Données projet'!$C$26)*(100%-'Données projet'!$C$27)</f>
        <v>222.64678071019574</v>
      </c>
      <c r="H6" s="157">
        <f>IF(OR('Données projet'!B9="",'Données projet'!C9="",'Données projet'!C9=0%),0,AVERAGE(Calculateur!$AC$3:$AC$33)*B6)</f>
        <v>18.593245410746963</v>
      </c>
      <c r="I6" s="158">
        <f>H6*(100%-'Données projet'!$C$24)*(100%-'Données projet'!$C$25)*(100%-'Données projet'!$C$26)*(100%-'Données projet'!$C$27)</f>
        <v>14.223832739221427</v>
      </c>
      <c r="J6" s="159">
        <f>IF(OR('Données projet'!B9="",'Données projet'!C9="",'Données projet'!C9=0%),0,SUM(Calculateur!$V$3:$V$33)*VLOOKUP('Données projet'!$B$9,Paramètres!$A$1:$I$89,9,0)*B6)</f>
        <v>135.93599999999998</v>
      </c>
      <c r="K6" s="160">
        <f>J6*(100%-'Données projet'!$C$24)*(100%-'Données projet'!$C$25)*(100%-'Données projet'!$C$26)*(100%-'Données projet'!$C$27)</f>
        <v>103.99103999999998</v>
      </c>
      <c r="L6" s="161">
        <f ca="1">G6+I6+K6</f>
        <v>340.86165344941713</v>
      </c>
      <c r="M6" s="25">
        <f ca="1">L6/B6</f>
        <v>177.53211117157144</v>
      </c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 t="e">
        <f>L7/B7</f>
        <v>#DIV/0!</v>
      </c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291.04154341202059</v>
      </c>
      <c r="G16" s="175">
        <f t="shared" ca="1" si="3"/>
        <v>222.64678071019574</v>
      </c>
      <c r="H16" s="176">
        <f t="shared" si="3"/>
        <v>18.593245410746963</v>
      </c>
      <c r="I16" s="176">
        <f t="shared" si="3"/>
        <v>14.223832739221427</v>
      </c>
      <c r="J16" s="177">
        <f t="shared" si="3"/>
        <v>135.93599999999998</v>
      </c>
      <c r="K16" s="177">
        <f t="shared" si="3"/>
        <v>103.99103999999998</v>
      </c>
      <c r="L16" s="178">
        <f t="shared" ca="1" si="3"/>
        <v>340.86165344941713</v>
      </c>
      <c r="M16" s="25">
        <f ca="1">L16/6.42</f>
        <v>53.093715490563419</v>
      </c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F4" zoomScale="90" zoomScaleNormal="90" workbookViewId="0">
      <selection activeCell="I20" sqref="I20:I24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7" t="s">
        <v>315</v>
      </c>
      <c r="I4" s="327"/>
      <c r="K4" s="324" t="s">
        <v>253</v>
      </c>
      <c r="L4" s="325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5" t="s">
        <v>310</v>
      </c>
      <c r="S7" s="336"/>
      <c r="T7" s="336"/>
      <c r="U7" s="336"/>
      <c r="V7" s="337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4176.5088663229981</v>
      </c>
      <c r="U10" s="190">
        <f>'Données projet'!D9</f>
        <v>1.92</v>
      </c>
      <c r="V10" s="189">
        <f>U10*T10</f>
        <v>8018.897023340156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8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8"/>
      <c r="H16" s="203"/>
      <c r="I16" s="204"/>
      <c r="J16" s="216"/>
      <c r="K16" s="225"/>
      <c r="L16" s="324" t="s">
        <v>254</v>
      </c>
      <c r="M16" s="325"/>
      <c r="N16" s="2">
        <v>70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8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69.999999999999929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8"/>
      <c r="J18" s="216"/>
      <c r="K18" s="225"/>
      <c r="L18" s="295" t="s">
        <v>255</v>
      </c>
      <c r="M18" s="297"/>
      <c r="N18" s="205">
        <v>30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8"/>
      <c r="H19" s="232" t="s">
        <v>178</v>
      </c>
      <c r="I19" s="232" t="s">
        <v>287</v>
      </c>
      <c r="J19" s="260"/>
      <c r="K19" s="183"/>
      <c r="L19" s="324" t="s">
        <v>288</v>
      </c>
      <c r="M19" s="325"/>
      <c r="N19" s="191">
        <f>N17*N18</f>
        <v>2099.9999999999977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8"/>
      <c r="H20" s="203">
        <v>0</v>
      </c>
      <c r="I20" s="204">
        <v>3300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150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v>450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13</v>
      </c>
      <c r="B23" s="193">
        <f>'Données projet'!D36</f>
        <v>28</v>
      </c>
      <c r="C23" s="206">
        <v>10</v>
      </c>
      <c r="D23" s="194">
        <f>B23*C23</f>
        <v>280</v>
      </c>
      <c r="E23" s="206"/>
      <c r="F23" s="261"/>
      <c r="H23" s="203">
        <v>3</v>
      </c>
      <c r="I23" s="204">
        <v>150</v>
      </c>
      <c r="K23" s="225"/>
      <c r="L23" s="326" t="s">
        <v>260</v>
      </c>
      <c r="M23" s="326"/>
      <c r="N23" s="326"/>
      <c r="O23" s="25"/>
      <c r="P23" s="25"/>
      <c r="Q23" s="265"/>
      <c r="R23" s="25"/>
      <c r="S23" s="185" t="s">
        <v>264</v>
      </c>
      <c r="T23" s="34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-375.80404707618436</v>
      </c>
      <c r="U23" s="340"/>
      <c r="V23" s="340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18</v>
      </c>
      <c r="B24" s="193">
        <f>'Données projet'!D37</f>
        <v>40</v>
      </c>
      <c r="C24" s="206">
        <v>15</v>
      </c>
      <c r="D24" s="194">
        <f t="shared" ref="D24:D42" si="2">B24*C24</f>
        <v>600</v>
      </c>
      <c r="E24" s="206"/>
      <c r="F24" s="264"/>
      <c r="H24" s="203">
        <v>5</v>
      </c>
      <c r="I24" s="204">
        <v>480</v>
      </c>
      <c r="K24" s="225"/>
      <c r="O24" s="25"/>
      <c r="P24" s="25"/>
      <c r="Q24" s="265"/>
      <c r="R24" s="25"/>
      <c r="S24" s="185" t="s">
        <v>261</v>
      </c>
      <c r="T24" s="341">
        <f ca="1">'Scénario référence'!$B$8*$M$30*'Données projet'!$C$5+('Scénario référence'!B9+'Scénario référence'!B10+'Scénario référence'!F8+'Scénario référence'!F9)*$N$19/(1+M4)^N16*'Données projet'!$C$5</f>
        <v>185.08882233315529</v>
      </c>
      <c r="U24" s="341"/>
      <c r="V24" s="341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23</v>
      </c>
      <c r="B25" s="193">
        <f>'Données projet'!D38</f>
        <v>52</v>
      </c>
      <c r="C25" s="206">
        <v>25</v>
      </c>
      <c r="D25" s="194">
        <f t="shared" si="2"/>
        <v>1300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2">
        <f ca="1">T23-T24</f>
        <v>-560.89286940933971</v>
      </c>
      <c r="U25" s="342"/>
      <c r="V25" s="342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9" t="s">
        <v>258</v>
      </c>
      <c r="M26" s="330"/>
      <c r="N26" s="330"/>
      <c r="O26" s="330"/>
      <c r="P26" s="331"/>
      <c r="Q26" s="265"/>
      <c r="R26" s="25"/>
      <c r="S26" s="198" t="s">
        <v>265</v>
      </c>
      <c r="T26" s="339" t="str">
        <f ca="1">IF(T25&lt;0,"Votre projet est additionnel","Votre projet n'est pas additionnel")</f>
        <v>Votre projet est additionnel</v>
      </c>
      <c r="U26" s="339"/>
      <c r="V26" s="339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34</v>
      </c>
      <c r="B27" s="193">
        <f>'Données projet'!D40</f>
        <v>325</v>
      </c>
      <c r="C27" s="206">
        <v>45</v>
      </c>
      <c r="D27" s="194">
        <f t="shared" si="2"/>
        <v>14625</v>
      </c>
      <c r="E27" s="206"/>
      <c r="F27" s="264"/>
      <c r="G27" s="259"/>
      <c r="H27" s="203"/>
      <c r="I27" s="204"/>
      <c r="K27" s="225"/>
      <c r="L27" s="332"/>
      <c r="M27" s="333"/>
      <c r="N27" s="333"/>
      <c r="O27" s="333"/>
      <c r="P27" s="334"/>
      <c r="Q27" s="265"/>
      <c r="R27" s="25"/>
      <c r="S27" s="338" t="s">
        <v>267</v>
      </c>
      <c r="T27" s="338"/>
      <c r="U27" s="338"/>
      <c r="V27" s="338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92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92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92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92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92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92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92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str">
        <f>IF(O67+1&lt;=MIN('Données projet'!$E$9:$E$18),O67+1,"STOP")</f>
        <v>STOP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2025-02-04T11:04:19Z</dcterms:modified>
</cp:coreProperties>
</file>