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anneyf\Desktop\"/>
    </mc:Choice>
  </mc:AlternateContent>
  <xr:revisionPtr revIDLastSave="0" documentId="13_ncr:1_{8B6F6CF0-C1DF-4EA4-AE9E-F83C7DD60D13}" xr6:coauthVersionLast="47" xr6:coauthVersionMax="47" xr10:uidLastSave="{00000000-0000-0000-0000-000000000000}"/>
  <bookViews>
    <workbookView xWindow="-2892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203" i="6"/>
  <c r="E172" i="6"/>
  <c r="E141" i="6"/>
  <c r="E79" i="6"/>
  <c r="E48" i="6"/>
  <c r="E17" i="6"/>
  <c r="E234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EW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EW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C22" i="2"/>
  <c r="EA22" i="2"/>
  <c r="HH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H38" i="2"/>
  <c r="HG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EC85" i="2"/>
  <c r="HH85" i="2"/>
  <c r="HG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R146" i="2"/>
  <c r="FS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Y154" i="2"/>
  <c r="AC154" i="2"/>
  <c r="EA155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B156" i="2"/>
  <c r="ED155" i="2"/>
  <c r="EX156" i="2"/>
  <c r="FS156" i="2"/>
  <c r="D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B157" i="2"/>
  <c r="CN156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W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HH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Y159" i="2"/>
  <c r="ED159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X161" i="2"/>
  <c r="EB161" i="2"/>
  <c r="ED160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C162" i="2" l="1"/>
  <c r="EY161" i="2"/>
  <c r="EW162" i="2"/>
  <c r="DI161" i="2"/>
  <c r="EB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R164" i="2"/>
  <c r="EV164" i="2"/>
  <c r="DI163" i="2"/>
  <c r="EA164" i="2"/>
  <c r="EX164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EA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A172" i="2"/>
  <c r="ED171" i="2"/>
  <c r="EV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A175" i="2"/>
  <c r="EW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FQ178" i="2"/>
  <c r="EW178" i="2"/>
  <c r="ED177" i="2"/>
  <c r="EA178" i="2"/>
  <c r="HG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V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B185" i="2"/>
  <c r="EA185" i="2"/>
  <c r="EW185" i="2"/>
  <c r="EV185" i="2"/>
  <c r="HI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FS186" i="2"/>
  <c r="EA186" i="2"/>
  <c r="HH186" i="2"/>
  <c r="FR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B192" i="2"/>
  <c r="EV192" i="2"/>
  <c r="HH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DI192" i="2"/>
  <c r="EY192" i="2"/>
  <c r="FQ193" i="2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FQ194" i="2"/>
  <c r="EB194" i="2"/>
  <c r="EA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ED194" i="2"/>
  <c r="EB195" i="2"/>
  <c r="DH195" i="2"/>
  <c r="EY194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FS197" i="2"/>
  <c r="EY196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FS199" i="2"/>
  <c r="EY198" i="2"/>
  <c r="EA199" i="2"/>
  <c r="EV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ED200" i="2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EY201" i="2"/>
  <c r="ED201" i="2"/>
  <c r="EW202" i="2"/>
  <c r="FZ6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42" i="2" a="1"/>
  <c r="EI142" i="2" s="1"/>
  <c r="CS66" i="2" a="1"/>
  <c r="CS66" i="2" s="1"/>
  <c r="CS116" i="2" a="1"/>
  <c r="CS116" i="2" s="1"/>
  <c r="AH151" i="2" a="1"/>
  <c r="AH151" i="2" s="1"/>
  <c r="AH62" i="2" a="1"/>
  <c r="AH62" i="2" s="1"/>
  <c r="AH163" i="2" a="1"/>
  <c r="AH163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36" i="2" a="1"/>
  <c r="EI36" i="2" s="1"/>
  <c r="EI113" i="2" a="1"/>
  <c r="EI113" i="2" s="1"/>
  <c r="EI16" i="2" a="1"/>
  <c r="EI16" i="2" s="1"/>
  <c r="CS185" i="2" a="1"/>
  <c r="CS185" i="2" s="1"/>
  <c r="CS56" i="2" a="1"/>
  <c r="CS56" i="2" s="1"/>
  <c r="DN49" i="2" a="1"/>
  <c r="DN49" i="2" s="1"/>
  <c r="DN6" i="2" a="1"/>
  <c r="DN6" i="2" s="1"/>
  <c r="DO6" i="2" s="1"/>
  <c r="CS24" i="2" a="1"/>
  <c r="CS24" i="2" s="1"/>
  <c r="CS134" i="2" a="1"/>
  <c r="CS134" i="2" s="1"/>
  <c r="BX107" i="2" a="1"/>
  <c r="BX107" i="2" s="1"/>
  <c r="FD82" i="2" a="1"/>
  <c r="FD82" i="2" s="1"/>
  <c r="HJ202" i="2"/>
  <c r="AX200" i="2"/>
  <c r="DN65" i="2" l="1" a="1"/>
  <c r="DN65" i="2" s="1"/>
  <c r="DN132" i="2" a="1"/>
  <c r="DN132" i="2" s="1"/>
  <c r="DN70" i="2" a="1"/>
  <c r="DN70" i="2" s="1"/>
  <c r="DN164" i="2" a="1"/>
  <c r="DN164" i="2" s="1"/>
  <c r="DN30" i="2" a="1"/>
  <c r="DN30" i="2" s="1"/>
  <c r="DN55" i="2" a="1"/>
  <c r="DN55" i="2" s="1"/>
  <c r="DN135" i="2" a="1"/>
  <c r="DN135" i="2" s="1"/>
  <c r="DN63" i="2" a="1"/>
  <c r="DN63" i="2" s="1"/>
  <c r="DN46" i="2" a="1"/>
  <c r="DN46" i="2" s="1"/>
  <c r="DN110" i="2" a="1"/>
  <c r="DN110" i="2" s="1"/>
  <c r="DN38" i="2" a="1"/>
  <c r="DN38" i="2" s="1"/>
  <c r="DN31" i="2" a="1"/>
  <c r="DN31" i="2" s="1"/>
  <c r="DN150" i="2" a="1"/>
  <c r="DN150" i="2" s="1"/>
  <c r="DN187" i="2" a="1"/>
  <c r="DN187" i="2" s="1"/>
  <c r="DN176" i="2" a="1"/>
  <c r="DN176" i="2" s="1"/>
  <c r="DN167" i="2" a="1"/>
  <c r="DN167" i="2" s="1"/>
  <c r="DN170" i="2" a="1"/>
  <c r="DN170" i="2" s="1"/>
  <c r="DN45" i="2" a="1"/>
  <c r="DN45" i="2" s="1"/>
  <c r="DN16" i="2" a="1"/>
  <c r="DN16" i="2" s="1"/>
  <c r="DN168" i="2" a="1"/>
  <c r="DN168" i="2" s="1"/>
  <c r="DN41" i="2" a="1"/>
  <c r="DN41" i="2" s="1"/>
  <c r="DN190" i="2" a="1"/>
  <c r="DN190" i="2" s="1"/>
  <c r="DN133" i="2" a="1"/>
  <c r="DN133" i="2" s="1"/>
  <c r="DN162" i="2" a="1"/>
  <c r="DN162" i="2" s="1"/>
  <c r="DN192" i="2" a="1"/>
  <c r="DN192" i="2" s="1"/>
  <c r="DN129" i="2" a="1"/>
  <c r="DN129" i="2" s="1"/>
  <c r="DN43" i="2" a="1"/>
  <c r="DN43" i="2" s="1"/>
  <c r="DN66" i="2" a="1"/>
  <c r="DN66" i="2" s="1"/>
  <c r="DN50" i="2" a="1"/>
  <c r="DN50" i="2" s="1"/>
  <c r="DN186" i="2" a="1"/>
  <c r="DN186" i="2" s="1"/>
  <c r="DN114" i="2" a="1"/>
  <c r="DN114" i="2" s="1"/>
  <c r="DN188" i="2" a="1"/>
  <c r="DN188" i="2" s="1"/>
  <c r="DN113" i="2" a="1"/>
  <c r="DN113" i="2" s="1"/>
  <c r="DN137" i="2" a="1"/>
  <c r="DN137" i="2" s="1"/>
  <c r="DN103" i="2" a="1"/>
  <c r="DN103" i="2" s="1"/>
  <c r="DN86" i="2" a="1"/>
  <c r="DN86" i="2" s="1"/>
  <c r="DN25" i="2" a="1"/>
  <c r="DN25" i="2" s="1"/>
  <c r="DN124" i="2" a="1"/>
  <c r="DN124" i="2" s="1"/>
  <c r="DN80" i="2" a="1"/>
  <c r="DN80" i="2" s="1"/>
  <c r="DN177" i="2" a="1"/>
  <c r="DN177" i="2" s="1"/>
  <c r="DN184" i="2" a="1"/>
  <c r="DN184" i="2" s="1"/>
  <c r="DN123" i="2" a="1"/>
  <c r="DN123" i="2" s="1"/>
  <c r="DN115" i="2" a="1"/>
  <c r="DN115" i="2" s="1"/>
  <c r="DN152" i="2" a="1"/>
  <c r="DN152" i="2" s="1"/>
  <c r="DN155" i="2" a="1"/>
  <c r="DN155" i="2" s="1"/>
  <c r="DN153" i="2" a="1"/>
  <c r="DN153" i="2" s="1"/>
  <c r="DN29" i="2" a="1"/>
  <c r="DN29" i="2" s="1"/>
  <c r="DN56" i="2" a="1"/>
  <c r="DN56" i="2" s="1"/>
  <c r="CS129" i="2" a="1"/>
  <c r="CS129" i="2" s="1"/>
  <c r="CS137" i="2" a="1"/>
  <c r="CS137" i="2" s="1"/>
  <c r="CS52" i="2" a="1"/>
  <c r="CS52" i="2" s="1"/>
  <c r="CS161" i="2" a="1"/>
  <c r="CS161" i="2" s="1"/>
  <c r="CS114" i="2" a="1"/>
  <c r="CS114" i="2" s="1"/>
  <c r="CS72" i="2" a="1"/>
  <c r="CS72" i="2" s="1"/>
  <c r="CS77" i="2" a="1"/>
  <c r="CS77" i="2" s="1"/>
  <c r="AH199" i="2" a="1"/>
  <c r="AH199" i="2" s="1"/>
  <c r="AH166" i="2" a="1"/>
  <c r="AH166" i="2" s="1"/>
  <c r="AH19" i="2" a="1"/>
  <c r="AH19" i="2" s="1"/>
  <c r="AH90" i="2" a="1"/>
  <c r="AH90" i="2" s="1"/>
  <c r="AH92" i="2" a="1"/>
  <c r="AH92" i="2" s="1"/>
  <c r="EI128" i="2" a="1"/>
  <c r="EI128" i="2" s="1"/>
  <c r="EI109" i="2" a="1"/>
  <c r="EI109" i="2" s="1"/>
  <c r="EI178" i="2" a="1"/>
  <c r="EI178" i="2" s="1"/>
  <c r="EI198" i="2" a="1"/>
  <c r="EI198" i="2" s="1"/>
  <c r="EI20" i="2" a="1"/>
  <c r="EI20" i="2" s="1"/>
  <c r="EI38" i="2" a="1"/>
  <c r="EI38" i="2" s="1"/>
  <c r="EI145" i="2" a="1"/>
  <c r="EI145" i="2" s="1"/>
  <c r="EI35" i="2" a="1"/>
  <c r="EI35" i="2" s="1"/>
  <c r="EI34" i="2" a="1"/>
  <c r="EI34" i="2" s="1"/>
  <c r="EI162" i="2" a="1"/>
  <c r="EI162" i="2" s="1"/>
  <c r="EI37" i="2" a="1"/>
  <c r="EI37" i="2" s="1"/>
  <c r="EI139" i="2" a="1"/>
  <c r="EI139" i="2" s="1"/>
  <c r="EI165" i="2" a="1"/>
  <c r="EI165" i="2" s="1"/>
  <c r="EI150" i="2" a="1"/>
  <c r="EI150" i="2" s="1"/>
  <c r="EI67" i="2" a="1"/>
  <c r="EI67" i="2" s="1"/>
  <c r="EI71" i="2" a="1"/>
  <c r="EI71" i="2" s="1"/>
  <c r="EI195" i="2" a="1"/>
  <c r="EI195" i="2" s="1"/>
  <c r="EI29" i="2" a="1"/>
  <c r="EI29" i="2" s="1"/>
  <c r="EI170" i="2" a="1"/>
  <c r="EI170" i="2" s="1"/>
  <c r="EI57" i="2" a="1"/>
  <c r="EI57" i="2" s="1"/>
  <c r="EI106" i="2" a="1"/>
  <c r="EI106" i="2" s="1"/>
  <c r="BP203" i="2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D203" i="2"/>
  <c r="FT203" i="2"/>
  <c r="DI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52" i="2" l="1"/>
  <c r="FJ180" i="2"/>
  <c r="FJ103" i="2"/>
  <c r="FJ125" i="2"/>
  <c r="FJ169" i="2"/>
  <c r="FJ51" i="2"/>
  <c r="FJ45" i="2"/>
  <c r="FJ165" i="2"/>
  <c r="FJ107" i="2"/>
  <c r="FJ33" i="2"/>
  <c r="FJ131" i="2"/>
  <c r="FJ174" i="2"/>
  <c r="FJ27" i="2"/>
  <c r="FJ161" i="2"/>
  <c r="FJ98" i="2"/>
  <c r="FJ68" i="2"/>
  <c r="FJ124" i="2"/>
  <c r="FJ118" i="2"/>
  <c r="FJ105" i="2"/>
  <c r="FJ30" i="2"/>
  <c r="FJ54" i="2"/>
  <c r="FJ40" i="2"/>
  <c r="FJ56" i="2"/>
  <c r="FJ65" i="2"/>
  <c r="FJ58" i="2"/>
  <c r="FJ72" i="2"/>
  <c r="FJ111" i="2"/>
  <c r="FJ121" i="2"/>
  <c r="FJ120" i="2"/>
  <c r="FJ6" i="2"/>
  <c r="FJ141" i="2"/>
  <c r="FJ90" i="2"/>
  <c r="FJ59" i="2"/>
  <c r="FJ183" i="2"/>
  <c r="FJ203" i="2"/>
  <c r="FJ11" i="2"/>
  <c r="FJ157" i="2"/>
  <c r="FJ41" i="2"/>
  <c r="FJ134" i="2"/>
  <c r="FJ86" i="2"/>
  <c r="FJ31" i="2"/>
  <c r="FJ166" i="2"/>
  <c r="FJ170" i="2"/>
  <c r="FJ155" i="2"/>
  <c r="FJ136" i="2"/>
  <c r="FJ194" i="2"/>
  <c r="FJ116" i="2"/>
  <c r="FJ95" i="2"/>
  <c r="FJ163" i="2"/>
  <c r="FJ73" i="2"/>
  <c r="FJ35" i="2"/>
  <c r="FJ126" i="2"/>
  <c r="FJ80" i="2"/>
  <c r="FJ122" i="2"/>
  <c r="FJ145" i="2"/>
  <c r="FJ18" i="2"/>
  <c r="FJ187" i="2"/>
  <c r="FJ55" i="2"/>
  <c r="FJ99" i="2"/>
  <c r="FJ181" i="2"/>
  <c r="FJ113" i="2"/>
  <c r="FJ37" i="2"/>
  <c r="FJ89" i="2"/>
  <c r="FJ10" i="2"/>
  <c r="FJ84" i="2"/>
  <c r="FJ61" i="2"/>
  <c r="FJ192" i="2"/>
  <c r="FJ193" i="2"/>
  <c r="FJ57" i="2"/>
  <c r="FJ143" i="2"/>
  <c r="FJ19" i="2"/>
  <c r="FJ17" i="2"/>
  <c r="FJ106" i="2"/>
  <c r="FJ182" i="2"/>
  <c r="FJ50" i="2"/>
  <c r="FJ190" i="2"/>
  <c r="FJ156" i="2"/>
  <c r="FE84" i="2"/>
  <c r="FF83" i="2"/>
  <c r="FG83" i="2" s="1"/>
  <c r="FH83" i="2" s="1"/>
  <c r="FI83" i="2" s="1"/>
  <c r="FJ148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36" i="2" l="1"/>
  <c r="FJ60" i="2"/>
  <c r="FJ96" i="2"/>
  <c r="FJ158" i="2"/>
  <c r="FJ77" i="2"/>
  <c r="FJ66" i="2"/>
  <c r="FJ202" i="2"/>
  <c r="FJ21" i="2"/>
  <c r="FJ14" i="2"/>
  <c r="FJ138" i="2"/>
  <c r="FJ168" i="2"/>
  <c r="FJ78" i="2"/>
  <c r="FJ195" i="2"/>
  <c r="FJ135" i="2"/>
  <c r="FJ24" i="2"/>
  <c r="FJ151" i="2"/>
  <c r="FJ152" i="2"/>
  <c r="FJ83" i="2"/>
  <c r="FJ62" i="2"/>
  <c r="FJ100" i="2"/>
  <c r="FJ178" i="2"/>
  <c r="FJ142" i="2"/>
  <c r="FJ4" i="2"/>
  <c r="FJ48" i="2"/>
  <c r="FJ153" i="2"/>
  <c r="FJ16" i="2"/>
  <c r="FJ64" i="2"/>
  <c r="FJ139" i="2"/>
  <c r="FJ74" i="2"/>
  <c r="FJ53" i="2"/>
  <c r="FJ3" i="2"/>
  <c r="C13" i="4" s="1"/>
  <c r="E13" i="4" s="1"/>
  <c r="F13" i="4" s="1"/>
  <c r="G13" i="4" s="1"/>
  <c r="L13" i="4" s="1"/>
  <c r="FJ176" i="2"/>
  <c r="FJ63" i="2"/>
  <c r="FJ34" i="2"/>
  <c r="FJ175" i="2"/>
  <c r="FJ164" i="2"/>
  <c r="FJ201" i="2"/>
  <c r="FJ91" i="2"/>
  <c r="FJ88" i="2"/>
  <c r="FJ144" i="2"/>
  <c r="FJ69" i="2"/>
  <c r="FJ82" i="2"/>
  <c r="FJ128" i="2"/>
  <c r="FJ189" i="2"/>
  <c r="FJ154" i="2"/>
  <c r="FJ67" i="2"/>
  <c r="FJ179" i="2"/>
  <c r="FJ7" i="2"/>
  <c r="FJ115" i="2"/>
  <c r="FJ101" i="2"/>
  <c r="FJ140" i="2"/>
  <c r="FJ146" i="2"/>
  <c r="FJ5" i="2"/>
  <c r="FJ47" i="2"/>
  <c r="FJ147" i="2"/>
  <c r="FJ185" i="2"/>
  <c r="FJ43" i="2"/>
  <c r="FJ172" i="2"/>
  <c r="FJ167" i="2"/>
  <c r="FJ150" i="2"/>
  <c r="FJ38" i="2"/>
  <c r="FJ133" i="2"/>
  <c r="FJ9" i="2"/>
  <c r="FJ12" i="2"/>
  <c r="FJ29" i="2"/>
  <c r="FJ197" i="2"/>
  <c r="FJ87" i="2"/>
  <c r="FJ130" i="2"/>
  <c r="FJ42" i="2"/>
  <c r="FJ13" i="2"/>
  <c r="FJ200" i="2"/>
  <c r="FJ137" i="2"/>
  <c r="FJ184" i="2"/>
  <c r="FJ110" i="2"/>
  <c r="FJ20" i="2"/>
  <c r="FJ114" i="2"/>
  <c r="FJ23" i="2"/>
  <c r="FJ173" i="2"/>
  <c r="FJ102" i="2"/>
  <c r="FJ199" i="2"/>
  <c r="FJ127" i="2"/>
  <c r="FJ188" i="2"/>
  <c r="FJ109" i="2"/>
  <c r="FJ162" i="2"/>
  <c r="FJ93" i="2"/>
  <c r="FJ85" i="2"/>
  <c r="FJ159" i="2"/>
  <c r="FJ8" i="2"/>
  <c r="FJ44" i="2"/>
  <c r="FJ22" i="2"/>
  <c r="FJ39" i="2"/>
  <c r="FJ177" i="2"/>
  <c r="FJ79" i="2"/>
  <c r="FJ25" i="2"/>
  <c r="FJ94" i="2"/>
  <c r="FJ49" i="2"/>
  <c r="FJ26" i="2"/>
  <c r="FJ70" i="2"/>
  <c r="FJ76" i="2"/>
  <c r="FJ191" i="2"/>
  <c r="FJ46" i="2"/>
  <c r="FJ119" i="2"/>
  <c r="FJ81" i="2"/>
  <c r="FJ196" i="2"/>
  <c r="FJ15" i="2"/>
  <c r="FJ28" i="2"/>
  <c r="FJ117" i="2"/>
  <c r="FJ92" i="2"/>
  <c r="FJ97" i="2"/>
  <c r="FJ104" i="2"/>
  <c r="FJ132" i="2"/>
  <c r="FJ112" i="2"/>
  <c r="FJ129" i="2"/>
  <c r="FJ186" i="2"/>
  <c r="FJ160" i="2"/>
  <c r="FJ75" i="2"/>
  <c r="FJ198" i="2"/>
  <c r="FJ171" i="2"/>
  <c r="FJ123" i="2"/>
  <c r="FJ32" i="2"/>
  <c r="FJ108" i="2"/>
  <c r="FJ71" i="2"/>
  <c r="FJ149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60" i="2" l="1"/>
  <c r="CD154" i="2"/>
  <c r="CD56" i="2"/>
  <c r="CD95" i="2"/>
  <c r="CD16" i="2"/>
  <c r="CD68" i="2"/>
  <c r="CD119" i="2"/>
  <c r="CD122" i="2"/>
  <c r="CD58" i="2"/>
  <c r="CD63" i="2"/>
  <c r="CD202" i="2"/>
  <c r="CD23" i="2"/>
  <c r="CD201" i="2"/>
  <c r="CD133" i="2"/>
  <c r="CD94" i="2"/>
  <c r="CD67" i="2"/>
  <c r="CD168" i="2"/>
  <c r="CD135" i="2"/>
  <c r="CD175" i="2"/>
  <c r="CD137" i="2"/>
  <c r="CD21" i="2"/>
  <c r="CD109" i="2"/>
  <c r="CD166" i="2"/>
  <c r="CD22" i="2"/>
  <c r="CD163" i="2"/>
  <c r="CD165" i="2"/>
  <c r="CD82" i="2"/>
  <c r="CD136" i="2"/>
  <c r="CD200" i="2"/>
  <c r="CD96" i="2"/>
  <c r="CD193" i="2"/>
  <c r="CD171" i="2"/>
  <c r="CD191" i="2"/>
  <c r="CD172" i="2"/>
  <c r="CD177" i="2"/>
  <c r="CD66" i="2"/>
  <c r="CD118" i="2"/>
  <c r="CD100" i="2"/>
  <c r="CD110" i="2"/>
  <c r="CD47" i="2"/>
  <c r="CD35" i="2"/>
  <c r="CD103" i="2"/>
  <c r="CD131" i="2"/>
  <c r="CD115" i="2"/>
  <c r="CD188" i="2"/>
  <c r="CD12" i="2"/>
  <c r="CD174" i="2"/>
  <c r="CD64" i="2"/>
  <c r="CD39" i="2"/>
  <c r="CD97" i="2"/>
  <c r="CD186" i="2"/>
  <c r="CD4" i="2"/>
  <c r="CD87" i="2"/>
  <c r="CD146" i="2"/>
  <c r="CD26" i="2"/>
  <c r="CD125" i="2"/>
  <c r="CD55" i="2"/>
  <c r="CD130" i="2"/>
  <c r="CD156" i="2"/>
  <c r="CD83" i="2"/>
  <c r="CD13" i="2"/>
  <c r="CD71" i="2"/>
  <c r="CD31" i="2"/>
  <c r="CD195" i="2"/>
  <c r="CD10" i="2"/>
  <c r="CD111" i="2"/>
  <c r="CD52" i="2"/>
  <c r="CD70" i="2"/>
  <c r="CD150" i="2"/>
  <c r="CD41" i="2"/>
  <c r="CD72" i="2"/>
  <c r="CD46" i="2"/>
  <c r="CD69" i="2"/>
  <c r="CD19" i="2"/>
  <c r="CD155" i="2"/>
  <c r="CD76" i="2"/>
  <c r="CD27" i="2"/>
  <c r="CD74" i="2"/>
  <c r="CD141" i="2"/>
  <c r="CD140" i="2"/>
  <c r="CD183" i="2"/>
  <c r="CD15" i="2"/>
  <c r="CD77" i="2"/>
  <c r="CD29" i="2"/>
  <c r="CD138" i="2"/>
  <c r="CD11" i="2"/>
  <c r="CD182" i="2"/>
  <c r="CD6" i="2"/>
  <c r="CD145" i="2"/>
  <c r="CD14" i="2"/>
  <c r="CD99" i="2"/>
  <c r="CD124" i="2"/>
  <c r="CD180" i="2"/>
  <c r="CD81" i="2"/>
  <c r="CD178" i="2"/>
  <c r="CD84" i="2"/>
  <c r="CD17" i="2"/>
  <c r="CD127" i="2"/>
  <c r="CD89" i="2"/>
  <c r="CD24" i="2"/>
  <c r="CD198" i="2"/>
  <c r="CD90" i="2"/>
  <c r="CD148" i="2"/>
  <c r="CD123" i="2"/>
  <c r="CD181" i="2"/>
  <c r="CD203" i="2"/>
  <c r="CD37" i="2"/>
  <c r="CD43" i="2"/>
  <c r="CD40" i="2"/>
  <c r="CD75" i="2"/>
  <c r="CD50" i="2"/>
  <c r="CD51" i="2"/>
  <c r="CD189" i="2"/>
  <c r="CD149" i="2"/>
  <c r="CD54" i="2"/>
  <c r="CD132" i="2"/>
  <c r="CD164" i="2"/>
  <c r="CD42" i="2"/>
  <c r="CD57" i="2"/>
  <c r="CD185" i="2"/>
  <c r="CD173" i="2"/>
  <c r="CD98" i="2"/>
  <c r="CD62" i="2"/>
  <c r="CD184" i="2"/>
  <c r="CD157" i="2"/>
  <c r="CD53" i="2"/>
  <c r="CD34" i="2"/>
  <c r="CD117" i="2"/>
  <c r="CD25" i="2"/>
  <c r="CD176" i="2"/>
  <c r="CD93" i="2"/>
  <c r="CD49" i="2"/>
  <c r="CD44" i="2"/>
  <c r="CD143" i="2"/>
  <c r="CD139" i="2"/>
  <c r="CD162" i="2"/>
  <c r="CD147" i="2"/>
  <c r="CD187" i="2"/>
  <c r="CD116" i="2"/>
  <c r="CD190" i="2"/>
  <c r="CD199" i="2"/>
  <c r="CD158" i="2"/>
  <c r="CD102" i="2"/>
  <c r="CD142" i="2"/>
  <c r="CD126" i="2"/>
  <c r="CD108" i="2"/>
  <c r="CD129" i="2"/>
  <c r="CD114" i="2"/>
  <c r="CD85" i="2"/>
  <c r="CD92" i="2"/>
  <c r="CD160" i="2"/>
  <c r="CD59" i="2"/>
  <c r="CD192" i="2"/>
  <c r="CD20" i="2"/>
  <c r="CD91" i="2"/>
  <c r="CD194" i="2"/>
  <c r="CD106" i="2"/>
  <c r="CD9" i="2"/>
  <c r="CD73" i="2"/>
  <c r="CD38" i="2"/>
  <c r="CD48" i="2"/>
  <c r="CD8" i="2"/>
  <c r="CD151" i="2"/>
  <c r="CD88" i="2"/>
  <c r="CD5" i="2"/>
  <c r="CD159" i="2"/>
  <c r="CD112" i="2"/>
  <c r="CD3" i="2"/>
  <c r="C9" i="4" s="1"/>
  <c r="E9" i="4" s="1"/>
  <c r="F9" i="4" s="1"/>
  <c r="G9" i="4" s="1"/>
  <c r="L9" i="4" s="1"/>
  <c r="CD80" i="2"/>
  <c r="CD152" i="2"/>
  <c r="CD33" i="2"/>
  <c r="CD134" i="2"/>
  <c r="CD179" i="2"/>
  <c r="CD78" i="2"/>
  <c r="CD28" i="2"/>
  <c r="CD196" i="2"/>
  <c r="CD79" i="2"/>
  <c r="CD45" i="2"/>
  <c r="CD36" i="2"/>
  <c r="CD170" i="2"/>
  <c r="CD7" i="2"/>
  <c r="CD113" i="2"/>
  <c r="CD169" i="2"/>
  <c r="CD86" i="2"/>
  <c r="CD128" i="2"/>
  <c r="CD104" i="2"/>
  <c r="CD121" i="2"/>
  <c r="CD107" i="2"/>
  <c r="CD161" i="2"/>
  <c r="CD153" i="2"/>
  <c r="CD101" i="2"/>
  <c r="CD120" i="2"/>
  <c r="CD18" i="2"/>
  <c r="CD144" i="2"/>
  <c r="CD65" i="2"/>
  <c r="CD167" i="2"/>
  <c r="CD61" i="2"/>
  <c r="CD32" i="2"/>
  <c r="CD105" i="2"/>
  <c r="CD30" i="2"/>
  <c r="CD197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<sst xmlns="http://schemas.openxmlformats.org/spreadsheetml/2006/main" count="1176" uniqueCount="325">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</sst>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1.9134944177750821</c:v>
                </c:pt>
                <c:pt idx="2">
                  <c:v>2.5193447938967153</c:v>
                </c:pt>
                <c:pt idx="3">
                  <c:v>3.3178119643651525</c:v>
                </c:pt>
                <c:pt idx="4">
                  <c:v>4.3703718770661864</c:v>
                </c:pt>
                <c:pt idx="5">
                  <c:v>5.7581922481965391</c:v>
                </c:pt>
                <c:pt idx="6">
                  <c:v>7.5884612822811972</c:v>
                </c:pt>
                <c:pt idx="7">
                  <c:v>10.002756634482845</c:v>
                </c:pt>
                <c:pt idx="8">
                  <c:v>13.188114194820793</c:v>
                </c:pt>
                <c:pt idx="9">
                  <c:v>17.391670050888376</c:v>
                </c:pt>
                <c:pt idx="10">
                  <c:v>22.940032210106224</c:v>
                </c:pt>
                <c:pt idx="11">
                  <c:v>30.264913942025682</c:v>
                </c:pt>
                <c:pt idx="12">
                  <c:v>39.937057916497047</c:v>
                </c:pt>
                <c:pt idx="13">
                  <c:v>52.711139427388581</c:v>
                </c:pt>
                <c:pt idx="14">
                  <c:v>69.585210645445571</c:v>
                </c:pt>
                <c:pt idx="15">
                  <c:v>91.879406000953239</c:v>
                </c:pt>
                <c:pt idx="16">
                  <c:v>121.34016427394583</c:v>
                </c:pt>
                <c:pt idx="17">
                  <c:v>160.27825891364779</c:v>
                </c:pt>
                <c:pt idx="18">
                  <c:v>211.75162792193737</c:v>
                </c:pt>
                <c:pt idx="19">
                  <c:v>279.80757515319931</c:v>
                </c:pt>
                <c:pt idx="20">
                  <c:v>369.80366387000657</c:v>
                </c:pt>
                <c:pt idx="21">
                  <c:v>356.45087943088532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469.87771773906974</c:v>
                </c:pt>
                <c:pt idx="25">
                  <c:v>507.5484747180808</c:v>
                </c:pt>
                <c:pt idx="26">
                  <c:v>475.56786051841215</c:v>
                </c:pt>
                <c:pt idx="27">
                  <c:v>514.64938862406336</c:v>
                </c:pt>
                <c:pt idx="28">
                  <c:v>553.66829141515609</c:v>
                </c:pt>
                <c:pt idx="29">
                  <c:v>592.62959437384325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2.1832588351718871</c:v>
                </c:pt>
                <c:pt idx="2">
                  <c:v>2.8151424126467504</c:v>
                </c:pt>
                <c:pt idx="3">
                  <c:v>3.6306435125259271</c:v>
                </c:pt>
                <c:pt idx="4">
                  <c:v>4.6833209032273171</c:v>
                </c:pt>
                <c:pt idx="5">
                  <c:v>6.0424108050733842</c:v>
                </c:pt>
                <c:pt idx="6">
                  <c:v>7.7974308907853205</c:v>
                </c:pt>
                <c:pt idx="7">
                  <c:v>10.064140401541296</c:v>
                </c:pt>
                <c:pt idx="8">
                  <c:v>12.992256920461166</c:v>
                </c:pt>
                <c:pt idx="9">
                  <c:v>16.775448944382362</c:v>
                </c:pt>
                <c:pt idx="10">
                  <c:v>21.664277189769351</c:v>
                </c:pt>
                <c:pt idx="11">
                  <c:v>31.806312236626585</c:v>
                </c:pt>
                <c:pt idx="12">
                  <c:v>43.329863343915491</c:v>
                </c:pt>
                <c:pt idx="13">
                  <c:v>54.770372387271664</c:v>
                </c:pt>
                <c:pt idx="14">
                  <c:v>66.147809420658987</c:v>
                </c:pt>
                <c:pt idx="15">
                  <c:v>77.474616883044959</c:v>
                </c:pt>
                <c:pt idx="16">
                  <c:v>90.492041210372676</c:v>
                </c:pt>
                <c:pt idx="17">
                  <c:v>110.65058636488233</c:v>
                </c:pt>
                <c:pt idx="18">
                  <c:v>130.71867792989391</c:v>
                </c:pt>
                <c:pt idx="19">
                  <c:v>150.71219948673746</c:v>
                </c:pt>
                <c:pt idx="20">
                  <c:v>170.6424524976421</c:v>
                </c:pt>
                <c:pt idx="21">
                  <c:v>169.22076873606747</c:v>
                </c:pt>
                <c:pt idx="22">
                  <c:v>184.84436712462625</c:v>
                </c:pt>
                <c:pt idx="23">
                  <c:v>200.43711831314488</c:v>
                </c:pt>
                <c:pt idx="24">
                  <c:v>216.00176068460652</c:v>
                </c:pt>
                <c:pt idx="25">
                  <c:v>231.54060536306486</c:v>
                </c:pt>
                <c:pt idx="26">
                  <c:v>211.75950715739978</c:v>
                </c:pt>
                <c:pt idx="27">
                  <c:v>225.89297020726829</c:v>
                </c:pt>
                <c:pt idx="28">
                  <c:v>240.00618343044377</c:v>
                </c:pt>
                <c:pt idx="29">
                  <c:v>254.10050561748861</c:v>
                </c:pt>
                <c:pt idx="30">
                  <c:v>268.17713242968813</c:v>
                </c:pt>
                <c:pt idx="31">
                  <c:v>245.08225003541099</c:v>
                </c:pt>
                <c:pt idx="32">
                  <c:v>258.60689820869146</c:v>
                </c:pt>
                <c:pt idx="33">
                  <c:v>272.11556422776465</c:v>
                </c:pt>
                <c:pt idx="34">
                  <c:v>285.60915345709321</c:v>
                </c:pt>
                <c:pt idx="35">
                  <c:v>299.08847869495401</c:v>
                </c:pt>
                <c:pt idx="36">
                  <c:v>272.11556422776465</c:v>
                </c:pt>
                <c:pt idx="37">
                  <c:v>284.48524314677445</c:v>
                </c:pt>
                <c:pt idx="38">
                  <c:v>296.842883014341</c:v>
                </c:pt>
                <c:pt idx="39">
                  <c:v>309.18905580466088</c:v>
                </c:pt>
                <c:pt idx="40">
                  <c:v>321.52428406625791</c:v>
                </c:pt>
                <c:pt idx="41">
                  <c:v>293.75456953309532</c:v>
                </c:pt>
                <c:pt idx="42">
                  <c:v>305.26193924769092</c:v>
                </c:pt>
                <c:pt idx="43">
                  <c:v>316.75966637275303</c:v>
                </c:pt>
                <c:pt idx="44">
                  <c:v>328.24815038016737</c:v>
                </c:pt>
                <c:pt idx="45">
                  <c:v>339.72776048524321</c:v>
                </c:pt>
                <c:pt idx="46">
                  <c:v>310.87176573267203</c:v>
                </c:pt>
                <c:pt idx="47">
                  <c:v>321.24405593004218</c:v>
                </c:pt>
                <c:pt idx="48">
                  <c:v>331.60893904924779</c:v>
                </c:pt>
                <c:pt idx="49">
                  <c:v>341.96667936306943</c:v>
                </c:pt>
                <c:pt idx="50">
                  <c:v>352.31752382065224</c:v>
                </c:pt>
                <c:pt idx="51">
                  <c:v>324.0460947549708</c:v>
                </c:pt>
                <c:pt idx="52">
                  <c:v>333.56905164618536</c:v>
                </c:pt>
                <c:pt idx="53">
                  <c:v>343.08601778170441</c:v>
                </c:pt>
                <c:pt idx="54">
                  <c:v>352.59718287003483</c:v>
                </c:pt>
                <c:pt idx="55">
                  <c:v>362.10272554390014</c:v>
                </c:pt>
                <c:pt idx="56">
                  <c:v>336.08882358493906</c:v>
                </c:pt>
                <c:pt idx="57">
                  <c:v>345.04466702323003</c:v>
                </c:pt>
                <c:pt idx="58">
                  <c:v>353.99540526070876</c:v>
                </c:pt>
                <c:pt idx="59">
                  <c:v>362.9411856670547</c:v>
                </c:pt>
                <c:pt idx="60">
                  <c:v>371.88214774985954</c:v>
                </c:pt>
                <c:pt idx="61">
                  <c:v>346.44355255688725</c:v>
                </c:pt>
                <c:pt idx="62">
                  <c:v>354.554660299337</c:v>
                </c:pt>
                <c:pt idx="63">
                  <c:v>362.66170366967111</c:v>
                </c:pt>
                <c:pt idx="64">
                  <c:v>370.76478640470532</c:v>
                </c:pt>
                <c:pt idx="65">
                  <c:v>378.86400733367782</c:v>
                </c:pt>
                <c:pt idx="66">
                  <c:v>355.67311242421277</c:v>
                </c:pt>
                <c:pt idx="67">
                  <c:v>363.2206629596339</c:v>
                </c:pt>
                <c:pt idx="68">
                  <c:v>370.76478640470532</c:v>
                </c:pt>
                <c:pt idx="69">
                  <c:v>378.30556238289756</c:v>
                </c:pt>
                <c:pt idx="70">
                  <c:v>385.8430670819634</c:v>
                </c:pt>
                <c:pt idx="71">
                  <c:v>363.2206629596339</c:v>
                </c:pt>
                <c:pt idx="72">
                  <c:v>369.9267171991865</c:v>
                </c:pt>
                <c:pt idx="73">
                  <c:v>376.63011972145614</c:v>
                </c:pt>
                <c:pt idx="74">
                  <c:v>383.3309244229302</c:v>
                </c:pt>
                <c:pt idx="75">
                  <c:v>390.02918316043593</c:v>
                </c:pt>
                <c:pt idx="76">
                  <c:v>369.92671719918661</c:v>
                </c:pt>
                <c:pt idx="77">
                  <c:v>376.35086351579042</c:v>
                </c:pt>
                <c:pt idx="78">
                  <c:v>382.77262197501403</c:v>
                </c:pt>
                <c:pt idx="79">
                  <c:v>389.19203832615466</c:v>
                </c:pt>
                <c:pt idx="80">
                  <c:v>395.60915668482608</c:v>
                </c:pt>
                <c:pt idx="81">
                  <c:v>376.35086351579042</c:v>
                </c:pt>
                <c:pt idx="82">
                  <c:v>382.2143018184168</c:v>
                </c:pt>
                <c:pt idx="83">
                  <c:v>388.07578438405881</c:v>
                </c:pt>
                <c:pt idx="84">
                  <c:v>393.93534494873728</c:v>
                </c:pt>
                <c:pt idx="85">
                  <c:v>399.79301616201786</c:v>
                </c:pt>
                <c:pt idx="86">
                  <c:v>382.77262197501403</c:v>
                </c:pt>
                <c:pt idx="87">
                  <c:v>388.07578438405881</c:v>
                </c:pt>
                <c:pt idx="88">
                  <c:v>393.3773734678868</c:v>
                </c:pt>
                <c:pt idx="89">
                  <c:v>398.67741344442743</c:v>
                </c:pt>
                <c:pt idx="90">
                  <c:v>403.97592783450415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1.9821021185947798</c:v>
                </c:pt>
                <c:pt idx="2">
                  <c:v>2.5333623403190613</c:v>
                </c:pt>
                <c:pt idx="3">
                  <c:v>3.2385539412033828</c:v>
                </c:pt>
                <c:pt idx="4">
                  <c:v>4.1408222331583096</c:v>
                </c:pt>
                <c:pt idx="5">
                  <c:v>5.2954482818911268</c:v>
                </c:pt>
                <c:pt idx="6">
                  <c:v>6.7732735447884798</c:v>
                </c:pt>
                <c:pt idx="7">
                  <c:v>8.6650938240996034</c:v>
                </c:pt>
                <c:pt idx="8">
                  <c:v>11.087297646119422</c:v>
                </c:pt>
                <c:pt idx="9">
                  <c:v>14.189102454180428</c:v>
                </c:pt>
                <c:pt idx="10">
                  <c:v>18.161842602961496</c:v>
                </c:pt>
                <c:pt idx="11">
                  <c:v>23.250892442724808</c:v>
                </c:pt>
                <c:pt idx="12">
                  <c:v>29.770973989542096</c:v>
                </c:pt>
                <c:pt idx="13">
                  <c:v>38.125812346074909</c:v>
                </c:pt>
                <c:pt idx="14">
                  <c:v>48.833376745518414</c:v>
                </c:pt>
                <c:pt idx="15">
                  <c:v>62.558298308792104</c:v>
                </c:pt>
                <c:pt idx="16">
                  <c:v>80.153509810179131</c:v>
                </c:pt>
                <c:pt idx="17">
                  <c:v>82.795684713351179</c:v>
                </c:pt>
                <c:pt idx="18">
                  <c:v>95.976042454744359</c:v>
                </c:pt>
                <c:pt idx="19">
                  <c:v>109.11127889310849</c:v>
                </c:pt>
                <c:pt idx="20">
                  <c:v>122.20760219903367</c:v>
                </c:pt>
                <c:pt idx="21">
                  <c:v>118.28248521778211</c:v>
                </c:pt>
                <c:pt idx="22">
                  <c:v>132.65988081821206</c:v>
                </c:pt>
                <c:pt idx="23">
                  <c:v>146.99966348541213</c:v>
                </c:pt>
                <c:pt idx="24">
                  <c:v>161.30602268756169</c:v>
                </c:pt>
                <c:pt idx="25">
                  <c:v>149.92856259907052</c:v>
                </c:pt>
                <c:pt idx="26">
                  <c:v>164.55317012699555</c:v>
                </c:pt>
                <c:pt idx="27">
                  <c:v>179.14706633212708</c:v>
                </c:pt>
                <c:pt idx="28">
                  <c:v>193.71310674706146</c:v>
                </c:pt>
                <c:pt idx="29">
                  <c:v>179.0390690118401</c:v>
                </c:pt>
                <c:pt idx="30">
                  <c:v>194.14429388357817</c:v>
                </c:pt>
                <c:pt idx="31">
                  <c:v>209.22219955438302</c:v>
                </c:pt>
                <c:pt idx="32">
                  <c:v>224.27503265620331</c:v>
                </c:pt>
                <c:pt idx="33">
                  <c:v>239.30471336312061</c:v>
                </c:pt>
                <c:pt idx="34">
                  <c:v>254.31290079767018</c:v>
                </c:pt>
                <c:pt idx="35">
                  <c:v>218.25677877090325</c:v>
                </c:pt>
                <c:pt idx="36">
                  <c:v>231.14851118928985</c:v>
                </c:pt>
                <c:pt idx="37">
                  <c:v>244.02381613322609</c:v>
                </c:pt>
                <c:pt idx="38">
                  <c:v>256.88368281077408</c:v>
                </c:pt>
                <c:pt idx="39">
                  <c:v>269.728993242081</c:v>
                </c:pt>
                <c:pt idx="40">
                  <c:v>282.5605385349478</c:v>
                </c:pt>
                <c:pt idx="41">
                  <c:v>252.17013304454611</c:v>
                </c:pt>
                <c:pt idx="42">
                  <c:v>261.59527644833923</c:v>
                </c:pt>
                <c:pt idx="43">
                  <c:v>271.01275486164383</c:v>
                </c:pt>
                <c:pt idx="44">
                  <c:v>280.42287240988907</c:v>
                </c:pt>
                <c:pt idx="45">
                  <c:v>289.82591112395897</c:v>
                </c:pt>
                <c:pt idx="46">
                  <c:v>299.2221332257389</c:v>
                </c:pt>
                <c:pt idx="47">
                  <c:v>276.3068331591748</c:v>
                </c:pt>
                <c:pt idx="48">
                  <c:v>282.88115712017401</c:v>
                </c:pt>
                <c:pt idx="49">
                  <c:v>289.45205847098617</c:v>
                </c:pt>
                <c:pt idx="50">
                  <c:v>296.01962596813172</c:v>
                </c:pt>
                <c:pt idx="51">
                  <c:v>302.58394410348018</c:v>
                </c:pt>
                <c:pt idx="52">
                  <c:v>309.14509339930686</c:v>
                </c:pt>
                <c:pt idx="53">
                  <c:v>315.70315067697044</c:v>
                </c:pt>
                <c:pt idx="54">
                  <c:v>322.25818930207646</c:v>
                </c:pt>
                <c:pt idx="55">
                  <c:v>296.82032489091381</c:v>
                </c:pt>
                <c:pt idx="56">
                  <c:v>299.54234179499872</c:v>
                </c:pt>
                <c:pt idx="57">
                  <c:v>302.26380761935292</c:v>
                </c:pt>
                <c:pt idx="58">
                  <c:v>304.98472803598753</c:v>
                </c:pt>
                <c:pt idx="59">
                  <c:v>307.70510860725182</c:v>
                </c:pt>
                <c:pt idx="60">
                  <c:v>310.4249547889259</c:v>
                </c:pt>
                <c:pt idx="61">
                  <c:v>313.1442719332012</c:v>
                </c:pt>
                <c:pt idx="62">
                  <c:v>315.8630652915503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1.85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0.1</v>
      </c>
      <c r="D9" s="33">
        <f t="shared" ref="D9:D18" si="0">C9*$C$5</f>
        <v>0.18500000000000003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18</v>
      </c>
      <c r="C10" s="32">
        <v>0.15</v>
      </c>
      <c r="D10" s="33">
        <f t="shared" si="0"/>
        <v>0.27750000000000002</v>
      </c>
      <c r="E10" s="34">
        <v>65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14</v>
      </c>
      <c r="C11" s="32">
        <v>0.33</v>
      </c>
      <c r="D11" s="33">
        <f t="shared" si="0"/>
        <v>0.61050000000000004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23</v>
      </c>
      <c r="C13" s="32">
        <v>0.3</v>
      </c>
      <c r="D13" s="33">
        <f t="shared" si="0"/>
        <v>0.55500000000000005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4</v>
      </c>
      <c r="C14" s="32">
        <v>0.02</v>
      </c>
      <c r="D14" s="33">
        <f t="shared" si="0"/>
        <v>3.7000000000000005E-2</v>
      </c>
      <c r="E14" s="34">
        <v>90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36</v>
      </c>
      <c r="C15" s="32">
        <v>0.1</v>
      </c>
      <c r="D15" s="33">
        <f t="shared" si="0"/>
        <v>0.18500000000000003</v>
      </c>
      <c r="E15" s="34">
        <v>62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1.0000000000000002</v>
      </c>
      <c r="D19" s="38">
        <f>SUM(D9:D18)</f>
        <v>1.85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158</v>
      </c>
      <c r="C36" s="60">
        <v>1</v>
      </c>
      <c r="D36" s="60">
        <v>39.5</v>
      </c>
      <c r="E36" s="51">
        <v>0.2</v>
      </c>
      <c r="F36" s="51">
        <v>0.2</v>
      </c>
      <c r="G36" s="51">
        <v>0.6</v>
      </c>
      <c r="H36" s="51"/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210.5</v>
      </c>
      <c r="C37" s="60">
        <v>2</v>
      </c>
      <c r="D37" s="60">
        <v>67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243.5</v>
      </c>
      <c r="C38" s="60">
        <v>3</v>
      </c>
      <c r="D38" s="60">
        <v>70</v>
      </c>
      <c r="E38" s="51"/>
      <c r="F38" s="51"/>
      <c r="G38" s="51"/>
      <c r="H38" s="51"/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288.5</v>
      </c>
      <c r="C39" s="60">
        <v>4</v>
      </c>
      <c r="D39" s="60">
        <v>75</v>
      </c>
      <c r="E39" s="51"/>
      <c r="F39" s="51"/>
      <c r="G39" s="51"/>
      <c r="H39" s="51"/>
      <c r="I39" s="49">
        <f t="shared" si="1"/>
        <v>11.5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348.5</v>
      </c>
      <c r="C40" s="60">
        <v>5</v>
      </c>
      <c r="D40" s="60">
        <v>80</v>
      </c>
      <c r="E40" s="51"/>
      <c r="F40" s="51"/>
      <c r="G40" s="51"/>
      <c r="H40" s="51"/>
      <c r="I40" s="49">
        <f t="shared" si="1"/>
        <v>13.5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423.5</v>
      </c>
      <c r="C41" s="60">
        <v>6</v>
      </c>
      <c r="D41" s="60">
        <v>87</v>
      </c>
      <c r="E41" s="51"/>
      <c r="F41" s="51"/>
      <c r="G41" s="51"/>
      <c r="H41" s="51"/>
      <c r="I41" s="53">
        <f t="shared" si="1"/>
        <v>15.5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506.5</v>
      </c>
      <c r="C42" s="60">
        <v>7</v>
      </c>
      <c r="D42" s="60">
        <v>93</v>
      </c>
      <c r="E42" s="51"/>
      <c r="F42" s="51"/>
      <c r="G42" s="51"/>
      <c r="H42" s="51"/>
      <c r="I42" s="53">
        <f t="shared" si="1"/>
        <v>17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588.5</v>
      </c>
      <c r="C43" s="60">
        <v>8</v>
      </c>
      <c r="D43" s="60">
        <v>98</v>
      </c>
      <c r="E43" s="51"/>
      <c r="F43" s="51"/>
      <c r="G43" s="51"/>
      <c r="H43" s="51"/>
      <c r="I43" s="49">
        <f t="shared" si="1"/>
        <v>17.5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675.5</v>
      </c>
      <c r="C44" s="60">
        <v>9</v>
      </c>
      <c r="D44" s="60">
        <v>675.5</v>
      </c>
      <c r="E44" s="51"/>
      <c r="F44" s="51"/>
      <c r="G44" s="51"/>
      <c r="H44" s="51"/>
      <c r="I44" s="49">
        <f t="shared" si="1"/>
        <v>18.5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303</v>
      </c>
      <c r="C62" s="60">
        <v>1</v>
      </c>
      <c r="D62" s="60">
        <v>43</v>
      </c>
      <c r="E62" s="51"/>
      <c r="F62" s="51">
        <v>0.6</v>
      </c>
      <c r="G62" s="51">
        <v>0.4</v>
      </c>
      <c r="H62" s="51"/>
      <c r="I62" s="53">
        <f>IFERROR(B62/A62,"")</f>
        <v>15.15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419</v>
      </c>
      <c r="C63" s="60">
        <v>2</v>
      </c>
      <c r="D63" s="60">
        <v>60</v>
      </c>
      <c r="E63" s="51"/>
      <c r="F63" s="51">
        <v>0.6</v>
      </c>
      <c r="G63" s="51">
        <v>0.4</v>
      </c>
      <c r="H63" s="51"/>
      <c r="I63" s="49">
        <f>IF(A63&lt;&gt;0,(B63-(B62-D62))/(A63-A62),"")</f>
        <v>31.8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524</v>
      </c>
      <c r="C64" s="60">
        <v>3</v>
      </c>
      <c r="D64" s="60">
        <v>90</v>
      </c>
      <c r="E64" s="51">
        <v>0.2</v>
      </c>
      <c r="F64" s="51">
        <v>0.6</v>
      </c>
      <c r="G64" s="51">
        <v>0.2</v>
      </c>
      <c r="H64" s="51"/>
      <c r="I64" s="49">
        <f>IF(A64&lt;&gt;0,(B64-(B63-D63))/(A64-A63),"")</f>
        <v>33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576</v>
      </c>
      <c r="C65" s="60">
        <v>4</v>
      </c>
      <c r="D65" s="60">
        <v>72</v>
      </c>
      <c r="E65" s="51"/>
      <c r="F65" s="51"/>
      <c r="G65" s="51"/>
      <c r="H65" s="51"/>
      <c r="I65" s="49">
        <f>IF(A65&lt;&gt;0,(B65-(B64-D64))/(A65-A64),"")</f>
        <v>28.4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639</v>
      </c>
      <c r="C66" s="60">
        <v>5</v>
      </c>
      <c r="D66" s="60">
        <v>77</v>
      </c>
      <c r="E66" s="51"/>
      <c r="F66" s="51"/>
      <c r="G66" s="51"/>
      <c r="H66" s="51"/>
      <c r="I66" s="49">
        <f t="shared" ref="I66:I81" si="2">IF(A66&lt;&gt;0,(B66-(B65-D65))/(A66-A65),"")</f>
        <v>27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686</v>
      </c>
      <c r="C67" s="60">
        <v>6</v>
      </c>
      <c r="D67" s="60">
        <v>64</v>
      </c>
      <c r="E67" s="51"/>
      <c r="F67" s="51"/>
      <c r="G67" s="51"/>
      <c r="H67" s="51"/>
      <c r="I67" s="49">
        <f t="shared" si="2"/>
        <v>24.8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724</v>
      </c>
      <c r="C68" s="60">
        <v>7</v>
      </c>
      <c r="D68" s="60">
        <v>62</v>
      </c>
      <c r="E68" s="51"/>
      <c r="F68" s="51"/>
      <c r="G68" s="51"/>
      <c r="H68" s="51"/>
      <c r="I68" s="49">
        <f t="shared" si="2"/>
        <v>20.399999999999999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50">
        <v>739</v>
      </c>
      <c r="C69" s="50">
        <v>8</v>
      </c>
      <c r="D69" s="50">
        <v>46</v>
      </c>
      <c r="E69" s="51"/>
      <c r="F69" s="51"/>
      <c r="G69" s="51"/>
      <c r="H69" s="51"/>
      <c r="I69" s="49">
        <f t="shared" si="2"/>
        <v>15.4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50">
        <v>754</v>
      </c>
      <c r="C70" s="50">
        <v>9</v>
      </c>
      <c r="D70" s="50">
        <v>35</v>
      </c>
      <c r="E70" s="51"/>
      <c r="F70" s="51"/>
      <c r="G70" s="51"/>
      <c r="H70" s="51"/>
      <c r="I70" s="49">
        <f t="shared" si="2"/>
        <v>12.2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65</v>
      </c>
      <c r="B71" s="50">
        <v>769</v>
      </c>
      <c r="C71" s="50">
        <v>10</v>
      </c>
      <c r="D71" s="50">
        <v>769</v>
      </c>
      <c r="E71" s="51"/>
      <c r="F71" s="51"/>
      <c r="G71" s="51"/>
      <c r="H71" s="51"/>
      <c r="I71" s="49">
        <f t="shared" si="2"/>
        <v>10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73</v>
      </c>
      <c r="C88" s="60">
        <v>1</v>
      </c>
      <c r="D88" s="60">
        <v>6</v>
      </c>
      <c r="E88" s="51">
        <v>0.2</v>
      </c>
      <c r="F88" s="51">
        <v>0.2</v>
      </c>
      <c r="G88" s="51">
        <v>0.6</v>
      </c>
      <c r="H88" s="87"/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103</v>
      </c>
      <c r="C89" s="60">
        <v>2</v>
      </c>
      <c r="D89" s="60">
        <v>28</v>
      </c>
      <c r="E89" s="51">
        <v>0.3</v>
      </c>
      <c r="F89" s="51">
        <v>0.4</v>
      </c>
      <c r="G89" s="51">
        <v>0.3</v>
      </c>
      <c r="H89" s="87"/>
      <c r="I89" s="53">
        <f t="shared" ref="I89:I107" si="3">IF(A89&lt;&gt;0,(B89-(B88-D88))/(A89-A88),"")</f>
        <v>7.2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121</v>
      </c>
      <c r="C90" s="60">
        <v>3</v>
      </c>
      <c r="D90" s="60">
        <v>28</v>
      </c>
      <c r="E90" s="87">
        <v>0.3</v>
      </c>
      <c r="F90" s="87">
        <v>0.4</v>
      </c>
      <c r="G90" s="87">
        <v>0.3</v>
      </c>
      <c r="H90" s="87"/>
      <c r="I90" s="53">
        <f t="shared" si="3"/>
        <v>9.1999999999999993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147</v>
      </c>
      <c r="C91" s="60">
        <v>4</v>
      </c>
      <c r="D91" s="60">
        <v>28</v>
      </c>
      <c r="E91" s="87"/>
      <c r="F91" s="87"/>
      <c r="G91" s="87"/>
      <c r="H91" s="87"/>
      <c r="I91" s="53">
        <f t="shared" si="3"/>
        <v>10.8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v>175</v>
      </c>
      <c r="C92" s="60">
        <v>5</v>
      </c>
      <c r="D92" s="60">
        <v>28</v>
      </c>
      <c r="E92" s="87"/>
      <c r="F92" s="87"/>
      <c r="G92" s="87"/>
      <c r="H92" s="87"/>
      <c r="I92" s="53">
        <f t="shared" si="3"/>
        <v>11.2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v>204</v>
      </c>
      <c r="C93" s="60">
        <v>6</v>
      </c>
      <c r="D93" s="60">
        <v>28</v>
      </c>
      <c r="E93" s="87"/>
      <c r="F93" s="87"/>
      <c r="G93" s="87"/>
      <c r="H93" s="87"/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50</v>
      </c>
      <c r="B94" s="60">
        <v>231</v>
      </c>
      <c r="C94" s="60">
        <v>7</v>
      </c>
      <c r="D94" s="60">
        <v>28</v>
      </c>
      <c r="E94" s="87"/>
      <c r="F94" s="87"/>
      <c r="G94" s="87"/>
      <c r="H94" s="87"/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55</v>
      </c>
      <c r="B95" s="60">
        <v>254</v>
      </c>
      <c r="C95" s="60">
        <v>8</v>
      </c>
      <c r="D95" s="60">
        <v>28</v>
      </c>
      <c r="E95" s="87"/>
      <c r="F95" s="87"/>
      <c r="G95" s="87"/>
      <c r="H95" s="87"/>
      <c r="I95" s="53">
        <f t="shared" si="3"/>
        <v>10.199999999999999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60</v>
      </c>
      <c r="B96" s="60">
        <v>273</v>
      </c>
      <c r="C96" s="60">
        <v>9</v>
      </c>
      <c r="D96" s="60">
        <v>28</v>
      </c>
      <c r="E96" s="87"/>
      <c r="F96" s="87"/>
      <c r="G96" s="87"/>
      <c r="H96" s="87"/>
      <c r="I96" s="53">
        <f t="shared" si="3"/>
        <v>9.4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65</v>
      </c>
      <c r="B97" s="60">
        <v>289</v>
      </c>
      <c r="C97" s="60">
        <v>10</v>
      </c>
      <c r="D97" s="60">
        <v>28</v>
      </c>
      <c r="E97" s="87"/>
      <c r="F97" s="87"/>
      <c r="G97" s="87"/>
      <c r="H97" s="87"/>
      <c r="I97" s="53">
        <f t="shared" si="3"/>
        <v>8.8000000000000007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70</v>
      </c>
      <c r="B98" s="60">
        <v>302</v>
      </c>
      <c r="C98" s="60">
        <v>11</v>
      </c>
      <c r="D98" s="60">
        <v>28</v>
      </c>
      <c r="E98" s="87"/>
      <c r="F98" s="87"/>
      <c r="G98" s="87"/>
      <c r="H98" s="87"/>
      <c r="I98" s="53">
        <f t="shared" si="3"/>
        <v>8.1999999999999993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75</v>
      </c>
      <c r="B99" s="60">
        <v>312</v>
      </c>
      <c r="C99" s="60">
        <v>12</v>
      </c>
      <c r="D99" s="60">
        <v>28</v>
      </c>
      <c r="E99" s="87"/>
      <c r="F99" s="87"/>
      <c r="G99" s="87"/>
      <c r="H99" s="87"/>
      <c r="I99" s="53">
        <f t="shared" si="3"/>
        <v>7.6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80</v>
      </c>
      <c r="B100" s="60">
        <v>320</v>
      </c>
      <c r="C100" s="60">
        <v>13</v>
      </c>
      <c r="D100" s="60">
        <v>28</v>
      </c>
      <c r="E100" s="65"/>
      <c r="F100" s="65"/>
      <c r="G100" s="65"/>
      <c r="H100" s="65"/>
      <c r="I100" s="53">
        <f t="shared" si="3"/>
        <v>7.2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85</v>
      </c>
      <c r="B101" s="60">
        <v>326</v>
      </c>
      <c r="C101" s="60">
        <v>14</v>
      </c>
      <c r="D101" s="60">
        <v>28</v>
      </c>
      <c r="E101" s="65"/>
      <c r="F101" s="65"/>
      <c r="G101" s="65"/>
      <c r="H101" s="65"/>
      <c r="I101" s="53">
        <f t="shared" si="3"/>
        <v>6.8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90</v>
      </c>
      <c r="B102" s="50">
        <v>330</v>
      </c>
      <c r="C102" s="60">
        <v>15</v>
      </c>
      <c r="D102" s="50">
        <v>28</v>
      </c>
      <c r="E102" s="54"/>
      <c r="F102" s="54"/>
      <c r="G102" s="54"/>
      <c r="H102" s="54"/>
      <c r="I102" s="53">
        <f t="shared" si="3"/>
        <v>6.4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95</v>
      </c>
      <c r="B103" s="50">
        <v>333</v>
      </c>
      <c r="C103" s="60">
        <v>16</v>
      </c>
      <c r="D103" s="50">
        <v>28</v>
      </c>
      <c r="E103" s="54"/>
      <c r="F103" s="54"/>
      <c r="G103" s="54"/>
      <c r="H103" s="54"/>
      <c r="I103" s="53">
        <f t="shared" si="3"/>
        <v>6.2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100</v>
      </c>
      <c r="B104" s="50">
        <v>333</v>
      </c>
      <c r="C104" s="60">
        <v>17</v>
      </c>
      <c r="D104" s="50">
        <v>333</v>
      </c>
      <c r="E104" s="54"/>
      <c r="F104" s="54"/>
      <c r="G104" s="54"/>
      <c r="H104" s="54"/>
      <c r="I104" s="53">
        <f t="shared" si="3"/>
        <v>5.6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Erable sycomore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37</v>
      </c>
      <c r="C140" s="50">
        <v>1</v>
      </c>
      <c r="D140" s="60">
        <v>15</v>
      </c>
      <c r="E140" s="51"/>
      <c r="F140" s="51">
        <v>0.3</v>
      </c>
      <c r="G140" s="51">
        <v>0.7</v>
      </c>
      <c r="H140" s="51"/>
      <c r="I140" s="57">
        <f>IFERROR(B140/A140,"")</f>
        <v>2.4666666666666668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80</v>
      </c>
      <c r="C141" s="50">
        <v>2</v>
      </c>
      <c r="D141" s="60">
        <v>28</v>
      </c>
      <c r="E141" s="51">
        <v>0.2</v>
      </c>
      <c r="F141" s="51">
        <v>0.2</v>
      </c>
      <c r="G141" s="51">
        <v>0.6</v>
      </c>
      <c r="H141" s="51"/>
      <c r="I141" s="57">
        <f t="shared" ref="I141:I159" si="5">IF(A141&lt;&gt;0,(B141-(B140-D140))/(A141-A140),"")</f>
        <v>11.6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115</v>
      </c>
      <c r="C142" s="50">
        <v>3</v>
      </c>
      <c r="D142" s="60">
        <v>28</v>
      </c>
      <c r="E142" s="51">
        <v>0.2</v>
      </c>
      <c r="F142" s="51">
        <v>0.2</v>
      </c>
      <c r="G142" s="51">
        <v>0.6</v>
      </c>
      <c r="H142" s="51"/>
      <c r="I142" s="57">
        <f t="shared" si="5"/>
        <v>12.6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146</v>
      </c>
      <c r="C143" s="50">
        <v>4</v>
      </c>
      <c r="D143" s="60">
        <v>28</v>
      </c>
      <c r="E143" s="51">
        <v>0.3</v>
      </c>
      <c r="F143" s="51">
        <v>0.4</v>
      </c>
      <c r="G143" s="51">
        <v>0.3</v>
      </c>
      <c r="H143" s="51"/>
      <c r="I143" s="57">
        <f t="shared" si="5"/>
        <v>11.8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172</v>
      </c>
      <c r="C144" s="50">
        <v>5</v>
      </c>
      <c r="D144" s="60">
        <v>28</v>
      </c>
      <c r="E144" s="51"/>
      <c r="F144" s="51"/>
      <c r="G144" s="51"/>
      <c r="H144" s="51"/>
      <c r="I144" s="57">
        <f t="shared" si="5"/>
        <v>10.8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192</v>
      </c>
      <c r="C145" s="50">
        <v>6</v>
      </c>
      <c r="D145" s="60">
        <v>28</v>
      </c>
      <c r="E145" s="51"/>
      <c r="F145" s="51"/>
      <c r="G145" s="51"/>
      <c r="H145" s="51"/>
      <c r="I145" s="57">
        <f t="shared" si="5"/>
        <v>9.6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205</v>
      </c>
      <c r="C146" s="50">
        <v>7</v>
      </c>
      <c r="D146" s="60">
        <v>22</v>
      </c>
      <c r="E146" s="51"/>
      <c r="F146" s="51"/>
      <c r="G146" s="51"/>
      <c r="H146" s="51"/>
      <c r="I146" s="57">
        <f t="shared" si="5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60">
        <v>219</v>
      </c>
      <c r="C147" s="50">
        <v>8</v>
      </c>
      <c r="D147" s="60">
        <v>17</v>
      </c>
      <c r="E147" s="51"/>
      <c r="F147" s="51"/>
      <c r="G147" s="51"/>
      <c r="H147" s="51"/>
      <c r="I147" s="57">
        <f>IF(A147&lt;&gt;0,(B147-(B146-D146))/(A147-A146),"")</f>
        <v>7.2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60">
        <v>232</v>
      </c>
      <c r="C148" s="50">
        <v>9</v>
      </c>
      <c r="D148" s="60">
        <v>13</v>
      </c>
      <c r="E148" s="51"/>
      <c r="F148" s="51"/>
      <c r="G148" s="51"/>
      <c r="H148" s="51"/>
      <c r="I148" s="57">
        <f t="shared" si="5"/>
        <v>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60">
        <v>245</v>
      </c>
      <c r="C149" s="50">
        <v>10</v>
      </c>
      <c r="D149" s="60">
        <v>12</v>
      </c>
      <c r="E149" s="51"/>
      <c r="F149" s="51"/>
      <c r="G149" s="51"/>
      <c r="H149" s="51"/>
      <c r="I149" s="57">
        <f t="shared" si="5"/>
        <v>5.2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65</v>
      </c>
      <c r="B150" s="60">
        <v>255</v>
      </c>
      <c r="C150" s="50">
        <v>11</v>
      </c>
      <c r="D150" s="60">
        <v>11</v>
      </c>
      <c r="E150" s="51"/>
      <c r="F150" s="51"/>
      <c r="G150" s="51"/>
      <c r="H150" s="51"/>
      <c r="I150" s="57">
        <f t="shared" si="5"/>
        <v>4.4000000000000004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70</v>
      </c>
      <c r="B151" s="60">
        <v>263</v>
      </c>
      <c r="C151" s="50">
        <v>12</v>
      </c>
      <c r="D151" s="60">
        <v>10</v>
      </c>
      <c r="E151" s="51"/>
      <c r="F151" s="51"/>
      <c r="G151" s="51"/>
      <c r="H151" s="51"/>
      <c r="I151" s="57">
        <f t="shared" si="5"/>
        <v>3.8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75</v>
      </c>
      <c r="B152" s="60">
        <v>270</v>
      </c>
      <c r="C152" s="50">
        <v>13</v>
      </c>
      <c r="D152" s="60">
        <v>9</v>
      </c>
      <c r="E152" s="54"/>
      <c r="F152" s="54"/>
      <c r="G152" s="54"/>
      <c r="H152" s="54"/>
      <c r="I152" s="57">
        <f t="shared" si="5"/>
        <v>3.4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80</v>
      </c>
      <c r="B153" s="60">
        <v>275</v>
      </c>
      <c r="C153" s="50" t="s">
        <v>324</v>
      </c>
      <c r="D153" s="60">
        <v>275</v>
      </c>
      <c r="E153" s="54"/>
      <c r="F153" s="54"/>
      <c r="G153" s="54"/>
      <c r="H153" s="54"/>
      <c r="I153" s="57">
        <f t="shared" si="5"/>
        <v>2.8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Aulne glutineux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14</v>
      </c>
      <c r="C166" s="60">
        <v>1</v>
      </c>
      <c r="D166" s="60">
        <v>1</v>
      </c>
      <c r="E166" s="51"/>
      <c r="F166" s="51"/>
      <c r="G166" s="51"/>
      <c r="H166" s="51">
        <v>1</v>
      </c>
      <c r="I166" s="49">
        <f>IFERROR(B166/A166,"")</f>
        <v>1.4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52</v>
      </c>
      <c r="C167" s="60">
        <v>2</v>
      </c>
      <c r="D167" s="60">
        <v>5</v>
      </c>
      <c r="E167" s="51"/>
      <c r="F167" s="51">
        <v>0.2</v>
      </c>
      <c r="G167" s="51">
        <v>0.4</v>
      </c>
      <c r="H167" s="51">
        <v>0.2</v>
      </c>
      <c r="I167" s="49">
        <f t="shared" ref="I167:I185" si="6">IF(A167&lt;&gt;0,(B167-(B166-D166))/(A167-A166),"")</f>
        <v>7.8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20</v>
      </c>
      <c r="B168" s="60">
        <v>117</v>
      </c>
      <c r="C168" s="60">
        <v>3</v>
      </c>
      <c r="D168" s="60">
        <v>12</v>
      </c>
      <c r="E168" s="51"/>
      <c r="F168" s="51">
        <v>0.4</v>
      </c>
      <c r="G168" s="51">
        <v>0.6</v>
      </c>
      <c r="H168" s="51"/>
      <c r="I168" s="49">
        <f t="shared" si="6"/>
        <v>14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25</v>
      </c>
      <c r="B169" s="60">
        <v>160</v>
      </c>
      <c r="C169" s="60">
        <v>4</v>
      </c>
      <c r="D169" s="60">
        <v>24</v>
      </c>
      <c r="E169" s="51">
        <v>0.3</v>
      </c>
      <c r="F169" s="51">
        <v>0.4</v>
      </c>
      <c r="G169" s="51">
        <v>0.3</v>
      </c>
      <c r="H169" s="51"/>
      <c r="I169" s="49">
        <f t="shared" si="6"/>
        <v>11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30</v>
      </c>
      <c r="B170" s="60">
        <v>186</v>
      </c>
      <c r="C170" s="60">
        <v>5</v>
      </c>
      <c r="D170" s="60">
        <v>26</v>
      </c>
      <c r="E170" s="51">
        <v>0.3</v>
      </c>
      <c r="F170" s="51">
        <v>0.4</v>
      </c>
      <c r="G170" s="51">
        <v>0.3</v>
      </c>
      <c r="H170" s="51"/>
      <c r="I170" s="49">
        <f t="shared" si="6"/>
        <v>10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208</v>
      </c>
      <c r="C171" s="60">
        <v>6</v>
      </c>
      <c r="D171" s="60">
        <v>28</v>
      </c>
      <c r="E171" s="51"/>
      <c r="F171" s="51"/>
      <c r="G171" s="51"/>
      <c r="H171" s="51"/>
      <c r="I171" s="49">
        <f t="shared" si="6"/>
        <v>9.6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224</v>
      </c>
      <c r="C172" s="60">
        <v>7</v>
      </c>
      <c r="D172" s="60">
        <v>28</v>
      </c>
      <c r="E172" s="51"/>
      <c r="F172" s="51"/>
      <c r="G172" s="51"/>
      <c r="H172" s="51"/>
      <c r="I172" s="49">
        <f t="shared" si="6"/>
        <v>8.8000000000000007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237</v>
      </c>
      <c r="C173" s="50">
        <v>8</v>
      </c>
      <c r="D173" s="50">
        <v>28</v>
      </c>
      <c r="E173" s="51"/>
      <c r="F173" s="51"/>
      <c r="G173" s="51"/>
      <c r="H173" s="51"/>
      <c r="I173" s="49">
        <f t="shared" si="6"/>
        <v>8.1999999999999993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246</v>
      </c>
      <c r="C174" s="50">
        <v>9</v>
      </c>
      <c r="D174" s="50">
        <v>27</v>
      </c>
      <c r="E174" s="51"/>
      <c r="F174" s="51"/>
      <c r="G174" s="51"/>
      <c r="H174" s="51"/>
      <c r="I174" s="49">
        <f t="shared" si="6"/>
        <v>7.4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55</v>
      </c>
      <c r="B175" s="50">
        <v>253</v>
      </c>
      <c r="C175" s="50">
        <v>10</v>
      </c>
      <c r="D175" s="50">
        <v>25</v>
      </c>
      <c r="E175" s="51"/>
      <c r="F175" s="51"/>
      <c r="G175" s="51"/>
      <c r="H175" s="51"/>
      <c r="I175" s="49">
        <f t="shared" si="6"/>
        <v>6.8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60</v>
      </c>
      <c r="B176" s="50">
        <v>260</v>
      </c>
      <c r="C176" s="50">
        <v>11</v>
      </c>
      <c r="D176" s="50">
        <v>24</v>
      </c>
      <c r="E176" s="51"/>
      <c r="F176" s="51"/>
      <c r="G176" s="51"/>
      <c r="H176" s="51"/>
      <c r="I176" s="49">
        <f t="shared" si="6"/>
        <v>6.4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65</v>
      </c>
      <c r="B177" s="50">
        <v>265</v>
      </c>
      <c r="C177" s="50">
        <v>12</v>
      </c>
      <c r="D177" s="50">
        <v>22</v>
      </c>
      <c r="E177" s="51"/>
      <c r="F177" s="51"/>
      <c r="G177" s="51"/>
      <c r="H177" s="51"/>
      <c r="I177" s="49">
        <f t="shared" si="6"/>
        <v>5.8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70</v>
      </c>
      <c r="B178" s="50">
        <v>270</v>
      </c>
      <c r="C178" s="50">
        <v>13</v>
      </c>
      <c r="D178" s="50">
        <v>21</v>
      </c>
      <c r="E178" s="51"/>
      <c r="F178" s="51"/>
      <c r="G178" s="51"/>
      <c r="H178" s="51"/>
      <c r="I178" s="49">
        <f t="shared" si="6"/>
        <v>5.4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75</v>
      </c>
      <c r="B179" s="50">
        <v>273</v>
      </c>
      <c r="C179" s="50">
        <v>14</v>
      </c>
      <c r="D179" s="50">
        <v>19</v>
      </c>
      <c r="E179" s="51"/>
      <c r="F179" s="51"/>
      <c r="G179" s="51"/>
      <c r="H179" s="51"/>
      <c r="I179" s="49">
        <f t="shared" si="6"/>
        <v>4.8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80</v>
      </c>
      <c r="B180" s="50">
        <v>277</v>
      </c>
      <c r="C180" s="50">
        <v>15</v>
      </c>
      <c r="D180" s="50">
        <v>18</v>
      </c>
      <c r="E180" s="51"/>
      <c r="F180" s="51"/>
      <c r="G180" s="51"/>
      <c r="H180" s="51"/>
      <c r="I180" s="49">
        <f t="shared" si="6"/>
        <v>4.5999999999999996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85</v>
      </c>
      <c r="B181" s="50">
        <v>280</v>
      </c>
      <c r="C181" s="50">
        <v>16</v>
      </c>
      <c r="D181" s="50">
        <v>16</v>
      </c>
      <c r="E181" s="51"/>
      <c r="F181" s="51"/>
      <c r="G181" s="51"/>
      <c r="H181" s="51"/>
      <c r="I181" s="49">
        <f t="shared" si="6"/>
        <v>4.2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90</v>
      </c>
      <c r="B182" s="50">
        <v>283</v>
      </c>
      <c r="C182" s="50">
        <v>17</v>
      </c>
      <c r="D182" s="50">
        <v>283</v>
      </c>
      <c r="E182" s="51"/>
      <c r="F182" s="51"/>
      <c r="G182" s="51"/>
      <c r="H182" s="51"/>
      <c r="I182" s="49">
        <f t="shared" si="6"/>
        <v>3.8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Pin maritime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16</v>
      </c>
      <c r="B192" s="60">
        <v>59</v>
      </c>
      <c r="C192" s="60">
        <v>1</v>
      </c>
      <c r="D192" s="60">
        <v>8</v>
      </c>
      <c r="E192" s="51"/>
      <c r="F192" s="51">
        <v>0.4</v>
      </c>
      <c r="G192" s="51">
        <v>0.4</v>
      </c>
      <c r="H192" s="51">
        <v>0.2</v>
      </c>
      <c r="I192" s="49">
        <f>IFERROR(B192/A192,"")</f>
        <v>3.6875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20</v>
      </c>
      <c r="B193" s="60">
        <v>91</v>
      </c>
      <c r="C193" s="60">
        <v>2</v>
      </c>
      <c r="D193" s="60">
        <v>14</v>
      </c>
      <c r="E193" s="51">
        <v>0.3</v>
      </c>
      <c r="F193" s="51">
        <v>0.3</v>
      </c>
      <c r="G193" s="51">
        <v>0.3</v>
      </c>
      <c r="H193" s="51">
        <v>0.1</v>
      </c>
      <c r="I193" s="49">
        <f t="shared" ref="I193:I211" si="7">IF(A193&lt;&gt;0,(B193-(B192-D192))/(A193-A192),"")</f>
        <v>10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24</v>
      </c>
      <c r="B194" s="60">
        <v>121</v>
      </c>
      <c r="C194" s="60">
        <v>3</v>
      </c>
      <c r="D194" s="60">
        <v>20</v>
      </c>
      <c r="E194" s="51">
        <v>0.4</v>
      </c>
      <c r="F194" s="51">
        <v>0.3</v>
      </c>
      <c r="G194" s="51">
        <v>0.3</v>
      </c>
      <c r="H194" s="51"/>
      <c r="I194" s="49">
        <f t="shared" si="7"/>
        <v>11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28</v>
      </c>
      <c r="B195" s="60">
        <v>146</v>
      </c>
      <c r="C195" s="60">
        <v>4</v>
      </c>
      <c r="D195" s="60">
        <v>23</v>
      </c>
      <c r="E195" s="51">
        <v>0.4</v>
      </c>
      <c r="F195" s="51">
        <v>0.3</v>
      </c>
      <c r="G195" s="51">
        <v>0.3</v>
      </c>
      <c r="H195" s="51"/>
      <c r="I195" s="49">
        <f t="shared" si="7"/>
        <v>11.25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34</v>
      </c>
      <c r="B196" s="60">
        <v>193</v>
      </c>
      <c r="C196" s="60">
        <v>5</v>
      </c>
      <c r="D196" s="60">
        <v>38</v>
      </c>
      <c r="E196" s="51"/>
      <c r="F196" s="51"/>
      <c r="G196" s="51"/>
      <c r="H196" s="51"/>
      <c r="I196" s="49">
        <f t="shared" si="7"/>
        <v>11.666666666666666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40</v>
      </c>
      <c r="B197" s="60">
        <v>215</v>
      </c>
      <c r="C197" s="60">
        <v>6</v>
      </c>
      <c r="D197" s="60">
        <v>31</v>
      </c>
      <c r="E197" s="51"/>
      <c r="F197" s="51"/>
      <c r="G197" s="51"/>
      <c r="H197" s="51"/>
      <c r="I197" s="49">
        <f t="shared" si="7"/>
        <v>10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46</v>
      </c>
      <c r="B198" s="60">
        <v>228</v>
      </c>
      <c r="C198" s="60">
        <v>7</v>
      </c>
      <c r="D198" s="60">
        <v>23</v>
      </c>
      <c r="E198" s="51"/>
      <c r="F198" s="51"/>
      <c r="G198" s="51"/>
      <c r="H198" s="51"/>
      <c r="I198" s="49">
        <f t="shared" si="7"/>
        <v>7.333333333333333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54</v>
      </c>
      <c r="B199" s="50">
        <v>246</v>
      </c>
      <c r="C199" s="50">
        <v>8</v>
      </c>
      <c r="D199" s="50">
        <v>22</v>
      </c>
      <c r="E199" s="51"/>
      <c r="F199" s="51"/>
      <c r="G199" s="51"/>
      <c r="H199" s="51"/>
      <c r="I199" s="49">
        <f t="shared" si="7"/>
        <v>5.125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62</v>
      </c>
      <c r="B200" s="50">
        <v>241</v>
      </c>
      <c r="C200" s="50">
        <v>9</v>
      </c>
      <c r="D200" s="50">
        <v>241</v>
      </c>
      <c r="E200" s="51"/>
      <c r="F200" s="51"/>
      <c r="G200" s="51"/>
      <c r="H200" s="51"/>
      <c r="I200" s="49">
        <f t="shared" si="7"/>
        <v>2.125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26" sqref="B2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sycomore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Aulne glutineux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maritime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319.22903094674564</v>
      </c>
      <c r="T3" s="59">
        <f>IF('Données projet'!E9&gt;30,$R$33-$H$33,LOOKUP('Données projet'!$E$9,$A$3:$A$203,R3:R203)-LOOKUP('Données projet'!$E$9,$A$3:$A$203,$H$3:$H$203))</f>
        <v>254.58690973142848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544.48194192356823</v>
      </c>
      <c r="AO3" s="59">
        <f>IF('Données projet'!E10&gt;30,$AM$33-$H$33,LOOKUP('Données projet'!$E$10,$A$3:$A$203,AM3:AM203)-LOOKUP('Données projet'!$E$10,$A$3:$A$203,$H$3:$H$203))</f>
        <v>668.20427590250733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405.7176439604217</v>
      </c>
      <c r="BJ3" s="59">
        <f>IF('Données projet'!E11&gt;30,$BH$33-$H$33,LOOKUP('Données projet'!$E$11,$A$3:$A$203,BH3:BH203)-LOOKUP('Données projet'!$E$11,$A$3:$A$203,$H$3:$H$203))</f>
        <v>278.21741231699929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299.10536994156814</v>
      </c>
      <c r="CZ3" s="59">
        <f>IF('Données projet'!E13&gt;30,$CX$33-$H$33,LOOKUP('Données projet'!$E$13,$A$3:$A$203,CX3:CX203)-LOOKUP('Données projet'!$E$13,$A$3:$A$203,$H$3:$H$203))</f>
        <v>292.57799203101769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295.92103934364718</v>
      </c>
      <c r="DU3" s="59">
        <f>IF('Données projet'!E14&gt;30,$DS$33-$H$33,LOOKUP('Données projet'!$E$14,$A$3:$A$203,DS3:DS203)-LOOKUP('Données projet'!$E$14,$A$3:$A$203,$H$3:$H$203))</f>
        <v>304.84379909635476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207.2913533618397</v>
      </c>
      <c r="EP3" s="59">
        <f>IF('Données projet'!E15&gt;30,$EN$33-$H$33,LOOKUP('Données projet'!$E$15,$A$3:$A$203,EN3:EN203)-LOOKUP('Données projet'!$E$15,$A$3:$A$203,$H$3:$H$203))</f>
        <v>230.81096055024483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259.45197446629572</v>
      </c>
      <c r="S4" s="59">
        <f ca="1">AVERAGE(OFFSET($R$3,0,0,'Données projet'!$E$9+1,1))-AVERAGE(OFFSET($H$3,0,0,'Données projet'!$E$9+1,1))</f>
        <v>319.22903094674564</v>
      </c>
      <c r="T4" s="59">
        <f>$T$3</f>
        <v>254.58690973142848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15.15</v>
      </c>
      <c r="AI4" s="13">
        <f>IF('Données projet'!$A$62&gt;35,AI3+AH4-AQ3,IF(A4&lt;'Données projet'!$A$62,$AF$205^A4,IF(A4='Données projet'!$A$62,'Données projet'!$B$62,AI3+AH4-AQ3)))</f>
        <v>1.3306754098332192</v>
      </c>
      <c r="AJ4" s="13">
        <f>AI4*VLOOKUP('Données projet'!$B$10,Paramètres!$A$1:$I$89,3,0)*VLOOKUP('Données projet'!$B$10,Paramètres!$A$1:$I$89,5,0)</f>
        <v>0.7438475540967695</v>
      </c>
      <c r="AK4" s="13">
        <f>EXP(-1.0587+0.8836*LN(AJ4)+0.284)</f>
        <v>0.35480952787935433</v>
      </c>
      <c r="AL4" s="20">
        <f t="shared" ref="AL4:AL67" si="4">(AJ4+AK4)*0.475*44/12</f>
        <v>1.9134944177750821</v>
      </c>
      <c r="AM4" s="59">
        <f t="shared" ref="AM4:AM67" si="5">AL4+(AD4+AE4)*44/12</f>
        <v>259.80238330666396</v>
      </c>
      <c r="AN4" s="59">
        <f ca="1">AVERAGE(OFFSET($AM$3,0,0,'Données projet'!$E$10+1,1))-AVERAGE(OFFSET($H$3,0,0,'Données projet'!$E$10+1,1))</f>
        <v>544.48194192356823</v>
      </c>
      <c r="AO4" s="59">
        <f>$AO$3</f>
        <v>668.20427590250733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1.1212920291467359</v>
      </c>
      <c r="BF4" s="13">
        <f>EXP(-1.0587+0.8836*LN(BE4)+0.284)</f>
        <v>0.50989827066551541</v>
      </c>
      <c r="BG4" s="20">
        <f t="shared" ref="BG4:BG67" si="7">(BE4+BF4)*0.475*44/12</f>
        <v>2.8409897721730037</v>
      </c>
      <c r="BH4" s="59">
        <f t="shared" ref="BH4:BH67" si="8">BG4+(AY4+AZ4)*44/12</f>
        <v>260.72987866106189</v>
      </c>
      <c r="BI4" s="59">
        <f ca="1">AVERAGE(OFFSET($BH$3,0,0,'Données projet'!$E$11+1,1))-AVERAGE(OFFSET($H$3,0,0,'Données projet'!$E$11+1,1))</f>
        <v>405.7176439604217</v>
      </c>
      <c r="BJ4" s="59">
        <f>$BJ$3</f>
        <v>278.21741231699929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2.4666666666666668</v>
      </c>
      <c r="CT4" s="12">
        <f>IF('Données projet'!$A$140&gt;35,CT3+CS4-DB3,IF(A4&lt;'Données projet'!$A$140,$CQ$205^A4,IF(A4='Données projet'!$A$140,'Données projet'!$B$140,CT3+CS4-DB3)))</f>
        <v>1.2721747796233518</v>
      </c>
      <c r="CU4" s="17">
        <f>CT4*VLOOKUP('Données projet'!$B$13,Paramètres!$A$1:$I$89,3,0)*VLOOKUP('Données projet'!$B$13,Paramètres!$A$1:$I$89,5,0)</f>
        <v>1.0121422546683387</v>
      </c>
      <c r="CV4" s="13">
        <f>EXP(-1.0587+0.8836*LN(CU4)+0.284)</f>
        <v>0.46578286063395047</v>
      </c>
      <c r="CW4" s="20">
        <f t="shared" ref="CW4:CW67" si="13">(CU4+CV4)*0.475*44/12</f>
        <v>2.574052909151487</v>
      </c>
      <c r="CX4" s="59">
        <f t="shared" ref="CX4:CX67" si="14">CW4+(CO4+CP4)*44/12</f>
        <v>260.46294179804033</v>
      </c>
      <c r="CY4" s="59">
        <f ca="1">AVERAGE(OFFSET($CX$3,0,0,'Données projet'!$E$13+1,1))-AVERAGE(OFFSET($H$3,0,0,'Données projet'!$E$13+1,1))</f>
        <v>299.10536994156814</v>
      </c>
      <c r="CZ4" s="59">
        <f>$CZ$3</f>
        <v>292.57799203101769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1.4</v>
      </c>
      <c r="DO4" s="12">
        <f>IF('Données projet'!$A$166&gt;35,DO3+DN4-DW3,IF(A4&lt;'Données projet'!$A$166,$DL$205^A4,IF(A4='Données projet'!$A$166,'Données projet'!$B$166,DO3+DN4-DW3)))</f>
        <v>1.3020054543174677</v>
      </c>
      <c r="DP4" s="17">
        <f>DO4*VLOOKUP('Données projet'!$B$14,Paramètres!$A$1:$I$89,3,0)*VLOOKUP('Données projet'!$B$14,Paramètres!$A$1:$I$89,5,0)</f>
        <v>0.85307397366880489</v>
      </c>
      <c r="DQ4" s="13">
        <f>EXP(-1.0587+0.8836*LN(DP4)+0.284)</f>
        <v>0.40047176901361836</v>
      </c>
      <c r="DR4" s="20">
        <f t="shared" ref="DR4:DR67" si="16">(DP4+DQ4)*0.475*44/12</f>
        <v>2.1832588351718871</v>
      </c>
      <c r="DS4" s="59">
        <f t="shared" ref="DS4:DS67" si="17">DR4+(DJ4+DK4)*44/12</f>
        <v>260.07214772406076</v>
      </c>
      <c r="DT4" s="59">
        <f ca="1">AVERAGE(OFFSET($DS$3,0,0,'Données projet'!$E$14+1,1))-AVERAGE(OFFSET($H$3,0,0,'Données projet'!$E$14+1,1))</f>
        <v>295.92103934364718</v>
      </c>
      <c r="DU4" s="59">
        <f>$DU$3</f>
        <v>304.84379909635476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3.6875</v>
      </c>
      <c r="EJ4" s="12">
        <f>IF('Données projet'!$A$192&gt;35,EJ3+EI4-ER3,IF(A4&lt;'Données projet'!$A$192,$EG$205^A4,IF(A4='Données projet'!$A$192,'Données projet'!$B$192,EJ3+EI4-ER3)))</f>
        <v>1.2902630215234134</v>
      </c>
      <c r="EK4" s="17">
        <f>EJ4*VLOOKUP('Données projet'!$B$15,Paramètres!$A$1:$I$89,3,0)*VLOOKUP('Données projet'!$B$15,Paramètres!$A$1:$I$89,5,0)</f>
        <v>0.77157728687100124</v>
      </c>
      <c r="EL4" s="13">
        <f>EXP(-1.0587+0.8836*LN(EK4)+0.284)</f>
        <v>0.36647177643700629</v>
      </c>
      <c r="EM4" s="20">
        <f t="shared" ref="EM4:EM67" si="19">(EK4+EL4)*0.475*44/12</f>
        <v>1.9821021185947798</v>
      </c>
      <c r="EN4" s="59">
        <f t="shared" ref="EN4:EN67" si="20">EM4+(EE4+EF4)*44/12</f>
        <v>259.87099100748361</v>
      </c>
      <c r="EO4" s="59">
        <f ca="1">AVERAGE(OFFSET($EN$3,0,0,'Données projet'!$E$15+1,1))-AVERAGE(OFFSET($H$3,0,0,'Données projet'!$E$15+1,1))</f>
        <v>207.2913533618397</v>
      </c>
      <c r="EP4" s="59">
        <f>$EP$3</f>
        <v>230.81096055024483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261.10525168652157</v>
      </c>
      <c r="S5" s="59">
        <f ca="1">AVERAGE(OFFSET($R$3,0,0,'Données projet'!$E$9+1,1))-AVERAGE(OFFSET($H$3,0,0,'Données projet'!$E$9+1,1))</f>
        <v>319.22903094674564</v>
      </c>
      <c r="T5" s="59">
        <f t="shared" ref="T5:T68" si="34">$T$3</f>
        <v>254.58690973142848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15.15</v>
      </c>
      <c r="AI5" s="13">
        <f>IF('Données projet'!$A$62&gt;35,AI4+AH5-AQ4,IF(A5&lt;'Données projet'!$A$62,$AF$205^A5,IF(A5='Données projet'!$A$62,'Données projet'!$B$62,AI4+AH5-AQ4)))</f>
        <v>1.770697046334806</v>
      </c>
      <c r="AJ5" s="13">
        <f>AI5*VLOOKUP('Données projet'!$B$10,Paramètres!$A$1:$I$89,3,0)*VLOOKUP('Données projet'!$B$10,Paramètres!$A$1:$I$89,5,0)</f>
        <v>0.98981964890115659</v>
      </c>
      <c r="AK5" s="13">
        <f t="shared" ref="AK5:AK68" si="35">EXP(-1.0587+0.8836*LN(AJ5)+0.284)</f>
        <v>0.45669410836011554</v>
      </c>
      <c r="AL5" s="20">
        <f t="shared" si="4"/>
        <v>2.5193447938967153</v>
      </c>
      <c r="AM5" s="59">
        <f t="shared" si="5"/>
        <v>261.63045590500786</v>
      </c>
      <c r="AN5" s="59">
        <f ca="1">AVERAGE(OFFSET($AM$3,0,0,'Données projet'!$E$10+1,1))-AVERAGE(OFFSET($H$3,0,0,'Données projet'!$E$10+1,1))</f>
        <v>544.48194192356823</v>
      </c>
      <c r="AO5" s="59">
        <f t="shared" ref="AO5:AO68" si="36">$AO$3</f>
        <v>668.20427590250733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1.3895842336737447</v>
      </c>
      <c r="BF5" s="13">
        <f t="shared" ref="BF5:BF68" si="37">EXP(-1.0587+0.8836*LN(BE5)+0.284)</f>
        <v>0.61631841327304715</v>
      </c>
      <c r="BG5" s="20">
        <f t="shared" si="7"/>
        <v>3.4936137767656628</v>
      </c>
      <c r="BH5" s="59">
        <f t="shared" si="8"/>
        <v>262.60472488787678</v>
      </c>
      <c r="BI5" s="59">
        <f ca="1">AVERAGE(OFFSET($BH$3,0,0,'Données projet'!$E$11+1,1))-AVERAGE(OFFSET($H$3,0,0,'Données projet'!$E$11+1,1))</f>
        <v>405.7176439604217</v>
      </c>
      <c r="BJ5" s="59">
        <f t="shared" ref="BJ5:BJ68" si="38">$BJ$3</f>
        <v>278.21741231699929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2.4666666666666668</v>
      </c>
      <c r="CT5" s="12">
        <f>IF('Données projet'!$A$140&gt;35,CT4+CS5-DB4,IF(A5&lt;'Données projet'!$A$140,$CQ$205^A5,IF(A5='Données projet'!$A$140,'Données projet'!$B$140,CT4+CS5-DB4)))</f>
        <v>1.6184286699097237</v>
      </c>
      <c r="CU5" s="17">
        <f>CT5*VLOOKUP('Données projet'!$B$13,Paramètres!$A$1:$I$89,3,0)*VLOOKUP('Données projet'!$B$13,Paramètres!$A$1:$I$89,5,0)</f>
        <v>1.2876218497801761</v>
      </c>
      <c r="CV5" s="13">
        <f t="shared" ref="CV5:CV68" si="41">EXP(-1.0587+0.8836*LN(CU5)+0.284)</f>
        <v>0.57618379541883336</v>
      </c>
      <c r="CW5" s="20">
        <f t="shared" si="13"/>
        <v>3.2461281653882743</v>
      </c>
      <c r="CX5" s="59">
        <f t="shared" si="14"/>
        <v>262.3572392764994</v>
      </c>
      <c r="CY5" s="59">
        <f ca="1">AVERAGE(OFFSET($CX$3,0,0,'Données projet'!$E$13+1,1))-AVERAGE(OFFSET($H$3,0,0,'Données projet'!$E$13+1,1))</f>
        <v>299.10536994156814</v>
      </c>
      <c r="CZ5" s="59">
        <f t="shared" ref="CZ5:CZ68" si="42">$CZ$3</f>
        <v>292.57799203101769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1.4</v>
      </c>
      <c r="DO5" s="12">
        <f>IF('Données projet'!$A$166&gt;35,DO4+DN5-DW4,IF(A5&lt;'Données projet'!$A$166,$DL$205^A5,IF(A5='Données projet'!$A$166,'Données projet'!$B$166,DO4+DN5-DW4)))</f>
        <v>1.6952182030724354</v>
      </c>
      <c r="DP5" s="17">
        <f>DO5*VLOOKUP('Données projet'!$B$14,Paramètres!$A$1:$I$89,3,0)*VLOOKUP('Données projet'!$B$14,Paramètres!$A$1:$I$89,5,0)</f>
        <v>1.1107069666530596</v>
      </c>
      <c r="DQ5" s="13">
        <f t="shared" ref="DQ5:DQ68" si="43">EXP(-1.0587+0.8836*LN(DP5)+0.284)</f>
        <v>0.50564274395751485</v>
      </c>
      <c r="DR5" s="20">
        <f t="shared" si="16"/>
        <v>2.8151424126467504</v>
      </c>
      <c r="DS5" s="59">
        <f t="shared" si="17"/>
        <v>261.92625352375791</v>
      </c>
      <c r="DT5" s="59">
        <f ca="1">AVERAGE(OFFSET($DS$3,0,0,'Données projet'!$E$14+1,1))-AVERAGE(OFFSET($H$3,0,0,'Données projet'!$E$14+1,1))</f>
        <v>295.92103934364718</v>
      </c>
      <c r="DU5" s="59">
        <f t="shared" ref="DU5:DU68" si="44">$DU$3</f>
        <v>304.84379909635476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3.6875</v>
      </c>
      <c r="EJ5" s="12">
        <f>IF('Données projet'!$A$192&gt;35,EJ4+EI5-ER4,IF(A5&lt;'Données projet'!$A$192,$EG$205^A5,IF(A5='Données projet'!$A$192,'Données projet'!$B$192,EJ4+EI5-ER4)))</f>
        <v>1.6647786647107283</v>
      </c>
      <c r="EK5" s="17">
        <f>EJ5*VLOOKUP('Données projet'!$B$15,Paramètres!$A$1:$I$89,3,0)*VLOOKUP('Données projet'!$B$15,Paramètres!$A$1:$I$89,5,0)</f>
        <v>0.99553764149701562</v>
      </c>
      <c r="EL5" s="13">
        <f t="shared" ref="EL5:EL68" si="45">EXP(-1.0587+0.8836*LN(EK5)+0.284)</f>
        <v>0.45902446777708661</v>
      </c>
      <c r="EM5" s="20">
        <f t="shared" si="19"/>
        <v>2.5333623403190613</v>
      </c>
      <c r="EN5" s="59">
        <f t="shared" si="20"/>
        <v>261.6444734514302</v>
      </c>
      <c r="EO5" s="59">
        <f ca="1">AVERAGE(OFFSET($EN$3,0,0,'Données projet'!$E$15+1,1))-AVERAGE(OFFSET($H$3,0,0,'Données projet'!$E$15+1,1))</f>
        <v>207.2913533618397</v>
      </c>
      <c r="EP5" s="59">
        <f t="shared" ref="EP5:EP68" si="46">$EP$3</f>
        <v>230.81096055024483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262.8778838402435</v>
      </c>
      <c r="S6" s="59">
        <f ca="1">AVERAGE(OFFSET($R$3,0,0,'Données projet'!$E$9+1,1))-AVERAGE(OFFSET($H$3,0,0,'Données projet'!$E$9+1,1))</f>
        <v>319.22903094674564</v>
      </c>
      <c r="T6" s="59">
        <f t="shared" si="34"/>
        <v>254.58690973142848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15.15</v>
      </c>
      <c r="AI6" s="13">
        <f>IF('Données projet'!$A$62&gt;35,AI5+AH6-AQ5,IF(A6&lt;'Données projet'!$A$62,$AF$205^A6,IF(A6='Données projet'!$A$62,'Données projet'!$B$62,AI5+AH6-AQ5)))</f>
        <v>2.3562230178220385</v>
      </c>
      <c r="AJ6" s="13">
        <f>AI6*VLOOKUP('Données projet'!$B$10,Paramètres!$A$1:$I$89,3,0)*VLOOKUP('Données projet'!$B$10,Paramètres!$A$1:$I$89,5,0)</f>
        <v>1.3171286669625197</v>
      </c>
      <c r="AK6" s="13">
        <f t="shared" si="35"/>
        <v>0.58783514032847717</v>
      </c>
      <c r="AL6" s="20">
        <f t="shared" si="4"/>
        <v>3.3178119643651525</v>
      </c>
      <c r="AM6" s="59">
        <f t="shared" si="5"/>
        <v>263.65114529769846</v>
      </c>
      <c r="AN6" s="59">
        <f ca="1">AVERAGE(OFFSET($AM$3,0,0,'Données projet'!$E$10+1,1))-AVERAGE(OFFSET($H$3,0,0,'Données projet'!$E$10+1,1))</f>
        <v>544.48194192356823</v>
      </c>
      <c r="AO6" s="59">
        <f t="shared" si="36"/>
        <v>668.20427590250733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1.7220708720671365</v>
      </c>
      <c r="BF6" s="13">
        <f t="shared" si="37"/>
        <v>0.74494935243383209</v>
      </c>
      <c r="BG6" s="20">
        <f t="shared" si="7"/>
        <v>4.2967268910058536</v>
      </c>
      <c r="BH6" s="59">
        <f t="shared" si="8"/>
        <v>264.63006022433916</v>
      </c>
      <c r="BI6" s="59">
        <f ca="1">AVERAGE(OFFSET($BH$3,0,0,'Données projet'!$E$11+1,1))-AVERAGE(OFFSET($H$3,0,0,'Données projet'!$E$11+1,1))</f>
        <v>405.7176439604217</v>
      </c>
      <c r="BJ6" s="59">
        <f t="shared" si="38"/>
        <v>278.21741231699929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2.4666666666666668</v>
      </c>
      <c r="CT6" s="12">
        <f>IF('Données projet'!$A$140&gt;35,CT5+CS6-DB5,IF(A6&lt;'Données projet'!$A$140,$CQ$205^A6,IF(A6='Données projet'!$A$140,'Données projet'!$B$140,CT5+CS6-DB5)))</f>
        <v>2.0589241364785171</v>
      </c>
      <c r="CU6" s="17">
        <f>CT6*VLOOKUP('Données projet'!$B$13,Paramètres!$A$1:$I$89,3,0)*VLOOKUP('Données projet'!$B$13,Paramètres!$A$1:$I$89,5,0)</f>
        <v>1.6380800429823084</v>
      </c>
      <c r="CV6" s="13">
        <f t="shared" si="41"/>
        <v>0.71275221602487127</v>
      </c>
      <c r="CW6" s="20">
        <f t="shared" si="13"/>
        <v>4.0943661844375043</v>
      </c>
      <c r="CX6" s="59">
        <f t="shared" si="14"/>
        <v>264.4276995177708</v>
      </c>
      <c r="CY6" s="59">
        <f ca="1">AVERAGE(OFFSET($CX$3,0,0,'Données projet'!$E$13+1,1))-AVERAGE(OFFSET($H$3,0,0,'Données projet'!$E$13+1,1))</f>
        <v>299.10536994156814</v>
      </c>
      <c r="CZ6" s="59">
        <f t="shared" si="42"/>
        <v>292.57799203101769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1.4</v>
      </c>
      <c r="DO6" s="12">
        <f>IF('Données projet'!$A$166&gt;35,DO5+DN6-DW5,IF(A6&lt;'Données projet'!$A$166,$DL$205^A6,IF(A6='Données projet'!$A$166,'Données projet'!$B$166,DO5+DN6-DW5)))</f>
        <v>2.2071833466585677</v>
      </c>
      <c r="DP6" s="17">
        <f>DO6*VLOOKUP('Données projet'!$B$14,Paramètres!$A$1:$I$89,3,0)*VLOOKUP('Données projet'!$B$14,Paramètres!$A$1:$I$89,5,0)</f>
        <v>1.4461465287306936</v>
      </c>
      <c r="DQ6" s="13">
        <f t="shared" si="43"/>
        <v>0.63843347846122611</v>
      </c>
      <c r="DR6" s="20">
        <f t="shared" si="16"/>
        <v>3.6306435125259271</v>
      </c>
      <c r="DS6" s="59">
        <f t="shared" si="17"/>
        <v>263.96397684585924</v>
      </c>
      <c r="DT6" s="59">
        <f ca="1">AVERAGE(OFFSET($DS$3,0,0,'Données projet'!$E$14+1,1))-AVERAGE(OFFSET($H$3,0,0,'Données projet'!$E$14+1,1))</f>
        <v>295.92103934364718</v>
      </c>
      <c r="DU6" s="59">
        <f t="shared" si="44"/>
        <v>304.84379909635476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3.6875</v>
      </c>
      <c r="EJ6" s="12">
        <f>IF('Données projet'!$A$192&gt;35,EJ5+EI6-ER5,IF(A6&lt;'Données projet'!$A$192,$EG$205^A6,IF(A6='Données projet'!$A$192,'Données projet'!$B$192,EJ5+EI6-ER5)))</f>
        <v>2.1480023500973777</v>
      </c>
      <c r="EK6" s="17">
        <f>EJ6*VLOOKUP('Données projet'!$B$15,Paramètres!$A$1:$I$89,3,0)*VLOOKUP('Données projet'!$B$15,Paramètres!$A$1:$I$89,5,0)</f>
        <v>1.2845054053582319</v>
      </c>
      <c r="EL6" s="13">
        <f t="shared" si="45"/>
        <v>0.57495140298820779</v>
      </c>
      <c r="EM6" s="20">
        <f t="shared" si="19"/>
        <v>3.2385539412033828</v>
      </c>
      <c r="EN6" s="59">
        <f t="shared" si="20"/>
        <v>263.57188727453672</v>
      </c>
      <c r="EO6" s="59">
        <f ca="1">AVERAGE(OFFSET($EN$3,0,0,'Données projet'!$E$15+1,1))-AVERAGE(OFFSET($H$3,0,0,'Données projet'!$E$15+1,1))</f>
        <v>207.2913533618397</v>
      </c>
      <c r="EP6" s="59">
        <f t="shared" si="46"/>
        <v>230.81096055024483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264.80304536680109</v>
      </c>
      <c r="S7" s="59">
        <f ca="1">AVERAGE(OFFSET($R$3,0,0,'Données projet'!$E$9+1,1))-AVERAGE(OFFSET($H$3,0,0,'Données projet'!$E$9+1,1))</f>
        <v>319.22903094674564</v>
      </c>
      <c r="T7" s="59">
        <f t="shared" si="34"/>
        <v>254.58690973142848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15.15</v>
      </c>
      <c r="AI7" s="13">
        <f>IF('Données projet'!$A$62&gt;35,AI6+AH7-AQ6,IF(A7&lt;'Données projet'!$A$62,$AF$205^A7,IF(A7='Données projet'!$A$62,'Données projet'!$B$62,AI6+AH7-AQ6)))</f>
        <v>3.1353680298988058</v>
      </c>
      <c r="AJ7" s="13">
        <f>AI7*VLOOKUP('Données projet'!$B$10,Paramètres!$A$1:$I$89,3,0)*VLOOKUP('Données projet'!$B$10,Paramètres!$A$1:$I$89,5,0)</f>
        <v>1.7526707287134324</v>
      </c>
      <c r="AK7" s="13">
        <f t="shared" si="35"/>
        <v>0.7566336983102151</v>
      </c>
      <c r="AL7" s="20">
        <f t="shared" si="4"/>
        <v>4.3703718770661864</v>
      </c>
      <c r="AM7" s="59">
        <f t="shared" si="5"/>
        <v>265.92592743262173</v>
      </c>
      <c r="AN7" s="59">
        <f ca="1">AVERAGE(OFFSET($AM$3,0,0,'Données projet'!$E$10+1,1))-AVERAGE(OFFSET($H$3,0,0,'Données projet'!$E$10+1,1))</f>
        <v>544.48194192356823</v>
      </c>
      <c r="AO7" s="59">
        <f t="shared" si="36"/>
        <v>668.20427590250733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2.1341117843442179</v>
      </c>
      <c r="BF7" s="13">
        <f t="shared" si="37"/>
        <v>0.90042667189585779</v>
      </c>
      <c r="BG7" s="20">
        <f t="shared" si="7"/>
        <v>5.2851544779514645</v>
      </c>
      <c r="BH7" s="59">
        <f t="shared" si="8"/>
        <v>266.84071003350698</v>
      </c>
      <c r="BI7" s="59">
        <f ca="1">AVERAGE(OFFSET($BH$3,0,0,'Données projet'!$E$11+1,1))-AVERAGE(OFFSET($H$3,0,0,'Données projet'!$E$11+1,1))</f>
        <v>405.7176439604217</v>
      </c>
      <c r="BJ7" s="59">
        <f t="shared" si="38"/>
        <v>278.21741231699929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2.4666666666666668</v>
      </c>
      <c r="CT7" s="12">
        <f>IF('Données projet'!$A$140&gt;35,CT6+CS7-DB6,IF(A7&lt;'Données projet'!$A$140,$CQ$205^A7,IF(A7='Données projet'!$A$140,'Données projet'!$B$140,CT6+CS7-DB6)))</f>
        <v>2.6193113595857573</v>
      </c>
      <c r="CU7" s="17">
        <f>CT7*VLOOKUP('Données projet'!$B$13,Paramètres!$A$1:$I$89,3,0)*VLOOKUP('Données projet'!$B$13,Paramètres!$A$1:$I$89,5,0)</f>
        <v>2.0839241176864287</v>
      </c>
      <c r="CV7" s="13">
        <f t="shared" si="41"/>
        <v>0.88169040068036508</v>
      </c>
      <c r="CW7" s="20">
        <f t="shared" si="13"/>
        <v>5.1651119528221656</v>
      </c>
      <c r="CX7" s="59">
        <f t="shared" si="14"/>
        <v>266.72066750837769</v>
      </c>
      <c r="CY7" s="59">
        <f ca="1">AVERAGE(OFFSET($CX$3,0,0,'Données projet'!$E$13+1,1))-AVERAGE(OFFSET($H$3,0,0,'Données projet'!$E$13+1,1))</f>
        <v>299.10536994156814</v>
      </c>
      <c r="CZ7" s="59">
        <f t="shared" si="42"/>
        <v>292.57799203101769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1.4</v>
      </c>
      <c r="DO7" s="12">
        <f>IF('Données projet'!$A$166&gt;35,DO6+DN7-DW6,IF(A7&lt;'Données projet'!$A$166,$DL$205^A7,IF(A7='Données projet'!$A$166,'Données projet'!$B$166,DO6+DN7-DW6)))</f>
        <v>2.873764756028137</v>
      </c>
      <c r="DP7" s="17">
        <f>DO7*VLOOKUP('Données projet'!$B$14,Paramètres!$A$1:$I$89,3,0)*VLOOKUP('Données projet'!$B$14,Paramètres!$A$1:$I$89,5,0)</f>
        <v>1.8828906681496353</v>
      </c>
      <c r="DQ7" s="13">
        <f t="shared" si="43"/>
        <v>0.80609741025839377</v>
      </c>
      <c r="DR7" s="20">
        <f t="shared" si="16"/>
        <v>4.6833209032273171</v>
      </c>
      <c r="DS7" s="59">
        <f t="shared" si="17"/>
        <v>266.23887645878284</v>
      </c>
      <c r="DT7" s="59">
        <f ca="1">AVERAGE(OFFSET($DS$3,0,0,'Données projet'!$E$14+1,1))-AVERAGE(OFFSET($H$3,0,0,'Données projet'!$E$14+1,1))</f>
        <v>295.92103934364718</v>
      </c>
      <c r="DU7" s="59">
        <f t="shared" si="44"/>
        <v>304.84379909635476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3.6875</v>
      </c>
      <c r="EJ7" s="12">
        <f>IF('Données projet'!$A$192&gt;35,EJ6+EI7-ER6,IF(A7&lt;'Données projet'!$A$192,$EG$205^A7,IF(A7='Données projet'!$A$192,'Données projet'!$B$192,EJ6+EI7-ER6)))</f>
        <v>2.7714880024760356</v>
      </c>
      <c r="EK7" s="17">
        <f>EJ7*VLOOKUP('Données projet'!$B$15,Paramètres!$A$1:$I$89,3,0)*VLOOKUP('Données projet'!$B$15,Paramètres!$A$1:$I$89,5,0)</f>
        <v>1.6573498254806693</v>
      </c>
      <c r="EL7" s="13">
        <f t="shared" si="45"/>
        <v>0.72015576293558481</v>
      </c>
      <c r="EM7" s="20">
        <f t="shared" si="19"/>
        <v>4.1408222331583096</v>
      </c>
      <c r="EN7" s="59">
        <f t="shared" si="20"/>
        <v>265.69637778871385</v>
      </c>
      <c r="EO7" s="59">
        <f ca="1">AVERAGE(OFFSET($EN$3,0,0,'Données projet'!$E$15+1,1))-AVERAGE(OFFSET($H$3,0,0,'Données projet'!$E$15+1,1))</f>
        <v>207.2913533618397</v>
      </c>
      <c r="EP7" s="59">
        <f t="shared" si="46"/>
        <v>230.81096055024483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266.92316437994907</v>
      </c>
      <c r="S8" s="59">
        <f ca="1">AVERAGE(OFFSET($R$3,0,0,'Données projet'!$E$9+1,1))-AVERAGE(OFFSET($H$3,0,0,'Données projet'!$E$9+1,1))</f>
        <v>319.22903094674564</v>
      </c>
      <c r="T8" s="59">
        <f t="shared" si="34"/>
        <v>254.58690973142848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15.15</v>
      </c>
      <c r="AI8" s="13">
        <f>IF('Données projet'!$A$62&gt;35,AI7+AH8-AQ7,IF(A8&lt;'Données projet'!$A$62,$AF$205^A8,IF(A8='Données projet'!$A$62,'Données projet'!$B$62,AI7+AH8-AQ7)))</f>
        <v>4.1721571381635663</v>
      </c>
      <c r="AJ8" s="13">
        <f>AI8*VLOOKUP('Données projet'!$B$10,Paramètres!$A$1:$I$89,3,0)*VLOOKUP('Données projet'!$B$10,Paramètres!$A$1:$I$89,5,0)</f>
        <v>2.3322358402334333</v>
      </c>
      <c r="AK8" s="13">
        <f t="shared" si="35"/>
        <v>0.97390324964017738</v>
      </c>
      <c r="AL8" s="20">
        <f t="shared" si="4"/>
        <v>5.7581922481965391</v>
      </c>
      <c r="AM8" s="59">
        <f t="shared" si="5"/>
        <v>268.53597002597434</v>
      </c>
      <c r="AN8" s="59">
        <f ca="1">AVERAGE(OFFSET($AM$3,0,0,'Données projet'!$E$10+1,1))-AVERAGE(OFFSET($H$3,0,0,'Données projet'!$E$10+1,1))</f>
        <v>544.48194192356823</v>
      </c>
      <c r="AO8" s="59">
        <f t="shared" si="36"/>
        <v>668.20427590250733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2.6447419684939089</v>
      </c>
      <c r="BF8" s="13">
        <f t="shared" si="37"/>
        <v>1.0883534414958294</v>
      </c>
      <c r="BG8" s="20">
        <f t="shared" si="7"/>
        <v>6.5018078390654601</v>
      </c>
      <c r="BH8" s="59">
        <f t="shared" si="8"/>
        <v>269.27958561684324</v>
      </c>
      <c r="BI8" s="59">
        <f ca="1">AVERAGE(OFFSET($BH$3,0,0,'Données projet'!$E$11+1,1))-AVERAGE(OFFSET($H$3,0,0,'Données projet'!$E$11+1,1))</f>
        <v>405.7176439604217</v>
      </c>
      <c r="BJ8" s="59">
        <f t="shared" si="38"/>
        <v>278.21741231699929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2.4666666666666668</v>
      </c>
      <c r="CT8" s="12">
        <f>IF('Données projet'!$A$140&gt;35,CT7+CS8-DB7,IF(A8&lt;'Données projet'!$A$140,$CQ$205^A8,IF(A8='Données projet'!$A$140,'Données projet'!$B$140,CT7+CS8-DB7)))</f>
        <v>3.332221851645953</v>
      </c>
      <c r="CU8" s="17">
        <f>CT8*VLOOKUP('Données projet'!$B$13,Paramètres!$A$1:$I$89,3,0)*VLOOKUP('Données projet'!$B$13,Paramètres!$A$1:$I$89,5,0)</f>
        <v>2.6511157051695204</v>
      </c>
      <c r="CV8" s="13">
        <f t="shared" si="41"/>
        <v>1.0906707059957799</v>
      </c>
      <c r="CW8" s="20">
        <f t="shared" si="13"/>
        <v>6.5169446661128978</v>
      </c>
      <c r="CX8" s="59">
        <f t="shared" si="14"/>
        <v>269.29472244389069</v>
      </c>
      <c r="CY8" s="59">
        <f ca="1">AVERAGE(OFFSET($CX$3,0,0,'Données projet'!$E$13+1,1))-AVERAGE(OFFSET($H$3,0,0,'Données projet'!$E$13+1,1))</f>
        <v>299.10536994156814</v>
      </c>
      <c r="CZ8" s="59">
        <f t="shared" si="42"/>
        <v>292.57799203101769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1.4</v>
      </c>
      <c r="DO8" s="12">
        <f>IF('Données projet'!$A$166&gt;35,DO7+DN8-DW7,IF(A8&lt;'Données projet'!$A$166,$DL$205^A8,IF(A8='Données projet'!$A$166,'Données projet'!$B$166,DO7+DN8-DW7)))</f>
        <v>3.7416573867739413</v>
      </c>
      <c r="DP8" s="17">
        <f>DO8*VLOOKUP('Données projet'!$B$14,Paramètres!$A$1:$I$89,3,0)*VLOOKUP('Données projet'!$B$14,Paramètres!$A$1:$I$89,5,0)</f>
        <v>2.4515339198142865</v>
      </c>
      <c r="DQ8" s="13">
        <f t="shared" si="43"/>
        <v>1.0177928582182787</v>
      </c>
      <c r="DR8" s="20">
        <f t="shared" si="16"/>
        <v>6.0424108050733842</v>
      </c>
      <c r="DS8" s="59">
        <f t="shared" si="17"/>
        <v>268.82018858285113</v>
      </c>
      <c r="DT8" s="59">
        <f ca="1">AVERAGE(OFFSET($DS$3,0,0,'Données projet'!$E$14+1,1))-AVERAGE(OFFSET($H$3,0,0,'Données projet'!$E$14+1,1))</f>
        <v>295.92103934364718</v>
      </c>
      <c r="DU8" s="59">
        <f t="shared" si="44"/>
        <v>304.84379909635476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3.6875</v>
      </c>
      <c r="EJ8" s="12">
        <f>IF('Données projet'!$A$192&gt;35,EJ7+EI8-ER7,IF(A8&lt;'Données projet'!$A$192,$EG$205^A8,IF(A8='Données projet'!$A$192,'Données projet'!$B$192,EJ7+EI8-ER7)))</f>
        <v>3.5759484841906191</v>
      </c>
      <c r="EK8" s="17">
        <f>EJ8*VLOOKUP('Données projet'!$B$15,Paramètres!$A$1:$I$89,3,0)*VLOOKUP('Données projet'!$B$15,Paramètres!$A$1:$I$89,5,0)</f>
        <v>2.1384171935459904</v>
      </c>
      <c r="EL8" s="13">
        <f t="shared" si="45"/>
        <v>0.90203158074556633</v>
      </c>
      <c r="EM8" s="20">
        <f t="shared" si="19"/>
        <v>5.2954482818911268</v>
      </c>
      <c r="EN8" s="59">
        <f t="shared" si="20"/>
        <v>268.07322605966891</v>
      </c>
      <c r="EO8" s="59">
        <f ca="1">AVERAGE(OFFSET($EN$3,0,0,'Données projet'!$E$15+1,1))-AVERAGE(OFFSET($H$3,0,0,'Données projet'!$E$15+1,1))</f>
        <v>207.2913533618397</v>
      </c>
      <c r="EP8" s="59">
        <f t="shared" si="46"/>
        <v>230.81096055024483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269.29251243621979</v>
      </c>
      <c r="S9" s="59">
        <f ca="1">AVERAGE(OFFSET($R$3,0,0,'Données projet'!$E$9+1,1))-AVERAGE(OFFSET($H$3,0,0,'Données projet'!$E$9+1,1))</f>
        <v>319.22903094674564</v>
      </c>
      <c r="T9" s="59">
        <f t="shared" si="34"/>
        <v>254.58690973142848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15.15</v>
      </c>
      <c r="AI9" s="13">
        <f>IF('Données projet'!$A$62&gt;35,AI8+AH9-AQ8,IF(A9&lt;'Données projet'!$A$62,$AF$205^A9,IF(A9='Données projet'!$A$62,'Données projet'!$B$62,AI8+AH9-AQ8)))</f>
        <v>5.5517869097143953</v>
      </c>
      <c r="AJ9" s="13">
        <f>AI9*VLOOKUP('Données projet'!$B$10,Paramètres!$A$1:$I$89,3,0)*VLOOKUP('Données projet'!$B$10,Paramètres!$A$1:$I$89,5,0)</f>
        <v>3.1034488825303472</v>
      </c>
      <c r="AK9" s="13">
        <f t="shared" si="35"/>
        <v>1.2535623800234499</v>
      </c>
      <c r="AL9" s="20">
        <f t="shared" si="4"/>
        <v>7.5884612822811972</v>
      </c>
      <c r="AM9" s="59">
        <f t="shared" si="5"/>
        <v>271.58846128228117</v>
      </c>
      <c r="AN9" s="59">
        <f ca="1">AVERAGE(OFFSET($AM$3,0,0,'Données projet'!$E$10+1,1))-AVERAGE(OFFSET($H$3,0,0,'Données projet'!$E$10+1,1))</f>
        <v>544.48194192356823</v>
      </c>
      <c r="AO9" s="59">
        <f t="shared" si="36"/>
        <v>668.20427590250733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3.2775509376901719</v>
      </c>
      <c r="BF9" s="13">
        <f t="shared" si="37"/>
        <v>1.315502139804245</v>
      </c>
      <c r="BG9" s="20">
        <f t="shared" si="7"/>
        <v>7.9995674433027766</v>
      </c>
      <c r="BH9" s="59">
        <f t="shared" si="8"/>
        <v>271.99956744330279</v>
      </c>
      <c r="BI9" s="59">
        <f ca="1">AVERAGE(OFFSET($BH$3,0,0,'Données projet'!$E$11+1,1))-AVERAGE(OFFSET($H$3,0,0,'Données projet'!$E$11+1,1))</f>
        <v>405.7176439604217</v>
      </c>
      <c r="BJ9" s="59">
        <f t="shared" si="38"/>
        <v>278.21741231699929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2.4666666666666668</v>
      </c>
      <c r="CT9" s="12">
        <f>IF('Données projet'!$A$140&gt;35,CT8+CS9-DB8,IF(A9&lt;'Données projet'!$A$140,$CQ$205^A9,IF(A9='Données projet'!$A$140,'Données projet'!$B$140,CT8+CS9-DB8)))</f>
        <v>4.2391685997738069</v>
      </c>
      <c r="CU9" s="17">
        <f>CT9*VLOOKUP('Données projet'!$B$13,Paramètres!$A$1:$I$89,3,0)*VLOOKUP('Données projet'!$B$13,Paramètres!$A$1:$I$89,5,0)</f>
        <v>3.3726825379800407</v>
      </c>
      <c r="CV9" s="13">
        <f t="shared" si="41"/>
        <v>1.3491840083541735</v>
      </c>
      <c r="CW9" s="20">
        <f t="shared" si="13"/>
        <v>8.2239175681987557</v>
      </c>
      <c r="CX9" s="59">
        <f t="shared" si="14"/>
        <v>272.22391756819877</v>
      </c>
      <c r="CY9" s="59">
        <f ca="1">AVERAGE(OFFSET($CX$3,0,0,'Données projet'!$E$13+1,1))-AVERAGE(OFFSET($H$3,0,0,'Données projet'!$E$13+1,1))</f>
        <v>299.10536994156814</v>
      </c>
      <c r="CZ9" s="59">
        <f t="shared" si="42"/>
        <v>292.57799203101769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1.4</v>
      </c>
      <c r="DO9" s="12">
        <f>IF('Données projet'!$A$166&gt;35,DO8+DN9-DW8,IF(A9&lt;'Données projet'!$A$166,$DL$205^A9,IF(A9='Données projet'!$A$166,'Données projet'!$B$166,DO8+DN9-DW8)))</f>
        <v>4.8716583257669139</v>
      </c>
      <c r="DP9" s="17">
        <f>DO9*VLOOKUP('Données projet'!$B$14,Paramètres!$A$1:$I$89,3,0)*VLOOKUP('Données projet'!$B$14,Paramètres!$A$1:$I$89,5,0)</f>
        <v>3.1919105350424819</v>
      </c>
      <c r="DQ9" s="13">
        <f t="shared" si="43"/>
        <v>1.2850832778486103</v>
      </c>
      <c r="DR9" s="20">
        <f t="shared" si="16"/>
        <v>7.7974308907853205</v>
      </c>
      <c r="DS9" s="59">
        <f t="shared" si="17"/>
        <v>271.79743089078534</v>
      </c>
      <c r="DT9" s="59">
        <f ca="1">AVERAGE(OFFSET($DS$3,0,0,'Données projet'!$E$14+1,1))-AVERAGE(OFFSET($H$3,0,0,'Données projet'!$E$14+1,1))</f>
        <v>295.92103934364718</v>
      </c>
      <c r="DU9" s="59">
        <f t="shared" si="44"/>
        <v>304.84379909635476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3.6875</v>
      </c>
      <c r="EJ9" s="12">
        <f>IF('Données projet'!$A$192&gt;35,EJ8+EI9-ER8,IF(A9&lt;'Données projet'!$A$192,$EG$205^A9,IF(A9='Données projet'!$A$192,'Données projet'!$B$192,EJ8+EI9-ER8)))</f>
        <v>4.6139140960238585</v>
      </c>
      <c r="EK9" s="17">
        <f>EJ9*VLOOKUP('Données projet'!$B$15,Paramètres!$A$1:$I$89,3,0)*VLOOKUP('Données projet'!$B$15,Paramètres!$A$1:$I$89,5,0)</f>
        <v>2.7591206294222679</v>
      </c>
      <c r="EL9" s="13">
        <f t="shared" si="45"/>
        <v>1.1298402575376243</v>
      </c>
      <c r="EM9" s="20">
        <f t="shared" si="19"/>
        <v>6.7732735447884798</v>
      </c>
      <c r="EN9" s="59">
        <f t="shared" si="20"/>
        <v>270.77327354478848</v>
      </c>
      <c r="EO9" s="59">
        <f ca="1">AVERAGE(OFFSET($EN$3,0,0,'Données projet'!$E$15+1,1))-AVERAGE(OFFSET($H$3,0,0,'Données projet'!$E$15+1,1))</f>
        <v>207.2913533618397</v>
      </c>
      <c r="EP9" s="59">
        <f t="shared" si="46"/>
        <v>230.81096055024483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271.98052129859713</v>
      </c>
      <c r="S10" s="59">
        <f ca="1">AVERAGE(OFFSET($R$3,0,0,'Données projet'!$E$9+1,1))-AVERAGE(OFFSET($H$3,0,0,'Données projet'!$E$9+1,1))</f>
        <v>319.22903094674564</v>
      </c>
      <c r="T10" s="59">
        <f t="shared" si="34"/>
        <v>254.58690973142848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15.15</v>
      </c>
      <c r="AI10" s="13">
        <f>IF('Données projet'!$A$62&gt;35,AI9+AH10-AQ9,IF(A10&lt;'Données projet'!$A$62,$AF$205^A10,IF(A10='Données projet'!$A$62,'Données projet'!$B$62,AI9+AH10-AQ9)))</f>
        <v>7.3876263213909033</v>
      </c>
      <c r="AJ10" s="13">
        <f>AI10*VLOOKUP('Données projet'!$B$10,Paramètres!$A$1:$I$89,3,0)*VLOOKUP('Données projet'!$B$10,Paramètres!$A$1:$I$89,5,0)</f>
        <v>4.1296831136575154</v>
      </c>
      <c r="AK10" s="13">
        <f t="shared" si="35"/>
        <v>1.6135264372417262</v>
      </c>
      <c r="AL10" s="20">
        <f t="shared" si="4"/>
        <v>10.002756634482845</v>
      </c>
      <c r="AM10" s="59">
        <f t="shared" si="5"/>
        <v>275.22497885670509</v>
      </c>
      <c r="AN10" s="59">
        <f ca="1">AVERAGE(OFFSET($AM$3,0,0,'Données projet'!$E$10+1,1))-AVERAGE(OFFSET($H$3,0,0,'Données projet'!$E$10+1,1))</f>
        <v>544.48194192356823</v>
      </c>
      <c r="AO10" s="59">
        <f t="shared" si="36"/>
        <v>668.20427590250733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4.0617724818240486</v>
      </c>
      <c r="BF10" s="13">
        <f t="shared" si="37"/>
        <v>1.590058719758437</v>
      </c>
      <c r="BG10" s="20">
        <f t="shared" si="7"/>
        <v>9.8436060094228282</v>
      </c>
      <c r="BH10" s="59">
        <f t="shared" si="8"/>
        <v>275.06582823164507</v>
      </c>
      <c r="BI10" s="59">
        <f ca="1">AVERAGE(OFFSET($BH$3,0,0,'Données projet'!$E$11+1,1))-AVERAGE(OFFSET($H$3,0,0,'Données projet'!$E$11+1,1))</f>
        <v>405.7176439604217</v>
      </c>
      <c r="BJ10" s="59">
        <f t="shared" si="38"/>
        <v>278.21741231699929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2.4666666666666668</v>
      </c>
      <c r="CT10" s="12">
        <f>IF('Données projet'!$A$140&gt;35,CT9+CS10-DB9,IF(A10&lt;'Données projet'!$A$140,$CQ$205^A10,IF(A10='Données projet'!$A$140,'Données projet'!$B$140,CT9+CS10-DB9)))</f>
        <v>5.3929633792034757</v>
      </c>
      <c r="CU10" s="17">
        <f>CT10*VLOOKUP('Données projet'!$B$13,Paramètres!$A$1:$I$89,3,0)*VLOOKUP('Données projet'!$B$13,Paramètres!$A$1:$I$89,5,0)</f>
        <v>4.2906416644942853</v>
      </c>
      <c r="CV10" s="13">
        <f t="shared" si="41"/>
        <v>1.6689707336887791</v>
      </c>
      <c r="CW10" s="20">
        <f t="shared" si="13"/>
        <v>10.379658260168837</v>
      </c>
      <c r="CX10" s="59">
        <f t="shared" si="14"/>
        <v>275.60188048239104</v>
      </c>
      <c r="CY10" s="59">
        <f ca="1">AVERAGE(OFFSET($CX$3,0,0,'Données projet'!$E$13+1,1))-AVERAGE(OFFSET($H$3,0,0,'Données projet'!$E$13+1,1))</f>
        <v>299.10536994156814</v>
      </c>
      <c r="CZ10" s="59">
        <f t="shared" si="42"/>
        <v>292.57799203101769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1.4</v>
      </c>
      <c r="DO10" s="12">
        <f>IF('Données projet'!$A$166&gt;35,DO9+DN10-DW9,IF(A10&lt;'Données projet'!$A$166,$DL$205^A10,IF(A10='Données projet'!$A$166,'Données projet'!$B$166,DO9+DN10-DW9)))</f>
        <v>6.3429257117196256</v>
      </c>
      <c r="DP10" s="17">
        <f>DO10*VLOOKUP('Données projet'!$B$14,Paramètres!$A$1:$I$89,3,0)*VLOOKUP('Données projet'!$B$14,Paramètres!$A$1:$I$89,5,0)</f>
        <v>4.1558849263186985</v>
      </c>
      <c r="DQ10" s="13">
        <f t="shared" si="43"/>
        <v>1.6225688927480735</v>
      </c>
      <c r="DR10" s="20">
        <f t="shared" si="16"/>
        <v>10.064140401541296</v>
      </c>
      <c r="DS10" s="59">
        <f t="shared" si="17"/>
        <v>275.28636262376352</v>
      </c>
      <c r="DT10" s="59">
        <f ca="1">AVERAGE(OFFSET($DS$3,0,0,'Données projet'!$E$14+1,1))-AVERAGE(OFFSET($H$3,0,0,'Données projet'!$E$14+1,1))</f>
        <v>295.92103934364718</v>
      </c>
      <c r="DU10" s="59">
        <f t="shared" si="44"/>
        <v>304.84379909635476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3.6875</v>
      </c>
      <c r="EJ10" s="12">
        <f>IF('Données projet'!$A$192&gt;35,EJ9+EI10-ER9,IF(A10&lt;'Données projet'!$A$192,$EG$205^A10,IF(A10='Données projet'!$A$192,'Données projet'!$B$192,EJ9+EI10-ER9)))</f>
        <v>5.9531627425852109</v>
      </c>
      <c r="EK10" s="17">
        <f>EJ10*VLOOKUP('Données projet'!$B$15,Paramètres!$A$1:$I$89,3,0)*VLOOKUP('Données projet'!$B$15,Paramètres!$A$1:$I$89,5,0)</f>
        <v>3.5599913200659565</v>
      </c>
      <c r="EL10" s="13">
        <f t="shared" si="45"/>
        <v>1.4151821674553478</v>
      </c>
      <c r="EM10" s="20">
        <f t="shared" si="19"/>
        <v>8.6650938240996034</v>
      </c>
      <c r="EN10" s="59">
        <f t="shared" si="20"/>
        <v>273.88731604632181</v>
      </c>
      <c r="EO10" s="59">
        <f ca="1">AVERAGE(OFFSET($EN$3,0,0,'Données projet'!$E$15+1,1))-AVERAGE(OFFSET($H$3,0,0,'Données projet'!$E$15+1,1))</f>
        <v>207.2913533618397</v>
      </c>
      <c r="EP10" s="59">
        <f t="shared" si="46"/>
        <v>230.81096055024483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275.07603134727827</v>
      </c>
      <c r="S11" s="59">
        <f ca="1">AVERAGE(OFFSET($R$3,0,0,'Données projet'!$E$9+1,1))-AVERAGE(OFFSET($H$3,0,0,'Données projet'!$E$9+1,1))</f>
        <v>319.22903094674564</v>
      </c>
      <c r="T11" s="59">
        <f t="shared" si="34"/>
        <v>254.58690973142848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15.15</v>
      </c>
      <c r="AI11" s="13">
        <f>IF('Données projet'!$A$62&gt;35,AI10+AH11-AQ10,IF(A11&lt;'Données projet'!$A$62,$AF$205^A11,IF(A11='Données projet'!$A$62,'Données projet'!$B$62,AI10+AH11-AQ10)))</f>
        <v>9.8305326829115192</v>
      </c>
      <c r="AJ11" s="13">
        <f>AI11*VLOOKUP('Données projet'!$B$10,Paramètres!$A$1:$I$89,3,0)*VLOOKUP('Données projet'!$B$10,Paramètres!$A$1:$I$89,5,0)</f>
        <v>5.4952677697475387</v>
      </c>
      <c r="AK11" s="13">
        <f t="shared" si="35"/>
        <v>2.0768552129246873</v>
      </c>
      <c r="AL11" s="20">
        <f t="shared" si="4"/>
        <v>13.188114194820793</v>
      </c>
      <c r="AM11" s="59">
        <f t="shared" si="5"/>
        <v>279.63255863926526</v>
      </c>
      <c r="AN11" s="59">
        <f ca="1">AVERAGE(OFFSET($AM$3,0,0,'Données projet'!$E$10+1,1))-AVERAGE(OFFSET($H$3,0,0,'Données projet'!$E$10+1,1))</f>
        <v>544.48194192356823</v>
      </c>
      <c r="AO11" s="59">
        <f t="shared" si="36"/>
        <v>668.20427590250733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5.0336351769196082</v>
      </c>
      <c r="BF11" s="13">
        <f t="shared" si="37"/>
        <v>1.9219176128866391</v>
      </c>
      <c r="BG11" s="20">
        <f t="shared" si="7"/>
        <v>12.11425444224588</v>
      </c>
      <c r="BH11" s="59">
        <f t="shared" si="8"/>
        <v>278.55869888669031</v>
      </c>
      <c r="BI11" s="59">
        <f ca="1">AVERAGE(OFFSET($BH$3,0,0,'Données projet'!$E$11+1,1))-AVERAGE(OFFSET($H$3,0,0,'Données projet'!$E$11+1,1))</f>
        <v>405.7176439604217</v>
      </c>
      <c r="BJ11" s="59">
        <f t="shared" si="38"/>
        <v>278.21741231699929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2.4666666666666668</v>
      </c>
      <c r="CT11" s="12">
        <f>IF('Données projet'!$A$140&gt;35,CT10+CS11-DB10,IF(A11&lt;'Données projet'!$A$140,$CQ$205^A11,IF(A11='Données projet'!$A$140,'Données projet'!$B$140,CT10+CS11-DB10)))</f>
        <v>6.8607919984549888</v>
      </c>
      <c r="CU11" s="17">
        <f>CT11*VLOOKUP('Données projet'!$B$13,Paramètres!$A$1:$I$89,3,0)*VLOOKUP('Données projet'!$B$13,Paramètres!$A$1:$I$89,5,0)</f>
        <v>5.4584461139707896</v>
      </c>
      <c r="CV11" s="13">
        <f t="shared" si="41"/>
        <v>2.0645540509389519</v>
      </c>
      <c r="CW11" s="20">
        <f t="shared" si="13"/>
        <v>13.102558620551131</v>
      </c>
      <c r="CX11" s="59">
        <f t="shared" si="14"/>
        <v>279.54700306499558</v>
      </c>
      <c r="CY11" s="59">
        <f ca="1">AVERAGE(OFFSET($CX$3,0,0,'Données projet'!$E$13+1,1))-AVERAGE(OFFSET($H$3,0,0,'Données projet'!$E$13+1,1))</f>
        <v>299.10536994156814</v>
      </c>
      <c r="CZ11" s="59">
        <f t="shared" si="42"/>
        <v>292.57799203101769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1.4</v>
      </c>
      <c r="DO11" s="12">
        <f>IF('Données projet'!$A$166&gt;35,DO10+DN11-DW10,IF(A11&lt;'Données projet'!$A$166,$DL$205^A11,IF(A11='Données projet'!$A$166,'Données projet'!$B$166,DO10+DN11-DW10)))</f>
        <v>8.258523872989457</v>
      </c>
      <c r="DP11" s="17">
        <f>DO11*VLOOKUP('Données projet'!$B$14,Paramètres!$A$1:$I$89,3,0)*VLOOKUP('Données projet'!$B$14,Paramètres!$A$1:$I$89,5,0)</f>
        <v>5.4109848415826924</v>
      </c>
      <c r="DQ11" s="13">
        <f t="shared" si="43"/>
        <v>2.0486842036581692</v>
      </c>
      <c r="DR11" s="20">
        <f t="shared" si="16"/>
        <v>12.992256920461166</v>
      </c>
      <c r="DS11" s="59">
        <f t="shared" si="17"/>
        <v>279.43670136490562</v>
      </c>
      <c r="DT11" s="59">
        <f ca="1">AVERAGE(OFFSET($DS$3,0,0,'Données projet'!$E$14+1,1))-AVERAGE(OFFSET($H$3,0,0,'Données projet'!$E$14+1,1))</f>
        <v>295.92103934364718</v>
      </c>
      <c r="DU11" s="59">
        <f t="shared" si="44"/>
        <v>304.84379909635476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3.6875</v>
      </c>
      <c r="EJ11" s="12">
        <f>IF('Données projet'!$A$192&gt;35,EJ10+EI11-ER10,IF(A11&lt;'Données projet'!$A$192,$EG$205^A11,IF(A11='Données projet'!$A$192,'Données projet'!$B$192,EJ10+EI11-ER10)))</f>
        <v>7.681145747868606</v>
      </c>
      <c r="EK11" s="17">
        <f>EJ11*VLOOKUP('Données projet'!$B$15,Paramètres!$A$1:$I$89,3,0)*VLOOKUP('Données projet'!$B$15,Paramètres!$A$1:$I$89,5,0)</f>
        <v>4.5933251572254266</v>
      </c>
      <c r="EL11" s="13">
        <f t="shared" si="45"/>
        <v>1.7725873668622798</v>
      </c>
      <c r="EM11" s="20">
        <f t="shared" si="19"/>
        <v>11.087297646119422</v>
      </c>
      <c r="EN11" s="59">
        <f t="shared" si="20"/>
        <v>277.53174209056385</v>
      </c>
      <c r="EO11" s="59">
        <f ca="1">AVERAGE(OFFSET($EN$3,0,0,'Données projet'!$E$15+1,1))-AVERAGE(OFFSET($H$3,0,0,'Données projet'!$E$15+1,1))</f>
        <v>207.2913533618397</v>
      </c>
      <c r="EP11" s="59">
        <f t="shared" si="46"/>
        <v>230.81096055024483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278.6927340463364</v>
      </c>
      <c r="S12" s="59">
        <f ca="1">AVERAGE(OFFSET($R$3,0,0,'Données projet'!$E$9+1,1))-AVERAGE(OFFSET($H$3,0,0,'Données projet'!$E$9+1,1))</f>
        <v>319.22903094674564</v>
      </c>
      <c r="T12" s="59">
        <f t="shared" si="34"/>
        <v>254.58690973142848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15.15</v>
      </c>
      <c r="AI12" s="13">
        <f>IF('Données projet'!$A$62&gt;35,AI11+AH12-AQ11,IF(A12&lt;'Données projet'!$A$62,$AF$205^A12,IF(A12='Données projet'!$A$62,'Données projet'!$B$62,AI11+AH12-AQ11)))</f>
        <v>13.081248106712142</v>
      </c>
      <c r="AJ12" s="13">
        <f>AI12*VLOOKUP('Données projet'!$B$10,Paramètres!$A$1:$I$89,3,0)*VLOOKUP('Données projet'!$B$10,Paramètres!$A$1:$I$89,5,0)</f>
        <v>7.3124176916520867</v>
      </c>
      <c r="AK12" s="13">
        <f t="shared" si="35"/>
        <v>2.6732301844560715</v>
      </c>
      <c r="AL12" s="20">
        <f t="shared" si="4"/>
        <v>17.391670050888376</v>
      </c>
      <c r="AM12" s="59">
        <f t="shared" si="5"/>
        <v>285.05833671755505</v>
      </c>
      <c r="AN12" s="59">
        <f ca="1">AVERAGE(OFFSET($AM$3,0,0,'Données projet'!$E$10+1,1))-AVERAGE(OFFSET($H$3,0,0,'Données projet'!$E$10+1,1))</f>
        <v>544.48194192356823</v>
      </c>
      <c r="AO12" s="59">
        <f t="shared" si="36"/>
        <v>668.20427590250733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6.2380360317336141</v>
      </c>
      <c r="BF12" s="13">
        <f t="shared" si="37"/>
        <v>2.3230383034439352</v>
      </c>
      <c r="BG12" s="20">
        <f t="shared" si="7"/>
        <v>14.910537800434229</v>
      </c>
      <c r="BH12" s="59">
        <f t="shared" si="8"/>
        <v>282.5772044671009</v>
      </c>
      <c r="BI12" s="59">
        <f ca="1">AVERAGE(OFFSET($BH$3,0,0,'Données projet'!$E$11+1,1))-AVERAGE(OFFSET($H$3,0,0,'Données projet'!$E$11+1,1))</f>
        <v>405.7176439604217</v>
      </c>
      <c r="BJ12" s="59">
        <f t="shared" si="38"/>
        <v>278.21741231699929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2.4666666666666668</v>
      </c>
      <c r="CT12" s="12">
        <f>IF('Données projet'!$A$140&gt;35,CT11+CS12-DB11,IF(A12&lt;'Données projet'!$A$140,$CQ$205^A12,IF(A12='Données projet'!$A$140,'Données projet'!$B$140,CT11+CS12-DB11)))</f>
        <v>8.7281265486761299</v>
      </c>
      <c r="CU12" s="17">
        <f>CT12*VLOOKUP('Données projet'!$B$13,Paramètres!$A$1:$I$89,3,0)*VLOOKUP('Données projet'!$B$13,Paramètres!$A$1:$I$89,5,0)</f>
        <v>6.9440974821267289</v>
      </c>
      <c r="CV12" s="13">
        <f t="shared" si="41"/>
        <v>2.5538994442566798</v>
      </c>
      <c r="CW12" s="20">
        <f t="shared" si="13"/>
        <v>16.542344646784436</v>
      </c>
      <c r="CX12" s="59">
        <f t="shared" si="14"/>
        <v>284.20901131345113</v>
      </c>
      <c r="CY12" s="59">
        <f ca="1">AVERAGE(OFFSET($CX$3,0,0,'Données projet'!$E$13+1,1))-AVERAGE(OFFSET($H$3,0,0,'Données projet'!$E$13+1,1))</f>
        <v>299.10536994156814</v>
      </c>
      <c r="CZ12" s="59">
        <f t="shared" si="42"/>
        <v>292.57799203101769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1.4</v>
      </c>
      <c r="DO12" s="12">
        <f>IF('Données projet'!$A$166&gt;35,DO11+DN12-DW11,IF(A12&lt;'Données projet'!$A$166,$DL$205^A12,IF(A12='Données projet'!$A$166,'Données projet'!$B$166,DO11+DN12-DW11)))</f>
        <v>10.752643127243291</v>
      </c>
      <c r="DP12" s="17">
        <f>DO12*VLOOKUP('Données projet'!$B$14,Paramètres!$A$1:$I$89,3,0)*VLOOKUP('Données projet'!$B$14,Paramètres!$A$1:$I$89,5,0)</f>
        <v>7.0451317769698045</v>
      </c>
      <c r="DQ12" s="13">
        <f t="shared" si="43"/>
        <v>2.5867049375081068</v>
      </c>
      <c r="DR12" s="20">
        <f t="shared" si="16"/>
        <v>16.775448944382362</v>
      </c>
      <c r="DS12" s="59">
        <f t="shared" si="17"/>
        <v>284.44211561104908</v>
      </c>
      <c r="DT12" s="59">
        <f ca="1">AVERAGE(OFFSET($DS$3,0,0,'Données projet'!$E$14+1,1))-AVERAGE(OFFSET($H$3,0,0,'Données projet'!$E$14+1,1))</f>
        <v>295.92103934364718</v>
      </c>
      <c r="DU12" s="59">
        <f t="shared" si="44"/>
        <v>304.84379909635476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3.6875</v>
      </c>
      <c r="EJ12" s="12">
        <f>IF('Données projet'!$A$192&gt;35,EJ11+EI12-ER11,IF(A12&lt;'Données projet'!$A$192,$EG$205^A12,IF(A12='Données projet'!$A$192,'Données projet'!$B$192,EJ11+EI12-ER11)))</f>
        <v>9.9106983214066666</v>
      </c>
      <c r="EK12" s="17">
        <f>EJ12*VLOOKUP('Données projet'!$B$15,Paramètres!$A$1:$I$89,3,0)*VLOOKUP('Données projet'!$B$15,Paramètres!$A$1:$I$89,5,0)</f>
        <v>5.9265975962011872</v>
      </c>
      <c r="EL12" s="13">
        <f t="shared" si="45"/>
        <v>2.2202554875387723</v>
      </c>
      <c r="EM12" s="20">
        <f t="shared" si="19"/>
        <v>14.189102454180428</v>
      </c>
      <c r="EN12" s="59">
        <f t="shared" si="20"/>
        <v>281.85576912084713</v>
      </c>
      <c r="EO12" s="59">
        <f ca="1">AVERAGE(OFFSET($EN$3,0,0,'Données projet'!$E$15+1,1))-AVERAGE(OFFSET($H$3,0,0,'Données projet'!$E$15+1,1))</f>
        <v>207.2913533618397</v>
      </c>
      <c r="EP12" s="59">
        <f t="shared" si="46"/>
        <v>230.81096055024483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282.97614497005429</v>
      </c>
      <c r="S13" s="59">
        <f ca="1">AVERAGE(OFFSET($R$3,0,0,'Données projet'!$E$9+1,1))-AVERAGE(OFFSET($H$3,0,0,'Données projet'!$E$9+1,1))</f>
        <v>319.22903094674564</v>
      </c>
      <c r="T13" s="59">
        <f t="shared" si="34"/>
        <v>254.58690973142848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15.15</v>
      </c>
      <c r="AI13" s="13">
        <f>IF('Données projet'!$A$62&gt;35,AI12+AH13-AQ12,IF(A13&lt;'Données projet'!$A$62,$AF$205^A13,IF(A13='Données projet'!$A$62,'Données projet'!$B$62,AI12+AH13-AQ12)))</f>
        <v>17.406895185529201</v>
      </c>
      <c r="AJ13" s="13">
        <f>AI13*VLOOKUP('Données projet'!$B$10,Paramètres!$A$1:$I$89,3,0)*VLOOKUP('Données projet'!$B$10,Paramètres!$A$1:$I$89,5,0)</f>
        <v>9.7304544087108251</v>
      </c>
      <c r="AK13" s="13">
        <f t="shared" si="35"/>
        <v>3.4408559511587775</v>
      </c>
      <c r="AL13" s="20">
        <f t="shared" si="4"/>
        <v>22.940032210106224</v>
      </c>
      <c r="AM13" s="59">
        <f t="shared" si="5"/>
        <v>291.82892109899507</v>
      </c>
      <c r="AN13" s="59">
        <f ca="1">AVERAGE(OFFSET($AM$3,0,0,'Données projet'!$E$10+1,1))-AVERAGE(OFFSET($H$3,0,0,'Données projet'!$E$10+1,1))</f>
        <v>544.48194192356823</v>
      </c>
      <c r="AO13" s="59">
        <f t="shared" si="36"/>
        <v>668.20427590250733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7.7306145887633031</v>
      </c>
      <c r="BF13" s="13">
        <f t="shared" si="37"/>
        <v>2.8078763226288115</v>
      </c>
      <c r="BG13" s="20">
        <f t="shared" si="7"/>
        <v>18.354538337341264</v>
      </c>
      <c r="BH13" s="59">
        <f t="shared" si="8"/>
        <v>287.2434272262301</v>
      </c>
      <c r="BI13" s="59">
        <f ca="1">AVERAGE(OFFSET($BH$3,0,0,'Données projet'!$E$11+1,1))-AVERAGE(OFFSET($H$3,0,0,'Données projet'!$E$11+1,1))</f>
        <v>405.7176439604217</v>
      </c>
      <c r="BJ13" s="59">
        <f t="shared" si="38"/>
        <v>278.21741231699929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2.4666666666666668</v>
      </c>
      <c r="CT13" s="12">
        <f>IF('Données projet'!$A$140&gt;35,CT12+CS13-DB12,IF(A13&lt;'Données projet'!$A$140,$CQ$205^A13,IF(A13='Données projet'!$A$140,'Données projet'!$B$140,CT12+CS13-DB12)))</f>
        <v>11.103702468586782</v>
      </c>
      <c r="CU13" s="17">
        <f>CT13*VLOOKUP('Données projet'!$B$13,Paramètres!$A$1:$I$89,3,0)*VLOOKUP('Données projet'!$B$13,Paramètres!$A$1:$I$89,5,0)</f>
        <v>8.8341056840076444</v>
      </c>
      <c r="CV13" s="13">
        <f t="shared" si="41"/>
        <v>3.1592306185484516</v>
      </c>
      <c r="CW13" s="20">
        <f t="shared" si="13"/>
        <v>20.888394060285197</v>
      </c>
      <c r="CX13" s="59">
        <f t="shared" si="14"/>
        <v>289.77728294917404</v>
      </c>
      <c r="CY13" s="59">
        <f ca="1">AVERAGE(OFFSET($CX$3,0,0,'Données projet'!$E$13+1,1))-AVERAGE(OFFSET($H$3,0,0,'Données projet'!$E$13+1,1))</f>
        <v>299.10536994156814</v>
      </c>
      <c r="CZ13" s="59">
        <f t="shared" si="42"/>
        <v>292.57799203101769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14</v>
      </c>
      <c r="DM13" s="12">
        <f>VLOOKUP(A13,'Données projet'!$A$165:$I$185,9,0)</f>
        <v>1.4</v>
      </c>
      <c r="DN13" s="12">
        <f t="array" ref="DN13">INDEX(DM:DM,MIN(IF(ISNUMBER(DM13:DM209),ROW(DM13:DM209),"")))</f>
        <v>1.4</v>
      </c>
      <c r="DO13" s="12">
        <f>IF('Données projet'!$A$166&gt;35,DO12+DN13-DW12,IF(A13&lt;'Données projet'!$A$166,$DL$205^A13,IF(A13='Données projet'!$A$166,'Données projet'!$B$166,DO12+DN13-DW12)))</f>
        <v>14</v>
      </c>
      <c r="DP13" s="17">
        <f>DO13*VLOOKUP('Données projet'!$B$14,Paramètres!$A$1:$I$89,3,0)*VLOOKUP('Données projet'!$B$14,Paramètres!$A$1:$I$89,5,0)</f>
        <v>9.1728000000000005</v>
      </c>
      <c r="DQ13" s="13">
        <f t="shared" si="43"/>
        <v>3.2660194391020205</v>
      </c>
      <c r="DR13" s="20">
        <f t="shared" si="16"/>
        <v>21.664277189769351</v>
      </c>
      <c r="DS13" s="59">
        <f t="shared" si="17"/>
        <v>290.55316607865819</v>
      </c>
      <c r="DT13" s="59">
        <f ca="1">AVERAGE(OFFSET($DS$3,0,0,'Données projet'!$E$14+1,1))-AVERAGE(OFFSET($H$3,0,0,'Données projet'!$E$14+1,1))</f>
        <v>295.92103934364718</v>
      </c>
      <c r="DU13" s="59">
        <f t="shared" si="44"/>
        <v>304.84379909635476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1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3.6875</v>
      </c>
      <c r="EJ13" s="12">
        <f>IF('Données projet'!$A$192&gt;35,EJ12+EI13-ER12,IF(A13&lt;'Données projet'!$A$192,$EG$205^A13,IF(A13='Données projet'!$A$192,'Données projet'!$B$192,EJ12+EI13-ER12)))</f>
        <v>12.787407561585187</v>
      </c>
      <c r="EK13" s="17">
        <f>EJ13*VLOOKUP('Données projet'!$B$15,Paramètres!$A$1:$I$89,3,0)*VLOOKUP('Données projet'!$B$15,Paramètres!$A$1:$I$89,5,0)</f>
        <v>7.646869721827942</v>
      </c>
      <c r="EL13" s="13">
        <f t="shared" si="45"/>
        <v>2.7809824903987539</v>
      </c>
      <c r="EM13" s="20">
        <f t="shared" si="19"/>
        <v>18.161842602961496</v>
      </c>
      <c r="EN13" s="59">
        <f t="shared" si="20"/>
        <v>287.05073149185034</v>
      </c>
      <c r="EO13" s="59">
        <f ca="1">AVERAGE(OFFSET($EN$3,0,0,'Données projet'!$E$15+1,1))-AVERAGE(OFFSET($H$3,0,0,'Données projet'!$E$15+1,1))</f>
        <v>207.2913533618397</v>
      </c>
      <c r="EP13" s="59">
        <f t="shared" si="46"/>
        <v>230.81096055024483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288.11253895675651</v>
      </c>
      <c r="S14" s="59">
        <f ca="1">AVERAGE(OFFSET($R$3,0,0,'Données projet'!$E$9+1,1))-AVERAGE(OFFSET($H$3,0,0,'Données projet'!$E$9+1,1))</f>
        <v>319.22903094674564</v>
      </c>
      <c r="T14" s="59">
        <f t="shared" si="34"/>
        <v>254.58690973142848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15.15</v>
      </c>
      <c r="AI14" s="13">
        <f>IF('Données projet'!$A$62&gt;35,AI13+AH14-AQ13,IF(A14&lt;'Données projet'!$A$62,$AF$205^A14,IF(A14='Données projet'!$A$62,'Données projet'!$B$62,AI13+AH14-AQ13)))</f>
        <v>23.162927384927961</v>
      </c>
      <c r="AJ14" s="13">
        <f>AI14*VLOOKUP('Données projet'!$B$10,Paramètres!$A$1:$I$89,3,0)*VLOOKUP('Données projet'!$B$10,Paramètres!$A$1:$I$89,5,0)</f>
        <v>12.94807640817473</v>
      </c>
      <c r="AK14" s="13">
        <f t="shared" si="35"/>
        <v>4.4289076733711168</v>
      </c>
      <c r="AL14" s="20">
        <f t="shared" si="4"/>
        <v>30.264913942025682</v>
      </c>
      <c r="AM14" s="59">
        <f t="shared" si="5"/>
        <v>300.3760250531368</v>
      </c>
      <c r="AN14" s="59">
        <f ca="1">AVERAGE(OFFSET($AM$3,0,0,'Données projet'!$E$10+1,1))-AVERAGE(OFFSET($H$3,0,0,'Données projet'!$E$10+1,1))</f>
        <v>544.48194192356823</v>
      </c>
      <c r="AO14" s="59">
        <f t="shared" si="36"/>
        <v>668.20427590250733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9.5803232966244067</v>
      </c>
      <c r="BF14" s="13">
        <f t="shared" si="37"/>
        <v>3.3939041949894282</v>
      </c>
      <c r="BG14" s="20">
        <f t="shared" si="7"/>
        <v>22.596779547894098</v>
      </c>
      <c r="BH14" s="59">
        <f t="shared" si="8"/>
        <v>292.70789065900522</v>
      </c>
      <c r="BI14" s="59">
        <f ca="1">AVERAGE(OFFSET($BH$3,0,0,'Données projet'!$E$11+1,1))-AVERAGE(OFFSET($H$3,0,0,'Données projet'!$E$11+1,1))</f>
        <v>405.7176439604217</v>
      </c>
      <c r="BJ14" s="59">
        <f t="shared" si="38"/>
        <v>278.21741231699929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2.4666666666666668</v>
      </c>
      <c r="CT14" s="12">
        <f>IF('Données projet'!$A$140&gt;35,CT13+CS14-DB13,IF(A14&lt;'Données projet'!$A$140,$CQ$205^A14,IF(A14='Données projet'!$A$140,'Données projet'!$B$140,CT13+CS14-DB13)))</f>
        <v>14.125850240977657</v>
      </c>
      <c r="CU14" s="17">
        <f>CT14*VLOOKUP('Données projet'!$B$13,Paramètres!$A$1:$I$89,3,0)*VLOOKUP('Données projet'!$B$13,Paramètres!$A$1:$I$89,5,0)</f>
        <v>11.238526451721825</v>
      </c>
      <c r="CV14" s="13">
        <f t="shared" si="41"/>
        <v>3.9080387928425129</v>
      </c>
      <c r="CW14" s="20">
        <f t="shared" si="13"/>
        <v>26.380267800949554</v>
      </c>
      <c r="CX14" s="59">
        <f t="shared" si="14"/>
        <v>296.49137891206067</v>
      </c>
      <c r="CY14" s="59">
        <f ca="1">AVERAGE(OFFSET($CX$3,0,0,'Données projet'!$E$13+1,1))-AVERAGE(OFFSET($H$3,0,0,'Données projet'!$E$13+1,1))</f>
        <v>299.10536994156814</v>
      </c>
      <c r="CZ14" s="59">
        <f t="shared" si="42"/>
        <v>292.57799203101769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7.8</v>
      </c>
      <c r="DO14" s="12">
        <f>IF('Données projet'!$A$166&gt;35,DO13+DN14-DW13,IF(A14&lt;'Données projet'!$A$166,$DL$205^A14,IF(A14='Données projet'!$A$166,'Données projet'!$B$166,DO13+DN14-DW13)))</f>
        <v>20.8</v>
      </c>
      <c r="DP14" s="17">
        <f>DO14*VLOOKUP('Données projet'!$B$14,Paramètres!$A$1:$I$89,3,0)*VLOOKUP('Données projet'!$B$14,Paramètres!$A$1:$I$89,5,0)</f>
        <v>13.628160000000001</v>
      </c>
      <c r="DQ14" s="13">
        <f t="shared" si="43"/>
        <v>4.6338374564363161</v>
      </c>
      <c r="DR14" s="20">
        <f t="shared" si="16"/>
        <v>31.806312236626585</v>
      </c>
      <c r="DS14" s="59">
        <f t="shared" si="17"/>
        <v>301.91742334773772</v>
      </c>
      <c r="DT14" s="59">
        <f ca="1">AVERAGE(OFFSET($DS$3,0,0,'Données projet'!$E$14+1,1))-AVERAGE(OFFSET($H$3,0,0,'Données projet'!$E$14+1,1))</f>
        <v>295.92103934364718</v>
      </c>
      <c r="DU14" s="59">
        <f t="shared" si="44"/>
        <v>304.84379909635476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3.6875</v>
      </c>
      <c r="EJ14" s="12">
        <f>IF('Données projet'!$A$192&gt;35,EJ13+EI14-ER13,IF(A14&lt;'Données projet'!$A$192,$EG$205^A14,IF(A14='Données projet'!$A$192,'Données projet'!$B$192,EJ13+EI14-ER13)))</f>
        <v>16.499119117862246</v>
      </c>
      <c r="EK14" s="17">
        <f>EJ14*VLOOKUP('Données projet'!$B$15,Paramètres!$A$1:$I$89,3,0)*VLOOKUP('Données projet'!$B$15,Paramètres!$A$1:$I$89,5,0)</f>
        <v>9.8664732324816242</v>
      </c>
      <c r="EL14" s="13">
        <f t="shared" si="45"/>
        <v>3.4833214714752034</v>
      </c>
      <c r="EM14" s="20">
        <f t="shared" si="19"/>
        <v>23.250892442724808</v>
      </c>
      <c r="EN14" s="59">
        <f t="shared" si="20"/>
        <v>293.36200355383596</v>
      </c>
      <c r="EO14" s="59">
        <f ca="1">AVERAGE(OFFSET($EN$3,0,0,'Données projet'!$E$15+1,1))-AVERAGE(OFFSET($H$3,0,0,'Données projet'!$E$15+1,1))</f>
        <v>207.2913533618397</v>
      </c>
      <c r="EP14" s="59">
        <f t="shared" si="46"/>
        <v>230.81096055024483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294.3404009375538</v>
      </c>
      <c r="S15" s="59">
        <f ca="1">AVERAGE(OFFSET($R$3,0,0,'Données projet'!$E$9+1,1))-AVERAGE(OFFSET($H$3,0,0,'Données projet'!$E$9+1,1))</f>
        <v>319.22903094674564</v>
      </c>
      <c r="T15" s="59">
        <f t="shared" si="34"/>
        <v>254.58690973142848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15.15</v>
      </c>
      <c r="AI15" s="13">
        <f>IF('Données projet'!$A$62&gt;35,AI14+AH15-AQ14,IF(A15&lt;'Données projet'!$A$62,$AF$205^A15,IF(A15='Données projet'!$A$62,'Données projet'!$B$62,AI14+AH15-AQ14)))</f>
        <v>30.822337890876113</v>
      </c>
      <c r="AJ15" s="13">
        <f>AI15*VLOOKUP('Données projet'!$B$10,Paramètres!$A$1:$I$89,3,0)*VLOOKUP('Données projet'!$B$10,Paramètres!$A$1:$I$89,5,0)</f>
        <v>17.229686880999751</v>
      </c>
      <c r="AK15" s="13">
        <f t="shared" si="35"/>
        <v>5.7006813007210422</v>
      </c>
      <c r="AL15" s="20">
        <f t="shared" si="4"/>
        <v>39.937057916497047</v>
      </c>
      <c r="AM15" s="59">
        <f t="shared" si="5"/>
        <v>311.27039124983037</v>
      </c>
      <c r="AN15" s="59">
        <f ca="1">AVERAGE(OFFSET($AM$3,0,0,'Données projet'!$E$10+1,1))-AVERAGE(OFFSET($H$3,0,0,'Données projet'!$E$10+1,1))</f>
        <v>544.48194192356823</v>
      </c>
      <c r="AO15" s="59">
        <f t="shared" si="36"/>
        <v>668.20427590250733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11.872612896942668</v>
      </c>
      <c r="BF15" s="13">
        <f t="shared" si="37"/>
        <v>4.1022411108131784</v>
      </c>
      <c r="BG15" s="20">
        <f t="shared" si="7"/>
        <v>27.822870730174767</v>
      </c>
      <c r="BH15" s="59">
        <f t="shared" si="8"/>
        <v>299.15620406350808</v>
      </c>
      <c r="BI15" s="59">
        <f ca="1">AVERAGE(OFFSET($BH$3,0,0,'Données projet'!$E$11+1,1))-AVERAGE(OFFSET($H$3,0,0,'Données projet'!$E$11+1,1))</f>
        <v>405.7176439604217</v>
      </c>
      <c r="BJ15" s="59">
        <f t="shared" si="38"/>
        <v>278.21741231699929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2.4666666666666668</v>
      </c>
      <c r="CT15" s="12">
        <f>IF('Données projet'!$A$140&gt;35,CT14+CS15-DB14,IF(A15&lt;'Données projet'!$A$140,$CQ$205^A15,IF(A15='Données projet'!$A$140,'Données projet'!$B$140,CT14+CS15-DB14)))</f>
        <v>17.970550417308221</v>
      </c>
      <c r="CU15" s="17">
        <f>CT15*VLOOKUP('Données projet'!$B$13,Paramètres!$A$1:$I$89,3,0)*VLOOKUP('Données projet'!$B$13,Paramètres!$A$1:$I$89,5,0)</f>
        <v>14.297369912010421</v>
      </c>
      <c r="CV15" s="13">
        <f t="shared" si="41"/>
        <v>4.8343312187127445</v>
      </c>
      <c r="CW15" s="20">
        <f t="shared" si="13"/>
        <v>33.321046136009507</v>
      </c>
      <c r="CX15" s="59">
        <f t="shared" si="14"/>
        <v>304.65437946934281</v>
      </c>
      <c r="CY15" s="59">
        <f ca="1">AVERAGE(OFFSET($CX$3,0,0,'Données projet'!$E$13+1,1))-AVERAGE(OFFSET($H$3,0,0,'Données projet'!$E$13+1,1))</f>
        <v>299.10536994156814</v>
      </c>
      <c r="CZ15" s="59">
        <f t="shared" si="42"/>
        <v>292.57799203101769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7.8</v>
      </c>
      <c r="DO15" s="12">
        <f>IF('Données projet'!$A$166&gt;35,DO14+DN15-DW14,IF(A15&lt;'Données projet'!$A$166,$DL$205^A15,IF(A15='Données projet'!$A$166,'Données projet'!$B$166,DO14+DN15-DW14)))</f>
        <v>28.6</v>
      </c>
      <c r="DP15" s="17">
        <f>DO15*VLOOKUP('Données projet'!$B$14,Paramètres!$A$1:$I$89,3,0)*VLOOKUP('Données projet'!$B$14,Paramètres!$A$1:$I$89,5,0)</f>
        <v>18.738720000000001</v>
      </c>
      <c r="DQ15" s="13">
        <f t="shared" si="43"/>
        <v>6.1396704366978918</v>
      </c>
      <c r="DR15" s="20">
        <f t="shared" si="16"/>
        <v>43.329863343915491</v>
      </c>
      <c r="DS15" s="59">
        <f t="shared" si="17"/>
        <v>314.66319667724883</v>
      </c>
      <c r="DT15" s="59">
        <f ca="1">AVERAGE(OFFSET($DS$3,0,0,'Données projet'!$E$14+1,1))-AVERAGE(OFFSET($H$3,0,0,'Données projet'!$E$14+1,1))</f>
        <v>295.92103934364718</v>
      </c>
      <c r="DU15" s="59">
        <f t="shared" si="44"/>
        <v>304.84379909635476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3.6875</v>
      </c>
      <c r="EJ15" s="12">
        <f>IF('Données projet'!$A$192&gt;35,EJ14+EI15-ER14,IF(A15&lt;'Données projet'!$A$192,$EG$205^A15,IF(A15='Données projet'!$A$192,'Données projet'!$B$192,EJ14+EI15-ER14)))</f>
        <v>21.288203285487658</v>
      </c>
      <c r="EK15" s="17">
        <f>EJ15*VLOOKUP('Données projet'!$B$15,Paramètres!$A$1:$I$89,3,0)*VLOOKUP('Données projet'!$B$15,Paramètres!$A$1:$I$89,5,0)</f>
        <v>12.73034556472162</v>
      </c>
      <c r="EL15" s="13">
        <f t="shared" si="45"/>
        <v>4.3630366302307797</v>
      </c>
      <c r="EM15" s="20">
        <f t="shared" si="19"/>
        <v>29.770973989542096</v>
      </c>
      <c r="EN15" s="59">
        <f t="shared" si="20"/>
        <v>301.1043073228754</v>
      </c>
      <c r="EO15" s="59">
        <f ca="1">AVERAGE(OFFSET($EN$3,0,0,'Données projet'!$E$15+1,1))-AVERAGE(OFFSET($H$3,0,0,'Données projet'!$E$15+1,1))</f>
        <v>207.2913533618397</v>
      </c>
      <c r="EP15" s="59">
        <f t="shared" si="46"/>
        <v>230.81096055024483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301.9651025183199</v>
      </c>
      <c r="S16" s="59">
        <f ca="1">AVERAGE(OFFSET($R$3,0,0,'Données projet'!$E$9+1,1))-AVERAGE(OFFSET($H$3,0,0,'Données projet'!$E$9+1,1))</f>
        <v>319.22903094674564</v>
      </c>
      <c r="T16" s="59">
        <f t="shared" si="34"/>
        <v>254.58690973142848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15.15</v>
      </c>
      <c r="AI16" s="13">
        <f>IF('Données projet'!$A$62&gt;35,AI15+AH16-AQ15,IF(A16&lt;'Données projet'!$A$62,$AF$205^A16,IF(A16='Données projet'!$A$62,'Données projet'!$B$62,AI15+AH16-AQ15)))</f>
        <v>41.014527104959527</v>
      </c>
      <c r="AJ16" s="13">
        <f>AI16*VLOOKUP('Données projet'!$B$10,Paramètres!$A$1:$I$89,3,0)*VLOOKUP('Données projet'!$B$10,Paramètres!$A$1:$I$89,5,0)</f>
        <v>22.927120651672375</v>
      </c>
      <c r="AK16" s="13">
        <f t="shared" si="35"/>
        <v>7.3376483975459479</v>
      </c>
      <c r="AL16" s="20">
        <f t="shared" si="4"/>
        <v>52.711139427388581</v>
      </c>
      <c r="AM16" s="59">
        <f t="shared" si="5"/>
        <v>325.2666949829441</v>
      </c>
      <c r="AN16" s="59">
        <f ca="1">AVERAGE(OFFSET($AM$3,0,0,'Données projet'!$E$10+1,1))-AVERAGE(OFFSET($H$3,0,0,'Données projet'!$E$10+1,1))</f>
        <v>544.48194192356823</v>
      </c>
      <c r="AO16" s="59">
        <f t="shared" si="36"/>
        <v>668.20427590250733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14.713379980643843</v>
      </c>
      <c r="BF16" s="13">
        <f t="shared" si="37"/>
        <v>4.9584140165447881</v>
      </c>
      <c r="BG16" s="20">
        <f t="shared" si="7"/>
        <v>34.261707878436859</v>
      </c>
      <c r="BH16" s="59">
        <f t="shared" si="8"/>
        <v>306.81726343399242</v>
      </c>
      <c r="BI16" s="59">
        <f ca="1">AVERAGE(OFFSET($BH$3,0,0,'Données projet'!$E$11+1,1))-AVERAGE(OFFSET($H$3,0,0,'Données projet'!$E$11+1,1))</f>
        <v>405.7176439604217</v>
      </c>
      <c r="BJ16" s="59">
        <f t="shared" si="38"/>
        <v>278.21741231699929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2.4666666666666668</v>
      </c>
      <c r="CT16" s="12">
        <f>IF('Données projet'!$A$140&gt;35,CT15+CS16-DB15,IF(A16&lt;'Données projet'!$A$140,$CQ$205^A16,IF(A16='Données projet'!$A$140,'Données projet'!$B$140,CT15+CS16-DB15)))</f>
        <v>22.86168101684942</v>
      </c>
      <c r="CU16" s="17">
        <f>CT16*VLOOKUP('Données projet'!$B$13,Paramètres!$A$1:$I$89,3,0)*VLOOKUP('Données projet'!$B$13,Paramètres!$A$1:$I$89,5,0)</f>
        <v>18.188753417005401</v>
      </c>
      <c r="CV16" s="13">
        <f t="shared" si="41"/>
        <v>5.9801756254374139</v>
      </c>
      <c r="CW16" s="20">
        <f t="shared" si="13"/>
        <v>42.094218082254564</v>
      </c>
      <c r="CX16" s="59">
        <f t="shared" si="14"/>
        <v>314.64977363781009</v>
      </c>
      <c r="CY16" s="59">
        <f ca="1">AVERAGE(OFFSET($CX$3,0,0,'Données projet'!$E$13+1,1))-AVERAGE(OFFSET($H$3,0,0,'Données projet'!$E$13+1,1))</f>
        <v>299.10536994156814</v>
      </c>
      <c r="CZ16" s="59">
        <f t="shared" si="42"/>
        <v>292.57799203101769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7.8</v>
      </c>
      <c r="DO16" s="12">
        <f>IF('Données projet'!$A$166&gt;35,DO15+DN16-DW15,IF(A16&lt;'Données projet'!$A$166,$DL$205^A16,IF(A16='Données projet'!$A$166,'Données projet'!$B$166,DO15+DN16-DW15)))</f>
        <v>36.4</v>
      </c>
      <c r="DP16" s="17">
        <f>DO16*VLOOKUP('Données projet'!$B$14,Paramètres!$A$1:$I$89,3,0)*VLOOKUP('Données projet'!$B$14,Paramètres!$A$1:$I$89,5,0)</f>
        <v>23.849279999999997</v>
      </c>
      <c r="DQ16" s="13">
        <f t="shared" si="43"/>
        <v>7.5978237630267955</v>
      </c>
      <c r="DR16" s="20">
        <f t="shared" si="16"/>
        <v>54.770372387271664</v>
      </c>
      <c r="DS16" s="59">
        <f t="shared" si="17"/>
        <v>327.32592794282721</v>
      </c>
      <c r="DT16" s="59">
        <f ca="1">AVERAGE(OFFSET($DS$3,0,0,'Données projet'!$E$14+1,1))-AVERAGE(OFFSET($H$3,0,0,'Données projet'!$E$14+1,1))</f>
        <v>295.92103934364718</v>
      </c>
      <c r="DU16" s="59">
        <f t="shared" si="44"/>
        <v>304.84379909635476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3.6875</v>
      </c>
      <c r="EJ16" s="12">
        <f>IF('Données projet'!$A$192&gt;35,EJ15+EI16-ER15,IF(A16&lt;'Données projet'!$A$192,$EG$205^A16,IF(A16='Données projet'!$A$192,'Données projet'!$B$192,EJ15+EI16-ER15)))</f>
        <v>27.46738149393796</v>
      </c>
      <c r="EK16" s="17">
        <f>EJ16*VLOOKUP('Données projet'!$B$15,Paramètres!$A$1:$I$89,3,0)*VLOOKUP('Données projet'!$B$15,Paramètres!$A$1:$I$89,5,0)</f>
        <v>16.425494133374901</v>
      </c>
      <c r="EL16" s="13">
        <f t="shared" si="45"/>
        <v>5.4649244385341413</v>
      </c>
      <c r="EM16" s="20">
        <f t="shared" si="19"/>
        <v>38.125812346074909</v>
      </c>
      <c r="EN16" s="59">
        <f t="shared" si="20"/>
        <v>310.68136790163044</v>
      </c>
      <c r="EO16" s="59">
        <f ca="1">AVERAGE(OFFSET($EN$3,0,0,'Données projet'!$E$15+1,1))-AVERAGE(OFFSET($H$3,0,0,'Données projet'!$E$15+1,1))</f>
        <v>207.2913533618397</v>
      </c>
      <c r="EP16" s="59">
        <f t="shared" si="46"/>
        <v>230.81096055024483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311.37771528134829</v>
      </c>
      <c r="S17" s="59">
        <f ca="1">AVERAGE(OFFSET($R$3,0,0,'Données projet'!$E$9+1,1))-AVERAGE(OFFSET($H$3,0,0,'Données projet'!$E$9+1,1))</f>
        <v>319.22903094674564</v>
      </c>
      <c r="T17" s="59">
        <f t="shared" si="34"/>
        <v>254.58690973142848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15.15</v>
      </c>
      <c r="AI17" s="13">
        <f>IF('Données projet'!$A$62&gt;35,AI16+AH17-AQ16,IF(A17&lt;'Données projet'!$A$62,$AF$205^A17,IF(A17='Données projet'!$A$62,'Données projet'!$B$62,AI16+AH17-AQ16)))</f>
        <v>54.577022664507709</v>
      </c>
      <c r="AJ17" s="13">
        <f>AI17*VLOOKUP('Données projet'!$B$10,Paramètres!$A$1:$I$89,3,0)*VLOOKUP('Données projet'!$B$10,Paramètres!$A$1:$I$89,5,0)</f>
        <v>30.50855566945981</v>
      </c>
      <c r="AK17" s="13">
        <f t="shared" si="35"/>
        <v>9.4446753231405243</v>
      </c>
      <c r="AL17" s="20">
        <f t="shared" si="4"/>
        <v>69.585210645445571</v>
      </c>
      <c r="AM17" s="59">
        <f t="shared" si="5"/>
        <v>343.36298842322333</v>
      </c>
      <c r="AN17" s="59">
        <f ca="1">AVERAGE(OFFSET($AM$3,0,0,'Données projet'!$E$10+1,1))-AVERAGE(OFFSET($H$3,0,0,'Données projet'!$E$10+1,1))</f>
        <v>544.48194192356823</v>
      </c>
      <c r="AO17" s="59">
        <f t="shared" si="36"/>
        <v>668.20427590250733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18.233859078363277</v>
      </c>
      <c r="BF17" s="13">
        <f t="shared" si="37"/>
        <v>5.9932775513027368</v>
      </c>
      <c r="BG17" s="20">
        <f t="shared" si="7"/>
        <v>42.195596296668306</v>
      </c>
      <c r="BH17" s="59">
        <f t="shared" si="8"/>
        <v>315.9733740744461</v>
      </c>
      <c r="BI17" s="59">
        <f ca="1">AVERAGE(OFFSET($BH$3,0,0,'Données projet'!$E$11+1,1))-AVERAGE(OFFSET($H$3,0,0,'Données projet'!$E$11+1,1))</f>
        <v>405.7176439604217</v>
      </c>
      <c r="BJ17" s="59">
        <f t="shared" si="38"/>
        <v>278.21741231699929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2.4666666666666668</v>
      </c>
      <c r="CT17" s="12">
        <f>IF('Données projet'!$A$140&gt;35,CT16+CS17-DB16,IF(A17&lt;'Données projet'!$A$140,$CQ$205^A17,IF(A17='Données projet'!$A$140,'Données projet'!$B$140,CT16+CS17-DB16)))</f>
        <v>29.084054009429774</v>
      </c>
      <c r="CU17" s="17">
        <f>CT17*VLOOKUP('Données projet'!$B$13,Paramètres!$A$1:$I$89,3,0)*VLOOKUP('Données projet'!$B$13,Paramètres!$A$1:$I$89,5,0)</f>
        <v>23.13927336990233</v>
      </c>
      <c r="CV17" s="13">
        <f t="shared" si="41"/>
        <v>7.3976107331343286</v>
      </c>
      <c r="CW17" s="20">
        <f t="shared" si="13"/>
        <v>53.185073146122171</v>
      </c>
      <c r="CX17" s="59">
        <f t="shared" si="14"/>
        <v>326.96285092389996</v>
      </c>
      <c r="CY17" s="59">
        <f ca="1">AVERAGE(OFFSET($CX$3,0,0,'Données projet'!$E$13+1,1))-AVERAGE(OFFSET($H$3,0,0,'Données projet'!$E$13+1,1))</f>
        <v>299.10536994156814</v>
      </c>
      <c r="CZ17" s="59">
        <f t="shared" si="42"/>
        <v>292.57799203101769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7.8</v>
      </c>
      <c r="DO17" s="12">
        <f>IF('Données projet'!$A$166&gt;35,DO16+DN17-DW16,IF(A17&lt;'Données projet'!$A$166,$DL$205^A17,IF(A17='Données projet'!$A$166,'Données projet'!$B$166,DO16+DN17-DW16)))</f>
        <v>44.199999999999996</v>
      </c>
      <c r="DP17" s="17">
        <f>DO17*VLOOKUP('Données projet'!$B$14,Paramètres!$A$1:$I$89,3,0)*VLOOKUP('Données projet'!$B$14,Paramètres!$A$1:$I$89,5,0)</f>
        <v>28.959839999999996</v>
      </c>
      <c r="DQ17" s="13">
        <f t="shared" si="43"/>
        <v>9.0197634951152139</v>
      </c>
      <c r="DR17" s="20">
        <f t="shared" si="16"/>
        <v>66.147809420658987</v>
      </c>
      <c r="DS17" s="59">
        <f t="shared" si="17"/>
        <v>339.92558719843674</v>
      </c>
      <c r="DT17" s="59">
        <f ca="1">AVERAGE(OFFSET($DS$3,0,0,'Données projet'!$E$14+1,1))-AVERAGE(OFFSET($H$3,0,0,'Données projet'!$E$14+1,1))</f>
        <v>295.92103934364718</v>
      </c>
      <c r="DU17" s="59">
        <f t="shared" si="44"/>
        <v>304.84379909635476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3.6875</v>
      </c>
      <c r="EJ17" s="12">
        <f>IF('Données projet'!$A$192&gt;35,EJ16+EI17-ER16,IF(A17&lt;'Données projet'!$A$192,$EG$205^A17,IF(A17='Données projet'!$A$192,'Données projet'!$B$192,EJ16+EI17-ER16)))</f>
        <v>35.440146639704686</v>
      </c>
      <c r="EK17" s="17">
        <f>EJ17*VLOOKUP('Données projet'!$B$15,Paramètres!$A$1:$I$89,3,0)*VLOOKUP('Données projet'!$B$15,Paramètres!$A$1:$I$89,5,0)</f>
        <v>21.193207690543407</v>
      </c>
      <c r="EL17" s="13">
        <f t="shared" si="45"/>
        <v>6.8450947470748194</v>
      </c>
      <c r="EM17" s="20">
        <f t="shared" si="19"/>
        <v>48.833376745518414</v>
      </c>
      <c r="EN17" s="59">
        <f t="shared" si="20"/>
        <v>322.61115452329619</v>
      </c>
      <c r="EO17" s="59">
        <f ca="1">AVERAGE(OFFSET($EN$3,0,0,'Données projet'!$E$15+1,1))-AVERAGE(OFFSET($H$3,0,0,'Données projet'!$E$15+1,1))</f>
        <v>207.2913533618397</v>
      </c>
      <c r="EP17" s="59">
        <f t="shared" si="46"/>
        <v>230.81096055024483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323.07912961223798</v>
      </c>
      <c r="S18" s="59">
        <f ca="1">AVERAGE(OFFSET($R$3,0,0,'Données projet'!$E$9+1,1))-AVERAGE(OFFSET($H$3,0,0,'Données projet'!$E$9+1,1))</f>
        <v>319.22903094674564</v>
      </c>
      <c r="T18" s="59">
        <f t="shared" si="34"/>
        <v>254.58690973142848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15.15</v>
      </c>
      <c r="AI18" s="13">
        <f>IF('Données projet'!$A$62&gt;35,AI17+AH18-AQ17,IF(A18&lt;'Données projet'!$A$62,$AF$205^A18,IF(A18='Données projet'!$A$62,'Données projet'!$B$62,AI17+AH18-AQ17)))</f>
        <v>72.624302001570669</v>
      </c>
      <c r="AJ18" s="13">
        <f>AI18*VLOOKUP('Données projet'!$B$10,Paramètres!$A$1:$I$89,3,0)*VLOOKUP('Données projet'!$B$10,Paramètres!$A$1:$I$89,5,0)</f>
        <v>40.596984818878006</v>
      </c>
      <c r="AK18" s="13">
        <f t="shared" si="35"/>
        <v>12.156741114683665</v>
      </c>
      <c r="AL18" s="20">
        <f t="shared" si="4"/>
        <v>91.879406000953239</v>
      </c>
      <c r="AM18" s="59">
        <f t="shared" si="5"/>
        <v>366.87940600095322</v>
      </c>
      <c r="AN18" s="59">
        <f ca="1">AVERAGE(OFFSET($AM$3,0,0,'Données projet'!$E$10+1,1))-AVERAGE(OFFSET($H$3,0,0,'Données projet'!$E$10+1,1))</f>
        <v>544.48194192356823</v>
      </c>
      <c r="AO18" s="59">
        <f t="shared" si="36"/>
        <v>668.20427590250733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22.596685284210423</v>
      </c>
      <c r="BF18" s="13">
        <f t="shared" si="37"/>
        <v>7.2441259820371586</v>
      </c>
      <c r="BG18" s="20">
        <f t="shared" si="7"/>
        <v>51.972746288714539</v>
      </c>
      <c r="BH18" s="59">
        <f t="shared" si="8"/>
        <v>326.97274628871452</v>
      </c>
      <c r="BI18" s="59">
        <f ca="1">AVERAGE(OFFSET($BH$3,0,0,'Données projet'!$E$11+1,1))-AVERAGE(OFFSET($H$3,0,0,'Données projet'!$E$11+1,1))</f>
        <v>405.7176439604217</v>
      </c>
      <c r="BJ18" s="59">
        <f t="shared" si="38"/>
        <v>278.21741231699929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37</v>
      </c>
      <c r="CR18" s="12">
        <f>VLOOKUP(A18,'Données projet'!$A$139:$I$159,9,0)</f>
        <v>2.4666666666666668</v>
      </c>
      <c r="CS18" s="12">
        <f t="array" ref="CS18">INDEX(CR:CR,MIN(IF(ISNUMBER(CR18:CR214),ROW(CR18:CR214),"")))</f>
        <v>2.4666666666666668</v>
      </c>
      <c r="CT18" s="12">
        <f>IF('Données projet'!$A$140&gt;35,CT17+CS18-DB17,IF(A18&lt;'Données projet'!$A$140,$CQ$205^A18,IF(A18='Données projet'!$A$140,'Données projet'!$B$140,CT17+CS18-DB17)))</f>
        <v>37</v>
      </c>
      <c r="CU18" s="17">
        <f>CT18*VLOOKUP('Données projet'!$B$13,Paramètres!$A$1:$I$89,3,0)*VLOOKUP('Données projet'!$B$13,Paramètres!$A$1:$I$89,5,0)</f>
        <v>29.437200000000004</v>
      </c>
      <c r="CV18" s="13">
        <f t="shared" si="41"/>
        <v>9.1510096001539196</v>
      </c>
      <c r="CW18" s="20">
        <f t="shared" si="13"/>
        <v>67.207798386934755</v>
      </c>
      <c r="CX18" s="59">
        <f t="shared" si="14"/>
        <v>342.20779838693477</v>
      </c>
      <c r="CY18" s="59">
        <f ca="1">AVERAGE(OFFSET($CX$3,0,0,'Données projet'!$E$13+1,1))-AVERAGE(OFFSET($H$3,0,0,'Données projet'!$E$13+1,1))</f>
        <v>299.10536994156814</v>
      </c>
      <c r="CZ18" s="59">
        <f t="shared" si="42"/>
        <v>292.57799203101769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15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0.159</v>
      </c>
      <c r="DE18" s="16">
        <f>IF(ISNA(VLOOKUP(A18,'Données projet'!$A$139:$I$159,7,0)),0%,VLOOKUP(A18,'Données projet'!$A$139:$I$159,7,0))</f>
        <v>0.7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2.0893774831225831</v>
      </c>
      <c r="DH18" s="21">
        <f>EXP(-LN(2)/2)*DH17+(1-EXP(-LN(2)/2))/(LN(2)/2)*DB18*DE18*VLOOKUP('Données projet'!$B$13,Paramètres!$A$1:$I$89,3,0)*0.475*44/12</f>
        <v>7.8820351392304921</v>
      </c>
      <c r="DI18" s="22">
        <f t="shared" si="15"/>
        <v>9.9714126223530748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52</v>
      </c>
      <c r="DM18" s="12">
        <f>VLOOKUP(A18,'Données projet'!$A$165:$I$185,9,0)</f>
        <v>7.8</v>
      </c>
      <c r="DN18" s="12">
        <f t="array" ref="DN18">INDEX(DM:DM,MIN(IF(ISNUMBER(DM18:DM214),ROW(DM18:DM214),"")))</f>
        <v>7.8</v>
      </c>
      <c r="DO18" s="12">
        <f>IF('Données projet'!$A$166&gt;35,DO17+DN18-DW17,IF(A18&lt;'Données projet'!$A$166,$DL$205^A18,IF(A18='Données projet'!$A$166,'Données projet'!$B$166,DO17+DN18-DW17)))</f>
        <v>51.999999999999993</v>
      </c>
      <c r="DP18" s="17">
        <f>DO18*VLOOKUP('Données projet'!$B$14,Paramètres!$A$1:$I$89,3,0)*VLOOKUP('Données projet'!$B$14,Paramètres!$A$1:$I$89,5,0)</f>
        <v>34.070399999999992</v>
      </c>
      <c r="DQ18" s="13">
        <f t="shared" si="43"/>
        <v>10.412633617059315</v>
      </c>
      <c r="DR18" s="20">
        <f t="shared" si="16"/>
        <v>77.474616883044959</v>
      </c>
      <c r="DS18" s="59">
        <f t="shared" si="17"/>
        <v>352.47461688304497</v>
      </c>
      <c r="DT18" s="59">
        <f ca="1">AVERAGE(OFFSET($DS$3,0,0,'Données projet'!$E$14+1,1))-AVERAGE(OFFSET($H$3,0,0,'Données projet'!$E$14+1,1))</f>
        <v>295.92103934364718</v>
      </c>
      <c r="DU18" s="59">
        <f t="shared" si="44"/>
        <v>304.84379909635476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5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8.6000000000000007E-2</v>
      </c>
      <c r="DZ18" s="16">
        <f>IF(ISNA(VLOOKUP(A18,'Données projet'!$A$165:$I$185,7,0)),0%,VLOOKUP(A18,'Données projet'!$A$165:$I$185,7,0))</f>
        <v>0.4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0.3102245023652227</v>
      </c>
      <c r="EC18" s="21">
        <f>EXP(-LN(2)/2)*EC17+(1-EXP(-LN(2)/2))/(LN(2)/2)*DW18*DZ18*VLOOKUP('Données projet'!$B$14,Paramètres!$A$1:$I$89,3,0)*0.475*44/12</f>
        <v>1.2363976688989009</v>
      </c>
      <c r="ED18" s="22">
        <f t="shared" si="18"/>
        <v>1.5466221712641235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3.6875</v>
      </c>
      <c r="EJ18" s="12">
        <f>IF('Données projet'!$A$192&gt;35,EJ17+EI18-ER17,IF(A18&lt;'Données projet'!$A$192,$EG$205^A18,IF(A18='Données projet'!$A$192,'Données projet'!$B$192,EJ17+EI18-ER17)))</f>
        <v>45.7271106865782</v>
      </c>
      <c r="EK18" s="17">
        <f>EJ18*VLOOKUP('Données projet'!$B$15,Paramètres!$A$1:$I$89,3,0)*VLOOKUP('Données projet'!$B$15,Paramètres!$A$1:$I$89,5,0)</f>
        <v>27.344812190573766</v>
      </c>
      <c r="EL18" s="13">
        <f t="shared" si="45"/>
        <v>8.5738279867231331</v>
      </c>
      <c r="EM18" s="20">
        <f t="shared" si="19"/>
        <v>62.558298308792104</v>
      </c>
      <c r="EN18" s="59">
        <f t="shared" si="20"/>
        <v>337.55829830879213</v>
      </c>
      <c r="EO18" s="59">
        <f ca="1">AVERAGE(OFFSET($EN$3,0,0,'Données projet'!$E$15+1,1))-AVERAGE(OFFSET($H$3,0,0,'Données projet'!$E$15+1,1))</f>
        <v>207.2913533618397</v>
      </c>
      <c r="EP18" s="59">
        <f t="shared" si="46"/>
        <v>230.81096055024483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337.71097882304434</v>
      </c>
      <c r="S19" s="59">
        <f ca="1">AVERAGE(OFFSET($R$3,0,0,'Données projet'!$E$9+1,1))-AVERAGE(OFFSET($H$3,0,0,'Données projet'!$E$9+1,1))</f>
        <v>319.22903094674564</v>
      </c>
      <c r="T19" s="59">
        <f t="shared" si="34"/>
        <v>254.58690973142848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15.15</v>
      </c>
      <c r="AI19" s="13">
        <f>IF('Données projet'!$A$62&gt;35,AI18+AH19-AQ18,IF(A19&lt;'Données projet'!$A$62,$AF$205^A19,IF(A19='Données projet'!$A$62,'Données projet'!$B$62,AI18+AH19-AQ18)))</f>
        <v>96.639372829791554</v>
      </c>
      <c r="AJ19" s="13">
        <f>AI19*VLOOKUP('Données projet'!$B$10,Paramètres!$A$1:$I$89,3,0)*VLOOKUP('Données projet'!$B$10,Paramètres!$A$1:$I$89,5,0)</f>
        <v>54.021409411853483</v>
      </c>
      <c r="AK19" s="13">
        <f t="shared" si="35"/>
        <v>15.647584429646512</v>
      </c>
      <c r="AL19" s="20">
        <f t="shared" si="4"/>
        <v>121.34016427394583</v>
      </c>
      <c r="AM19" s="59">
        <f t="shared" si="5"/>
        <v>397.56238649616807</v>
      </c>
      <c r="AN19" s="59">
        <f ca="1">AVERAGE(OFFSET($AM$3,0,0,'Données projet'!$E$10+1,1))-AVERAGE(OFFSET($H$3,0,0,'Données projet'!$E$10+1,1))</f>
        <v>544.48194192356823</v>
      </c>
      <c r="AO19" s="59">
        <f t="shared" si="36"/>
        <v>668.20427590250733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28.003407487093821</v>
      </c>
      <c r="BF19" s="13">
        <f t="shared" si="37"/>
        <v>8.7560372090925433</v>
      </c>
      <c r="BG19" s="20">
        <f t="shared" si="7"/>
        <v>64.022699512524582</v>
      </c>
      <c r="BH19" s="59">
        <f t="shared" si="8"/>
        <v>340.24492173474681</v>
      </c>
      <c r="BI19" s="59">
        <f ca="1">AVERAGE(OFFSET($BH$3,0,0,'Données projet'!$E$11+1,1))-AVERAGE(OFFSET($H$3,0,0,'Données projet'!$E$11+1,1))</f>
        <v>405.7176439604217</v>
      </c>
      <c r="BJ19" s="59">
        <f t="shared" si="38"/>
        <v>278.21741231699929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11.6</v>
      </c>
      <c r="CT19" s="12">
        <f>IF('Données projet'!$A$140&gt;35,CT18+CS19-DB18,IF(A19&lt;'Données projet'!$A$140,$CQ$205^A19,IF(A19='Données projet'!$A$140,'Données projet'!$B$140,CT18+CS19-DB18)))</f>
        <v>33.6</v>
      </c>
      <c r="CU19" s="17">
        <f>CT19*VLOOKUP('Données projet'!$B$13,Paramètres!$A$1:$I$89,3,0)*VLOOKUP('Données projet'!$B$13,Paramètres!$A$1:$I$89,5,0)</f>
        <v>26.732160000000004</v>
      </c>
      <c r="CV19" s="13">
        <f t="shared" si="41"/>
        <v>8.4038705306032053</v>
      </c>
      <c r="CW19" s="20">
        <f t="shared" si="13"/>
        <v>61.195253174133917</v>
      </c>
      <c r="CX19" s="59">
        <f t="shared" si="14"/>
        <v>337.41747539635617</v>
      </c>
      <c r="CY19" s="59">
        <f ca="1">AVERAGE(OFFSET($CX$3,0,0,'Données projet'!$E$13+1,1))-AVERAGE(OFFSET($H$3,0,0,'Données projet'!$E$13+1,1))</f>
        <v>299.10536994156814</v>
      </c>
      <c r="CZ19" s="59">
        <f t="shared" si="42"/>
        <v>292.57799203101769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2.0322433459710094</v>
      </c>
      <c r="DH19" s="21">
        <f>EXP(-LN(2)/2)*DH18+(1-EXP(-LN(2)/2))/(LN(2)/2)*DB19*DE19*VLOOKUP('Données projet'!$B$13,Paramètres!$A$1:$I$89,3,0)*0.475*44/12</f>
        <v>5.5734404965005346</v>
      </c>
      <c r="DI19" s="22">
        <f t="shared" si="15"/>
        <v>7.6056838424715441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14</v>
      </c>
      <c r="DO19" s="12">
        <f>IF('Données projet'!$A$166&gt;35,DO18+DN19-DW18,IF(A19&lt;'Données projet'!$A$166,$DL$205^A19,IF(A19='Données projet'!$A$166,'Données projet'!$B$166,DO18+DN19-DW18)))</f>
        <v>61</v>
      </c>
      <c r="DP19" s="17">
        <f>DO19*VLOOKUP('Données projet'!$B$14,Paramètres!$A$1:$I$89,3,0)*VLOOKUP('Données projet'!$B$14,Paramètres!$A$1:$I$89,5,0)</f>
        <v>39.967199999999998</v>
      </c>
      <c r="DQ19" s="13">
        <f t="shared" si="43"/>
        <v>11.989952848060867</v>
      </c>
      <c r="DR19" s="20">
        <f t="shared" si="16"/>
        <v>90.492041210372676</v>
      </c>
      <c r="DS19" s="59">
        <f t="shared" si="17"/>
        <v>366.71426343259492</v>
      </c>
      <c r="DT19" s="59">
        <f ca="1">AVERAGE(OFFSET($DS$3,0,0,'Données projet'!$E$14+1,1))-AVERAGE(OFFSET($H$3,0,0,'Données projet'!$E$14+1,1))</f>
        <v>295.92103934364718</v>
      </c>
      <c r="DU19" s="59">
        <f t="shared" si="44"/>
        <v>304.84379909635476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0.30174139703404812</v>
      </c>
      <c r="EC19" s="21">
        <f>EXP(-LN(2)/2)*EC18+(1-EXP(-LN(2)/2))/(LN(2)/2)*DW19*DZ19*VLOOKUP('Données projet'!$B$14,Paramètres!$A$1:$I$89,3,0)*0.475*44/12</f>
        <v>0.87426517592165265</v>
      </c>
      <c r="ED19" s="22">
        <f t="shared" si="18"/>
        <v>1.1760065729557008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>
        <f>VLOOKUP(A19,'Données projet'!$A$191:$I$211,2,0)</f>
        <v>59</v>
      </c>
      <c r="EH19" s="12">
        <f>VLOOKUP(A19,'Données projet'!$A$191:$I$211,9,0)</f>
        <v>3.6875</v>
      </c>
      <c r="EI19" s="12">
        <f t="array" ref="EI19">INDEX(EH:EH,MIN(IF(ISNUMBER(EH19:EH215),ROW(EH19:EH215),"")))</f>
        <v>3.6875</v>
      </c>
      <c r="EJ19" s="12">
        <f>IF('Données projet'!$A$192&gt;35,EJ18+EI19-ER18,IF(A19&lt;'Données projet'!$A$192,$EG$205^A19,IF(A19='Données projet'!$A$192,'Données projet'!$B$192,EJ18+EI19-ER18)))</f>
        <v>59</v>
      </c>
      <c r="EK19" s="17">
        <f>EJ19*VLOOKUP('Données projet'!$B$15,Paramètres!$A$1:$I$89,3,0)*VLOOKUP('Données projet'!$B$15,Paramètres!$A$1:$I$89,5,0)</f>
        <v>35.282000000000004</v>
      </c>
      <c r="EL19" s="13">
        <f t="shared" si="45"/>
        <v>10.73915395799758</v>
      </c>
      <c r="EM19" s="20">
        <f t="shared" si="19"/>
        <v>80.153509810179131</v>
      </c>
      <c r="EN19" s="59">
        <f t="shared" si="20"/>
        <v>356.37573203240134</v>
      </c>
      <c r="EO19" s="59">
        <f ca="1">AVERAGE(OFFSET($EN$3,0,0,'Données projet'!$E$15+1,1))-AVERAGE(OFFSET($H$3,0,0,'Données projet'!$E$15+1,1))</f>
        <v>207.2913533618397</v>
      </c>
      <c r="EP19" s="59">
        <f t="shared" si="46"/>
        <v>230.81096055024483</v>
      </c>
      <c r="EQ19" s="15">
        <f>IF(ISNA(VLOOKUP(A19,'Données projet'!$A$191:$I$211,3,0)),0,VLOOKUP(A19,'Données projet'!$A$191:$I$211,3,0))</f>
        <v>1</v>
      </c>
      <c r="ER19" s="15">
        <f>IF(ISNA(VLOOKUP(A19,'Données projet'!$A$191:$I$211,4,0)),0,VLOOKUP(A19,'Données projet'!$A$191:$I$211,4,0))</f>
        <v>8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0.18000000000000002</v>
      </c>
      <c r="EU19" s="16">
        <f>IF(ISNA(VLOOKUP(A19,'Données projet'!$A$191:$I$211,7,0)),0%,VLOOKUP(A19,'Données projet'!$A$191:$I$211,7,0))</f>
        <v>0.4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1.1378333907349032</v>
      </c>
      <c r="EX19" s="21">
        <f>EXP(-LN(2)/2)*EX18+(1-EXP(-LN(2)/2))/(LN(2)/2)*ER19*EU19*VLOOKUP('Données projet'!$B$15,Paramètres!$A$1:$I$89,3,0)*0.475*44/12</f>
        <v>2.1666397245466453</v>
      </c>
      <c r="EY19" s="22">
        <f t="shared" si="21"/>
        <v>3.3044731152815485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356.09529321188012</v>
      </c>
      <c r="S20" s="59">
        <f ca="1">AVERAGE(OFFSET($R$3,0,0,'Données projet'!$E$9+1,1))-AVERAGE(OFFSET($H$3,0,0,'Données projet'!$E$9+1,1))</f>
        <v>319.22903094674564</v>
      </c>
      <c r="T20" s="59">
        <f t="shared" si="34"/>
        <v>254.58690973142848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15.15</v>
      </c>
      <c r="AI20" s="13">
        <f>IF('Données projet'!$A$62&gt;35,AI19+AH20-AQ19,IF(A20&lt;'Données projet'!$A$62,$AF$205^A20,IF(A20='Données projet'!$A$62,'Données projet'!$B$62,AI19+AH20-AQ19)))</f>
        <v>128.59563704630816</v>
      </c>
      <c r="AJ20" s="13">
        <f>AI20*VLOOKUP('Données projet'!$B$10,Paramètres!$A$1:$I$89,3,0)*VLOOKUP('Données projet'!$B$10,Paramètres!$A$1:$I$89,5,0)</f>
        <v>71.884961108886259</v>
      </c>
      <c r="AK20" s="13">
        <f t="shared" si="35"/>
        <v>20.140833482681852</v>
      </c>
      <c r="AL20" s="20">
        <f t="shared" si="4"/>
        <v>160.27825891364779</v>
      </c>
      <c r="AM20" s="59">
        <f t="shared" si="5"/>
        <v>437.72270335809225</v>
      </c>
      <c r="AN20" s="59">
        <f ca="1">AVERAGE(OFFSET($AM$3,0,0,'Données projet'!$E$10+1,1))-AVERAGE(OFFSET($H$3,0,0,'Données projet'!$E$10+1,1))</f>
        <v>544.48194192356823</v>
      </c>
      <c r="AO20" s="59">
        <f t="shared" si="36"/>
        <v>668.20427590250733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34.703799297332367</v>
      </c>
      <c r="BF20" s="13">
        <f t="shared" si="37"/>
        <v>10.583497277259243</v>
      </c>
      <c r="BG20" s="20">
        <f t="shared" si="7"/>
        <v>78.875374867413711</v>
      </c>
      <c r="BH20" s="59">
        <f t="shared" si="8"/>
        <v>356.31981931185817</v>
      </c>
      <c r="BI20" s="59">
        <f ca="1">AVERAGE(OFFSET($BH$3,0,0,'Données projet'!$E$11+1,1))-AVERAGE(OFFSET($H$3,0,0,'Données projet'!$E$11+1,1))</f>
        <v>405.7176439604217</v>
      </c>
      <c r="BJ20" s="59">
        <f t="shared" si="38"/>
        <v>278.21741231699929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11.6</v>
      </c>
      <c r="CT20" s="12">
        <f>IF('Données projet'!$A$140&gt;35,CT19+CS20-DB19,IF(A20&lt;'Données projet'!$A$140,$CQ$205^A20,IF(A20='Données projet'!$A$140,'Données projet'!$B$140,CT19+CS20-DB19)))</f>
        <v>45.2</v>
      </c>
      <c r="CU20" s="17">
        <f>CT20*VLOOKUP('Données projet'!$B$13,Paramètres!$A$1:$I$89,3,0)*VLOOKUP('Données projet'!$B$13,Paramètres!$A$1:$I$89,5,0)</f>
        <v>35.961120000000008</v>
      </c>
      <c r="CV20" s="13">
        <f t="shared" si="41"/>
        <v>10.921600552662685</v>
      </c>
      <c r="CW20" s="20">
        <f t="shared" si="13"/>
        <v>81.654071629220851</v>
      </c>
      <c r="CX20" s="59">
        <f t="shared" si="14"/>
        <v>359.09851607366534</v>
      </c>
      <c r="CY20" s="59">
        <f ca="1">AVERAGE(OFFSET($CX$3,0,0,'Données projet'!$E$13+1,1))-AVERAGE(OFFSET($H$3,0,0,'Données projet'!$E$13+1,1))</f>
        <v>299.10536994156814</v>
      </c>
      <c r="CZ20" s="59">
        <f t="shared" si="42"/>
        <v>292.57799203101769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1.9766715448043994</v>
      </c>
      <c r="DH20" s="21">
        <f>EXP(-LN(2)/2)*DH19+(1-EXP(-LN(2)/2))/(LN(2)/2)*DB20*DE20*VLOOKUP('Données projet'!$B$13,Paramètres!$A$1:$I$89,3,0)*0.475*44/12</f>
        <v>3.9410175696152465</v>
      </c>
      <c r="DI20" s="22">
        <f t="shared" si="15"/>
        <v>5.9176891144196464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14</v>
      </c>
      <c r="DO20" s="12">
        <f>IF('Données projet'!$A$166&gt;35,DO19+DN20-DW19,IF(A20&lt;'Données projet'!$A$166,$DL$205^A20,IF(A20='Données projet'!$A$166,'Données projet'!$B$166,DO19+DN20-DW19)))</f>
        <v>75</v>
      </c>
      <c r="DP20" s="17">
        <f>DO20*VLOOKUP('Données projet'!$B$14,Paramètres!$A$1:$I$89,3,0)*VLOOKUP('Données projet'!$B$14,Paramètres!$A$1:$I$89,5,0)</f>
        <v>49.14</v>
      </c>
      <c r="DQ20" s="13">
        <f t="shared" si="43"/>
        <v>14.391437147300868</v>
      </c>
      <c r="DR20" s="20">
        <f t="shared" si="16"/>
        <v>110.65058636488233</v>
      </c>
      <c r="DS20" s="59">
        <f t="shared" si="17"/>
        <v>388.09503080932677</v>
      </c>
      <c r="DT20" s="59">
        <f ca="1">AVERAGE(OFFSET($DS$3,0,0,'Données projet'!$E$14+1,1))-AVERAGE(OFFSET($H$3,0,0,'Données projet'!$E$14+1,1))</f>
        <v>295.92103934364718</v>
      </c>
      <c r="DU20" s="59">
        <f t="shared" si="44"/>
        <v>304.84379909635476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0.29349026266426165</v>
      </c>
      <c r="EC20" s="21">
        <f>EXP(-LN(2)/2)*EC19+(1-EXP(-LN(2)/2))/(LN(2)/2)*DW20*DZ20*VLOOKUP('Données projet'!$B$14,Paramètres!$A$1:$I$89,3,0)*0.475*44/12</f>
        <v>0.61819883444945056</v>
      </c>
      <c r="ED20" s="22">
        <f t="shared" si="18"/>
        <v>0.91168909711371215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10</v>
      </c>
      <c r="EJ20" s="12">
        <f>IF('Données projet'!$A$192&gt;35,EJ19+EI20-ER19,IF(A20&lt;'Données projet'!$A$192,$EG$205^A20,IF(A20='Données projet'!$A$192,'Données projet'!$B$192,EJ19+EI20-ER19)))</f>
        <v>61</v>
      </c>
      <c r="EK20" s="17">
        <f>EJ20*VLOOKUP('Données projet'!$B$15,Paramètres!$A$1:$I$89,3,0)*VLOOKUP('Données projet'!$B$15,Paramètres!$A$1:$I$89,5,0)</f>
        <v>36.478000000000002</v>
      </c>
      <c r="EL20" s="13">
        <f t="shared" si="45"/>
        <v>11.06019217991456</v>
      </c>
      <c r="EM20" s="20">
        <f t="shared" si="19"/>
        <v>82.795684713351179</v>
      </c>
      <c r="EN20" s="59">
        <f t="shared" si="20"/>
        <v>360.24012915779565</v>
      </c>
      <c r="EO20" s="59">
        <f ca="1">AVERAGE(OFFSET($EN$3,0,0,'Données projet'!$E$15+1,1))-AVERAGE(OFFSET($H$3,0,0,'Données projet'!$E$15+1,1))</f>
        <v>207.2913533618397</v>
      </c>
      <c r="EP20" s="59">
        <f t="shared" si="46"/>
        <v>230.81096055024483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1.1067192768291998</v>
      </c>
      <c r="EX20" s="21">
        <f>EXP(-LN(2)/2)*EX19+(1-EXP(-LN(2)/2))/(LN(2)/2)*ER20*EU20*VLOOKUP('Données projet'!$B$15,Paramètres!$A$1:$I$89,3,0)*0.475*44/12</f>
        <v>1.5320456416150865</v>
      </c>
      <c r="EY20" s="22">
        <f t="shared" si="21"/>
        <v>2.6387649184442861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379.28535416224724</v>
      </c>
      <c r="S21" s="59">
        <f ca="1">AVERAGE(OFFSET($R$3,0,0,'Données projet'!$E$9+1,1))-AVERAGE(OFFSET($H$3,0,0,'Données projet'!$E$9+1,1))</f>
        <v>319.22903094674564</v>
      </c>
      <c r="T21" s="59">
        <f t="shared" si="34"/>
        <v>254.58690973142848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15.15</v>
      </c>
      <c r="AI21" s="13">
        <f>IF('Données projet'!$A$62&gt;35,AI20+AH21-AQ20,IF(A21&lt;'Données projet'!$A$62,$AF$205^A21,IF(A21='Données projet'!$A$62,'Données projet'!$B$62,AI20+AH21-AQ20)))</f>
        <v>171.11905202936001</v>
      </c>
      <c r="AJ21" s="13">
        <f>AI21*VLOOKUP('Données projet'!$B$10,Paramètres!$A$1:$I$89,3,0)*VLOOKUP('Données projet'!$B$10,Paramètres!$A$1:$I$89,5,0)</f>
        <v>95.655550084412241</v>
      </c>
      <c r="AK21" s="13">
        <f t="shared" si="35"/>
        <v>25.924331976030281</v>
      </c>
      <c r="AL21" s="20">
        <f t="shared" si="4"/>
        <v>211.75162792193737</v>
      </c>
      <c r="AM21" s="59">
        <f t="shared" si="5"/>
        <v>490.41829458860406</v>
      </c>
      <c r="AN21" s="59">
        <f ca="1">AVERAGE(OFFSET($AM$3,0,0,'Données projet'!$E$10+1,1))-AVERAGE(OFFSET($H$3,0,0,'Données projet'!$E$10+1,1))</f>
        <v>544.48194192356823</v>
      </c>
      <c r="AO21" s="59">
        <f t="shared" si="36"/>
        <v>668.20427590250733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43.007397804163212</v>
      </c>
      <c r="BF21" s="13">
        <f t="shared" si="37"/>
        <v>12.792363936215189</v>
      </c>
      <c r="BG21" s="20">
        <f t="shared" si="7"/>
        <v>97.184585031159045</v>
      </c>
      <c r="BH21" s="59">
        <f t="shared" si="8"/>
        <v>375.85125169782572</v>
      </c>
      <c r="BI21" s="59">
        <f ca="1">AVERAGE(OFFSET($BH$3,0,0,'Données projet'!$E$11+1,1))-AVERAGE(OFFSET($H$3,0,0,'Données projet'!$E$11+1,1))</f>
        <v>405.7176439604217</v>
      </c>
      <c r="BJ21" s="59">
        <f t="shared" si="38"/>
        <v>278.21741231699929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11.6</v>
      </c>
      <c r="CT21" s="12">
        <f>IF('Données projet'!$A$140&gt;35,CT20+CS21-DB20,IF(A21&lt;'Données projet'!$A$140,$CQ$205^A21,IF(A21='Données projet'!$A$140,'Données projet'!$B$140,CT20+CS21-DB20)))</f>
        <v>56.800000000000004</v>
      </c>
      <c r="CU21" s="17">
        <f>CT21*VLOOKUP('Données projet'!$B$13,Paramètres!$A$1:$I$89,3,0)*VLOOKUP('Données projet'!$B$13,Paramètres!$A$1:$I$89,5,0)</f>
        <v>45.190080000000009</v>
      </c>
      <c r="CV21" s="13">
        <f t="shared" si="41"/>
        <v>13.364359727915414</v>
      </c>
      <c r="CW21" s="20">
        <f t="shared" si="13"/>
        <v>101.98231585945268</v>
      </c>
      <c r="CX21" s="59">
        <f t="shared" si="14"/>
        <v>380.64898252611937</v>
      </c>
      <c r="CY21" s="59">
        <f ca="1">AVERAGE(OFFSET($CX$3,0,0,'Données projet'!$E$13+1,1))-AVERAGE(OFFSET($H$3,0,0,'Données projet'!$E$13+1,1))</f>
        <v>299.10536994156814</v>
      </c>
      <c r="CZ21" s="59">
        <f t="shared" si="42"/>
        <v>292.57799203101769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1.9226193574630843</v>
      </c>
      <c r="DH21" s="21">
        <f>EXP(-LN(2)/2)*DH20+(1-EXP(-LN(2)/2))/(LN(2)/2)*DB21*DE21*VLOOKUP('Données projet'!$B$13,Paramètres!$A$1:$I$89,3,0)*0.475*44/12</f>
        <v>2.7867202482502678</v>
      </c>
      <c r="DI21" s="22">
        <f t="shared" si="15"/>
        <v>4.7093396057133523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14</v>
      </c>
      <c r="DO21" s="12">
        <f>IF('Données projet'!$A$166&gt;35,DO20+DN21-DW20,IF(A21&lt;'Données projet'!$A$166,$DL$205^A21,IF(A21='Données projet'!$A$166,'Données projet'!$B$166,DO20+DN21-DW20)))</f>
        <v>89</v>
      </c>
      <c r="DP21" s="17">
        <f>DO21*VLOOKUP('Données projet'!$B$14,Paramètres!$A$1:$I$89,3,0)*VLOOKUP('Données projet'!$B$14,Paramètres!$A$1:$I$89,5,0)</f>
        <v>58.312799999999996</v>
      </c>
      <c r="DQ21" s="13">
        <f t="shared" si="43"/>
        <v>16.740986371230957</v>
      </c>
      <c r="DR21" s="20">
        <f t="shared" si="16"/>
        <v>130.71867792989391</v>
      </c>
      <c r="DS21" s="59">
        <f t="shared" si="17"/>
        <v>409.38534459656057</v>
      </c>
      <c r="DT21" s="59">
        <f ca="1">AVERAGE(OFFSET($DS$3,0,0,'Données projet'!$E$14+1,1))-AVERAGE(OFFSET($H$3,0,0,'Données projet'!$E$14+1,1))</f>
        <v>295.92103934364718</v>
      </c>
      <c r="DU21" s="59">
        <f t="shared" si="44"/>
        <v>304.84379909635476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0.28546475599772531</v>
      </c>
      <c r="EC21" s="21">
        <f>EXP(-LN(2)/2)*EC20+(1-EXP(-LN(2)/2))/(LN(2)/2)*DW21*DZ21*VLOOKUP('Données projet'!$B$14,Paramètres!$A$1:$I$89,3,0)*0.475*44/12</f>
        <v>0.43713258796082638</v>
      </c>
      <c r="ED21" s="22">
        <f t="shared" si="18"/>
        <v>0.72259734395855169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10</v>
      </c>
      <c r="EJ21" s="12">
        <f>IF('Données projet'!$A$192&gt;35,EJ20+EI21-ER20,IF(A21&lt;'Données projet'!$A$192,$EG$205^A21,IF(A21='Données projet'!$A$192,'Données projet'!$B$192,EJ20+EI21-ER20)))</f>
        <v>71</v>
      </c>
      <c r="EK21" s="17">
        <f>EJ21*VLOOKUP('Données projet'!$B$15,Paramètres!$A$1:$I$89,3,0)*VLOOKUP('Données projet'!$B$15,Paramètres!$A$1:$I$89,5,0)</f>
        <v>42.458000000000006</v>
      </c>
      <c r="EL21" s="13">
        <f t="shared" si="45"/>
        <v>12.647861696503936</v>
      </c>
      <c r="EM21" s="20">
        <f t="shared" si="19"/>
        <v>95.976042454744359</v>
      </c>
      <c r="EN21" s="59">
        <f t="shared" si="20"/>
        <v>374.64270912141103</v>
      </c>
      <c r="EO21" s="59">
        <f ca="1">AVERAGE(OFFSET($EN$3,0,0,'Données projet'!$E$15+1,1))-AVERAGE(OFFSET($H$3,0,0,'Données projet'!$E$15+1,1))</f>
        <v>207.2913533618397</v>
      </c>
      <c r="EP21" s="59">
        <f t="shared" si="46"/>
        <v>230.81096055024483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1.076455980004468</v>
      </c>
      <c r="EX21" s="21">
        <f>EXP(-LN(2)/2)*EX20+(1-EXP(-LN(2)/2))/(LN(2)/2)*ER21*EU21*VLOOKUP('Données projet'!$B$15,Paramètres!$A$1:$I$89,3,0)*0.475*44/12</f>
        <v>1.0833198622733229</v>
      </c>
      <c r="EY21" s="22">
        <f t="shared" si="21"/>
        <v>2.1597758422777908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408.63091873093396</v>
      </c>
      <c r="S22" s="59">
        <f ca="1">AVERAGE(OFFSET($R$3,0,0,'Données projet'!$E$9+1,1))-AVERAGE(OFFSET($H$3,0,0,'Données projet'!$E$9+1,1))</f>
        <v>319.22903094674564</v>
      </c>
      <c r="T22" s="59">
        <f t="shared" si="34"/>
        <v>254.58690973142848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15.15</v>
      </c>
      <c r="AI22" s="13">
        <f>IF('Données projet'!$A$62&gt;35,AI21+AH22-AQ21,IF(A22&lt;'Données projet'!$A$62,$AF$205^A22,IF(A22='Données projet'!$A$62,'Données projet'!$B$62,AI21+AH22-AQ21)))</f>
        <v>227.70391468944055</v>
      </c>
      <c r="AJ22" s="13">
        <f>AI22*VLOOKUP('Données projet'!$B$10,Paramètres!$A$1:$I$89,3,0)*VLOOKUP('Données projet'!$B$10,Paramètres!$A$1:$I$89,5,0)</f>
        <v>127.28648831139728</v>
      </c>
      <c r="AK22" s="13">
        <f t="shared" si="35"/>
        <v>33.368578762209985</v>
      </c>
      <c r="AL22" s="20">
        <f t="shared" si="4"/>
        <v>279.80757515319931</v>
      </c>
      <c r="AM22" s="59">
        <f t="shared" si="5"/>
        <v>559.69646404208811</v>
      </c>
      <c r="AN22" s="59">
        <f ca="1">AVERAGE(OFFSET($AM$3,0,0,'Données projet'!$E$10+1,1))-AVERAGE(OFFSET($H$3,0,0,'Données projet'!$E$10+1,1))</f>
        <v>544.48194192356823</v>
      </c>
      <c r="AO22" s="59">
        <f t="shared" si="36"/>
        <v>668.20427590250733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53.297803218557732</v>
      </c>
      <c r="BF22" s="13">
        <f t="shared" si="37"/>
        <v>15.462240012873817</v>
      </c>
      <c r="BG22" s="20">
        <f t="shared" si="7"/>
        <v>119.75707529474329</v>
      </c>
      <c r="BH22" s="59">
        <f t="shared" si="8"/>
        <v>399.64596418363215</v>
      </c>
      <c r="BI22" s="59">
        <f ca="1">AVERAGE(OFFSET($BH$3,0,0,'Données projet'!$E$11+1,1))-AVERAGE(OFFSET($H$3,0,0,'Données projet'!$E$11+1,1))</f>
        <v>405.7176439604217</v>
      </c>
      <c r="BJ22" s="59">
        <f t="shared" si="38"/>
        <v>278.21741231699929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11.6</v>
      </c>
      <c r="CT22" s="12">
        <f>IF('Données projet'!$A$140&gt;35,CT21+CS22-DB21,IF(A22&lt;'Données projet'!$A$140,$CQ$205^A22,IF(A22='Données projet'!$A$140,'Données projet'!$B$140,CT21+CS22-DB21)))</f>
        <v>68.400000000000006</v>
      </c>
      <c r="CU22" s="17">
        <f>CT22*VLOOKUP('Données projet'!$B$13,Paramètres!$A$1:$I$89,3,0)*VLOOKUP('Données projet'!$B$13,Paramètres!$A$1:$I$89,5,0)</f>
        <v>54.419040000000003</v>
      </c>
      <c r="CV22" s="13">
        <f t="shared" si="41"/>
        <v>15.749310274925152</v>
      </c>
      <c r="CW22" s="20">
        <f t="shared" si="13"/>
        <v>122.20987672882796</v>
      </c>
      <c r="CX22" s="59">
        <f t="shared" si="14"/>
        <v>402.09876561771682</v>
      </c>
      <c r="CY22" s="59">
        <f ca="1">AVERAGE(OFFSET($CX$3,0,0,'Données projet'!$E$13+1,1))-AVERAGE(OFFSET($H$3,0,0,'Données projet'!$E$13+1,1))</f>
        <v>299.10536994156814</v>
      </c>
      <c r="CZ22" s="59">
        <f t="shared" si="42"/>
        <v>292.57799203101769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1.8700452300270984</v>
      </c>
      <c r="DH22" s="21">
        <f>EXP(-LN(2)/2)*DH21+(1-EXP(-LN(2)/2))/(LN(2)/2)*DB22*DE22*VLOOKUP('Données projet'!$B$13,Paramètres!$A$1:$I$89,3,0)*0.475*44/12</f>
        <v>1.9705087848076237</v>
      </c>
      <c r="DI22" s="22">
        <f t="shared" si="15"/>
        <v>3.8405540148347219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14</v>
      </c>
      <c r="DO22" s="12">
        <f>IF('Données projet'!$A$166&gt;35,DO21+DN22-DW21,IF(A22&lt;'Données projet'!$A$166,$DL$205^A22,IF(A22='Données projet'!$A$166,'Données projet'!$B$166,DO21+DN22-DW21)))</f>
        <v>103</v>
      </c>
      <c r="DP22" s="17">
        <f>DO22*VLOOKUP('Données projet'!$B$14,Paramètres!$A$1:$I$89,3,0)*VLOOKUP('Données projet'!$B$14,Paramètres!$A$1:$I$89,5,0)</f>
        <v>67.485600000000005</v>
      </c>
      <c r="DQ22" s="13">
        <f t="shared" si="43"/>
        <v>19.047720279466478</v>
      </c>
      <c r="DR22" s="20">
        <f t="shared" si="16"/>
        <v>150.71219948673746</v>
      </c>
      <c r="DS22" s="59">
        <f t="shared" si="17"/>
        <v>430.60108837562632</v>
      </c>
      <c r="DT22" s="59">
        <f ca="1">AVERAGE(OFFSET($DS$3,0,0,'Données projet'!$E$14+1,1))-AVERAGE(OFFSET($H$3,0,0,'Données projet'!$E$14+1,1))</f>
        <v>295.92103934364718</v>
      </c>
      <c r="DU22" s="59">
        <f t="shared" si="44"/>
        <v>304.84379909635476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0.27765870723302843</v>
      </c>
      <c r="EC22" s="21">
        <f>EXP(-LN(2)/2)*EC21+(1-EXP(-LN(2)/2))/(LN(2)/2)*DW22*DZ22*VLOOKUP('Données projet'!$B$14,Paramètres!$A$1:$I$89,3,0)*0.475*44/12</f>
        <v>0.30909941722472534</v>
      </c>
      <c r="ED22" s="22">
        <f t="shared" si="18"/>
        <v>0.58675812445775377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10</v>
      </c>
      <c r="EJ22" s="12">
        <f>IF('Données projet'!$A$192&gt;35,EJ21+EI22-ER21,IF(A22&lt;'Données projet'!$A$192,$EG$205^A22,IF(A22='Données projet'!$A$192,'Données projet'!$B$192,EJ21+EI22-ER21)))</f>
        <v>81</v>
      </c>
      <c r="EK22" s="17">
        <f>EJ22*VLOOKUP('Données projet'!$B$15,Paramètres!$A$1:$I$89,3,0)*VLOOKUP('Données projet'!$B$15,Paramètres!$A$1:$I$89,5,0)</f>
        <v>48.438000000000009</v>
      </c>
      <c r="EL22" s="13">
        <f t="shared" si="45"/>
        <v>14.209624244846971</v>
      </c>
      <c r="EM22" s="20">
        <f t="shared" si="19"/>
        <v>109.11127889310849</v>
      </c>
      <c r="EN22" s="59">
        <f t="shared" si="20"/>
        <v>389.00016778199733</v>
      </c>
      <c r="EO22" s="59">
        <f ca="1">AVERAGE(OFFSET($EN$3,0,0,'Données projet'!$E$15+1,1))-AVERAGE(OFFSET($H$3,0,0,'Données projet'!$E$15+1,1))</f>
        <v>207.2913533618397</v>
      </c>
      <c r="EP22" s="59">
        <f t="shared" si="46"/>
        <v>230.81096055024483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1.0470202346228861</v>
      </c>
      <c r="EX22" s="21">
        <f>EXP(-LN(2)/2)*EX21+(1-EXP(-LN(2)/2))/(LN(2)/2)*ER22*EU22*VLOOKUP('Données projet'!$B$15,Paramètres!$A$1:$I$89,3,0)*0.475*44/12</f>
        <v>0.76602282080754336</v>
      </c>
      <c r="EY22" s="22">
        <f t="shared" si="21"/>
        <v>1.8130430554304295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445.86188445423306</v>
      </c>
      <c r="S23" s="59">
        <f ca="1">AVERAGE(OFFSET($R$3,0,0,'Données projet'!$E$9+1,1))-AVERAGE(OFFSET($H$3,0,0,'Données projet'!$E$9+1,1))</f>
        <v>319.22903094674564</v>
      </c>
      <c r="T23" s="59">
        <f t="shared" si="34"/>
        <v>254.58690973142848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39.5</v>
      </c>
      <c r="W23" s="16">
        <f>IF(ISNA(VLOOKUP(A23,'Données projet'!$A$35:$I$55,5,0)),0%,VLOOKUP(A23,'Données projet'!$A$35:$I$55,5,0)*VLOOKUP('Données projet'!$B$9,Paramètres!$A$1:$I$89,7,0))</f>
        <v>0.11000000000000001</v>
      </c>
      <c r="X23" s="16">
        <f>IF(ISNA(VLOOKUP(A23,'Données projet'!$A$35:$I$55,6,0)),0%,VLOOKUP(A23,'Données projet'!$A$35:$I$55,6,0)*VLOOKUP('Données projet'!$B$9,Paramètres!$A$1:$I$89,7,0))</f>
        <v>0.11000000000000001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2.6975157575580879</v>
      </c>
      <c r="AA23" s="21">
        <f>EXP(-LN(2)/25)*AA22+(1-EXP(-LN(2)/25))/(LN(2)/25)*Calculateur!V23*Calculateur!X23*VLOOKUP('Données projet'!$B$9,Paramètres!$A$1:$I$89,3,0)*0.475*44/12</f>
        <v>2.686894610186497</v>
      </c>
      <c r="AB23" s="21">
        <f>EXP(-LN(2)/2)*AB22+(1-EXP(-LN(2)/2))/(LN(2)/2)*V23*Y23*VLOOKUP('Données projet'!$B$9,Paramètres!$A$1:$I$89,3,0)*0.475*44/12</f>
        <v>12.558267751244545</v>
      </c>
      <c r="AC23" s="22">
        <f t="shared" si="3"/>
        <v>17.942678118989129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303</v>
      </c>
      <c r="AG23" s="12">
        <f>VLOOKUP(A23,'Données projet'!$A$61:$I$81,9,0)</f>
        <v>15.15</v>
      </c>
      <c r="AH23" s="12">
        <f t="array" ref="AH23">INDEX(AG:AG,MIN(IF(ISNUMBER(AG23:AG219),ROW(AG23:AG219),"")))</f>
        <v>15.15</v>
      </c>
      <c r="AI23" s="13">
        <f>IF('Données projet'!$A$62&gt;35,AI22+AH23-AQ22,IF(A23&lt;'Données projet'!$A$62,$AF$205^A23,IF(A23='Données projet'!$A$62,'Données projet'!$B$62,AI22+AH23-AQ22)))</f>
        <v>303</v>
      </c>
      <c r="AJ23" s="13">
        <f>AI23*VLOOKUP('Données projet'!$B$10,Paramètres!$A$1:$I$89,3,0)*VLOOKUP('Données projet'!$B$10,Paramètres!$A$1:$I$89,5,0)</f>
        <v>169.37700000000001</v>
      </c>
      <c r="AK23" s="13">
        <f t="shared" si="35"/>
        <v>42.950462509094685</v>
      </c>
      <c r="AL23" s="20">
        <f t="shared" si="4"/>
        <v>369.80366387000657</v>
      </c>
      <c r="AM23" s="59">
        <f t="shared" si="5"/>
        <v>650.91477498111772</v>
      </c>
      <c r="AN23" s="59">
        <f ca="1">AVERAGE(OFFSET($AM$3,0,0,'Données projet'!$E$10+1,1))-AVERAGE(OFFSET($H$3,0,0,'Données projet'!$E$10+1,1))</f>
        <v>544.48194192356823</v>
      </c>
      <c r="AO23" s="59">
        <f t="shared" si="36"/>
        <v>668.20427590250733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0.33</v>
      </c>
      <c r="AT23" s="16">
        <f>IF(ISNA(VLOOKUP(A23,'Données projet'!$A$61:$I$81,7,0)),0%,VLOOKUP(A23,'Données projet'!$A$61:$I$81,7,0))</f>
        <v>0.4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10.481156401339309</v>
      </c>
      <c r="AW23" s="21">
        <f>EXP(-LN(2)/2)*AW22+(1-EXP(-LN(2)/2))/(LN(2)/2)*AQ23*AT23*VLOOKUP('Données projet'!$B$10,Paramètres!$A$1:$I$89,3,0)*0.475*44/12</f>
        <v>10.886187094257464</v>
      </c>
      <c r="AX23" s="21">
        <f t="shared" si="6"/>
        <v>21.367343495596771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66.050399999999996</v>
      </c>
      <c r="BF23" s="13">
        <f t="shared" si="37"/>
        <v>18.689342126897891</v>
      </c>
      <c r="BG23" s="20">
        <f t="shared" si="7"/>
        <v>147.58838420434714</v>
      </c>
      <c r="BH23" s="59">
        <f t="shared" si="8"/>
        <v>428.69949531545831</v>
      </c>
      <c r="BI23" s="59">
        <f ca="1">AVERAGE(OFFSET($BH$3,0,0,'Données projet'!$E$11+1,1))-AVERAGE(OFFSET($H$3,0,0,'Données projet'!$E$11+1,1))</f>
        <v>405.7176439604217</v>
      </c>
      <c r="BJ23" s="59">
        <f t="shared" si="38"/>
        <v>278.21741231699929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</v>
      </c>
      <c r="BM23" s="16">
        <f>IF(ISNA(VLOOKUP(A23,'Données projet'!$A$87:$I$107,5,0)),0%,VLOOKUP(A23,'Données projet'!$A$87:$I$107,5,0)*VLOOKUP('Données projet'!$B$11,Paramètres!$A$1:$I$89,7,0))</f>
        <v>8.6000000000000007E-2</v>
      </c>
      <c r="BN23" s="16">
        <f>IF(ISNA(VLOOKUP(A23,'Données projet'!$A$87:$I$107,6,0)),0%,VLOOKUP(A23,'Données projet'!$A$87:$I$107,6,0)*VLOOKUP('Données projet'!$B$11,Paramètres!$A$1:$I$89,7,0))</f>
        <v>8.6000000000000007E-2</v>
      </c>
      <c r="BO23" s="16">
        <f>IF(ISNA(VLOOKUP(A23,'Données projet'!$A$87:$I$107,7,0)),0%,VLOOKUP(A23,'Données projet'!$A$87:$I$107,7,0))</f>
        <v>0.6</v>
      </c>
      <c r="BP23" s="21">
        <f>EXP(-LN(2)/35)*BP22+(1-EXP(-LN(2)/35))/(LN(2)/35)*BL23*BM23*VLOOKUP('Données projet'!$B$11,Paramètres!$A$1:$I$89,3,0)*0.475*44/12</f>
        <v>0.51611847329112925</v>
      </c>
      <c r="BQ23" s="21">
        <f>EXP(-LN(2)/25)*BQ22+(1-EXP(-LN(2)/25))/(LN(2)/25)*Calculateur!BL23*Calculateur!BN23*VLOOKUP('Données projet'!$B$11,Paramètres!$A$1:$I$89,3,0)*0.475*44/12</f>
        <v>0.51408631820522621</v>
      </c>
      <c r="BR23" s="21">
        <f>EXP(-LN(2)/2)*BR22+(1-EXP(-LN(2)/2))/(LN(2)/2)*BL23*BO23*VLOOKUP('Données projet'!$B$11,Paramètres!$A$1:$I$89,3,0)*0.475*44/12</f>
        <v>3.0733313484058384</v>
      </c>
      <c r="BS23" s="22">
        <f t="shared" si="9"/>
        <v>4.1035361399021939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80</v>
      </c>
      <c r="CR23" s="12">
        <f>VLOOKUP(A23,'Données projet'!$A$139:$I$159,9,0)</f>
        <v>11.6</v>
      </c>
      <c r="CS23" s="12">
        <f t="array" ref="CS23">INDEX(CR:CR,MIN(IF(ISNUMBER(CR23:CR219),ROW(CR23:CR219),"")))</f>
        <v>11.6</v>
      </c>
      <c r="CT23" s="12">
        <f>IF('Données projet'!$A$140&gt;35,CT22+CS23-DB22,IF(A23&lt;'Données projet'!$A$140,$CQ$205^A23,IF(A23='Données projet'!$A$140,'Données projet'!$B$140,CT22+CS23-DB22)))</f>
        <v>80</v>
      </c>
      <c r="CU23" s="17">
        <f>CT23*VLOOKUP('Données projet'!$B$13,Paramètres!$A$1:$I$89,3,0)*VLOOKUP('Données projet'!$B$13,Paramètres!$A$1:$I$89,5,0)</f>
        <v>63.647999999999996</v>
      </c>
      <c r="CV23" s="13">
        <f t="shared" si="41"/>
        <v>18.087405707268363</v>
      </c>
      <c r="CW23" s="20">
        <f t="shared" si="13"/>
        <v>142.35583160682572</v>
      </c>
      <c r="CX23" s="59">
        <f t="shared" si="14"/>
        <v>423.46694271793683</v>
      </c>
      <c r="CY23" s="59">
        <f ca="1">AVERAGE(OFFSET($CX$3,0,0,'Données projet'!$E$13+1,1))-AVERAGE(OFFSET($H$3,0,0,'Données projet'!$E$13+1,1))</f>
        <v>299.10536994156814</v>
      </c>
      <c r="CZ23" s="59">
        <f t="shared" si="42"/>
        <v>292.57799203101769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28</v>
      </c>
      <c r="DC23" s="16">
        <f>IF(ISNA(VLOOKUP(A23,'Données projet'!$A$139:$I$159,5,0)),0%,VLOOKUP(A23,'Données projet'!$A$139:$I$159,5,0)*VLOOKUP('Données projet'!$B$13,Paramètres!$A$1:$I$89,7,0))</f>
        <v>0.10600000000000001</v>
      </c>
      <c r="DD23" s="16">
        <f>IF(ISNA(VLOOKUP(A23,'Données projet'!$A$139:$I$159,6,0)),0%,VLOOKUP(A23,'Données projet'!$A$139:$I$159,6,0)*VLOOKUP('Données projet'!$B$13,Paramètres!$A$1:$I$89,7,0))</f>
        <v>0.10600000000000001</v>
      </c>
      <c r="DE23" s="16">
        <f>IF(ISNA(VLOOKUP(A23,'Données projet'!$A$139:$I$159,7,0)),0%,VLOOKUP(A23,'Données projet'!$A$139:$I$159,7,0))</f>
        <v>0.6</v>
      </c>
      <c r="DF23" s="21">
        <f>EXP(-LN(2)/35)*DF22+(1-EXP(-LN(2)/35))/(LN(2)/35)*DB23*DC23*VLOOKUP('Données projet'!$B$13,Paramètres!$A$1:$I$89,3,0)*0.475*44/12</f>
        <v>2.6103923103826401</v>
      </c>
      <c r="DG23" s="21">
        <f>EXP(-LN(2)/25)*DG22+(1-EXP(-LN(2)/25))/(LN(2)/25)*Calculateur!DB23*Calculateur!DD23*VLOOKUP('Données projet'!$B$13,Paramètres!$A$1:$I$89,3,0)*0.475*44/12</f>
        <v>4.419022946089818</v>
      </c>
      <c r="DH23" s="21">
        <f>EXP(-LN(2)/2)*DH22+(1-EXP(-LN(2)/2))/(LN(2)/2)*DB23*DE23*VLOOKUP('Données projet'!$B$13,Paramètres!$A$1:$I$89,3,0)*0.475*44/12</f>
        <v>14.004616346893924</v>
      </c>
      <c r="DI23" s="22">
        <f t="shared" si="15"/>
        <v>21.03403160336638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117</v>
      </c>
      <c r="DM23" s="12">
        <f>VLOOKUP(A23,'Données projet'!$A$165:$I$185,9,0)</f>
        <v>14</v>
      </c>
      <c r="DN23" s="12">
        <f t="array" ref="DN23">INDEX(DM:DM,MIN(IF(ISNUMBER(DM23:DM219),ROW(DM23:DM219),"")))</f>
        <v>14</v>
      </c>
      <c r="DO23" s="12">
        <f>IF('Données projet'!$A$166&gt;35,DO22+DN23-DW22,IF(A23&lt;'Données projet'!$A$166,$DL$205^A23,IF(A23='Données projet'!$A$166,'Données projet'!$B$166,DO22+DN23-DW22)))</f>
        <v>117</v>
      </c>
      <c r="DP23" s="17">
        <f>DO23*VLOOKUP('Données projet'!$B$14,Paramètres!$A$1:$I$89,3,0)*VLOOKUP('Données projet'!$B$14,Paramètres!$A$1:$I$89,5,0)</f>
        <v>76.6584</v>
      </c>
      <c r="DQ23" s="13">
        <f t="shared" si="43"/>
        <v>21.318127749842347</v>
      </c>
      <c r="DR23" s="20">
        <f t="shared" si="16"/>
        <v>170.6424524976421</v>
      </c>
      <c r="DS23" s="59">
        <f t="shared" si="17"/>
        <v>451.75356360875321</v>
      </c>
      <c r="DT23" s="59">
        <f ca="1">AVERAGE(OFFSET($DS$3,0,0,'Données projet'!$E$14+1,1))-AVERAGE(OFFSET($H$3,0,0,'Données projet'!$E$14+1,1))</f>
        <v>295.92103934364718</v>
      </c>
      <c r="DU23" s="59">
        <f t="shared" si="44"/>
        <v>304.84379909635476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12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0.17200000000000001</v>
      </c>
      <c r="DZ23" s="16">
        <f>IF(ISNA(VLOOKUP(A23,'Données projet'!$A$165:$I$185,7,0)),0%,VLOOKUP(A23,'Données projet'!$A$165:$I$185,7,0))</f>
        <v>0.6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1.7591437266353738</v>
      </c>
      <c r="EC23" s="21">
        <f>EXP(-LN(2)/2)*EC22+(1-EXP(-LN(2)/2))/(LN(2)/2)*DW23*DZ23*VLOOKUP('Données projet'!$B$14,Paramètres!$A$1:$I$89,3,0)*0.475*44/12</f>
        <v>4.6695979020164557</v>
      </c>
      <c r="ED23" s="22">
        <f t="shared" si="18"/>
        <v>6.4287416286518297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91</v>
      </c>
      <c r="EH23" s="12">
        <f>VLOOKUP(A23,'Données projet'!$A$191:$I$211,9,0)</f>
        <v>10</v>
      </c>
      <c r="EI23" s="12">
        <f t="array" ref="EI23">INDEX(EH:EH,MIN(IF(ISNUMBER(EH23:EH219),ROW(EH23:EH219),"")))</f>
        <v>10</v>
      </c>
      <c r="EJ23" s="12">
        <f>IF('Données projet'!$A$192&gt;35,EJ22+EI23-ER22,IF(A23&lt;'Données projet'!$A$192,$EG$205^A23,IF(A23='Données projet'!$A$192,'Données projet'!$B$192,EJ22+EI23-ER22)))</f>
        <v>91</v>
      </c>
      <c r="EK23" s="17">
        <f>EJ23*VLOOKUP('Données projet'!$B$15,Paramètres!$A$1:$I$89,3,0)*VLOOKUP('Données projet'!$B$15,Paramètres!$A$1:$I$89,5,0)</f>
        <v>54.417999999999999</v>
      </c>
      <c r="EL23" s="13">
        <f t="shared" si="45"/>
        <v>15.749044324804036</v>
      </c>
      <c r="EM23" s="20">
        <f t="shared" si="19"/>
        <v>122.20760219903367</v>
      </c>
      <c r="EN23" s="59">
        <f t="shared" si="20"/>
        <v>403.3187133101448</v>
      </c>
      <c r="EO23" s="59">
        <f ca="1">AVERAGE(OFFSET($EN$3,0,0,'Données projet'!$E$15+1,1))-AVERAGE(OFFSET($H$3,0,0,'Données projet'!$E$15+1,1))</f>
        <v>207.2913533618397</v>
      </c>
      <c r="EP23" s="59">
        <f t="shared" si="46"/>
        <v>230.81096055024483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14</v>
      </c>
      <c r="ES23" s="16">
        <f>IF(ISNA(VLOOKUP(A23,'Données projet'!$A$191:$I$211,5,0)),0%,VLOOKUP(A23,'Données projet'!$A$191:$I$211,5,0)*VLOOKUP('Données projet'!$B$15,Paramètres!$A$1:$I$89,7,0))</f>
        <v>0.13500000000000001</v>
      </c>
      <c r="ET23" s="16">
        <f>IF(ISNA(VLOOKUP(A23,'Données projet'!$A$191:$I$211,6,0)),0%,VLOOKUP(A23,'Données projet'!$A$191:$I$211,6,0)*VLOOKUP('Données projet'!$B$15,Paramètres!$A$1:$I$89,7,0))</f>
        <v>0.13500000000000001</v>
      </c>
      <c r="EU23" s="16">
        <f>IF(ISNA(VLOOKUP(A23,'Données projet'!$A$191:$I$211,7,0)),0%,VLOOKUP(A23,'Données projet'!$A$191:$I$211,7,0))</f>
        <v>0.3</v>
      </c>
      <c r="EV23" s="21">
        <f>EXP(-LN(2)/35)*EV22+(1-EXP(-LN(2)/35))/(LN(2)/35)*ER23*ES23*VLOOKUP('Données projet'!$B$15,Paramètres!$A$1:$I$89,3,0)*0.475*44/12</f>
        <v>1.4993096788268774</v>
      </c>
      <c r="EW23" s="21">
        <f>EXP(-LN(2)/25)*EW22+(1-EXP(-LN(2)/25))/(LN(2)/25)*Calculateur!ER23*Calculateur!ET23*VLOOKUP('Données projet'!$B$15,Paramètres!$A$1:$I$89,3,0)*0.475*44/12</f>
        <v>2.5117957365862829</v>
      </c>
      <c r="EX23" s="21">
        <f>EXP(-LN(2)/2)*EX22+(1-EXP(-LN(2)/2))/(LN(2)/2)*ER23*EU23*VLOOKUP('Données projet'!$B$15,Paramètres!$A$1:$I$89,3,0)*0.475*44/12</f>
        <v>3.3853745696041333</v>
      </c>
      <c r="EY23" s="22">
        <f t="shared" si="21"/>
        <v>7.3964799850172938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127.69999999999999</v>
      </c>
      <c r="O24" s="13">
        <f>N24*VLOOKUP('Données projet'!$B$9,Paramètres!$A$1:$I$89,3,0)*VLOOKUP('Données projet'!$B$9,Paramètres!$A$1:$I$89,5,0)</f>
        <v>59.763599999999997</v>
      </c>
      <c r="P24" s="13">
        <f t="shared" si="33"/>
        <v>17.108485949725164</v>
      </c>
      <c r="Q24" s="20">
        <f t="shared" si="2"/>
        <v>133.88554969577129</v>
      </c>
      <c r="R24" s="59">
        <f t="shared" si="0"/>
        <v>416.21888302910463</v>
      </c>
      <c r="S24" s="59">
        <f ca="1">AVERAGE(OFFSET($R$3,0,0,'Données projet'!$E$9+1,1))-AVERAGE(OFFSET($H$3,0,0,'Données projet'!$E$9+1,1))</f>
        <v>319.22903094674564</v>
      </c>
      <c r="T24" s="59">
        <f t="shared" si="34"/>
        <v>254.58690973142848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2.6446191188745241</v>
      </c>
      <c r="AA24" s="21">
        <f>EXP(-LN(2)/25)*AA23+(1-EXP(-LN(2)/25))/(LN(2)/25)*Calculateur!V24*Calculateur!X24*VLOOKUP('Données projet'!$B$9,Paramètres!$A$1:$I$89,3,0)*0.475*44/12</f>
        <v>2.6134213357733005</v>
      </c>
      <c r="AB24" s="21">
        <f>EXP(-LN(2)/2)*AB23+(1-EXP(-LN(2)/2))/(LN(2)/2)*V24*Y24*VLOOKUP('Données projet'!$B$9,Paramètres!$A$1:$I$89,3,0)*0.475*44/12</f>
        <v>8.8800362868613529</v>
      </c>
      <c r="AC24" s="22">
        <f t="shared" si="3"/>
        <v>14.138076741509177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31.8</v>
      </c>
      <c r="AI24" s="13">
        <f>IF('Données projet'!$A$62&gt;35,AI23+AH24-AQ23,IF(A24&lt;'Données projet'!$A$62,$AF$205^A24,IF(A24='Données projet'!$A$62,'Données projet'!$B$62,AI23+AH24-AQ23)))</f>
        <v>291.8</v>
      </c>
      <c r="AJ24" s="13">
        <f>AI24*VLOOKUP('Données projet'!$B$10,Paramètres!$A$1:$I$89,3,0)*VLOOKUP('Données projet'!$B$10,Paramètres!$A$1:$I$89,5,0)</f>
        <v>163.11620000000002</v>
      </c>
      <c r="AK24" s="13">
        <f t="shared" si="35"/>
        <v>41.544592017733144</v>
      </c>
      <c r="AL24" s="20">
        <f t="shared" si="4"/>
        <v>356.45087943088532</v>
      </c>
      <c r="AM24" s="59">
        <f t="shared" si="5"/>
        <v>638.78421276421864</v>
      </c>
      <c r="AN24" s="59">
        <f ca="1">AVERAGE(OFFSET($AM$3,0,0,'Données projet'!$E$10+1,1))-AVERAGE(OFFSET($H$3,0,0,'Données projet'!$E$10+1,1))</f>
        <v>544.48194192356823</v>
      </c>
      <c r="AO24" s="59">
        <f t="shared" si="36"/>
        <v>668.20427590250733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10.194548628364625</v>
      </c>
      <c r="AW24" s="21">
        <f>EXP(-LN(2)/2)*AW23+(1-EXP(-LN(2)/2))/(LN(2)/2)*AQ24*AT24*VLOOKUP('Données projet'!$B$10,Paramètres!$A$1:$I$89,3,0)*0.475*44/12</f>
        <v>7.6976967156149305</v>
      </c>
      <c r="AX24" s="21">
        <f t="shared" si="6"/>
        <v>17.892245343979557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7.2</v>
      </c>
      <c r="BD24" s="12">
        <f>IF('Données projet'!$A$88&gt;35,BD23+BC24-BL23,IF(A24&lt;'Données projet'!$A$88,$BA$205^A24,IF(A24='Données projet'!$A$88,'Données projet'!$B$88,BD23+BC24-BL23)))</f>
        <v>74.2</v>
      </c>
      <c r="BE24" s="13">
        <f>BD24*VLOOKUP('Données projet'!$B$11,Paramètres!$A$1:$I$89,3,0)*VLOOKUP('Données projet'!$B$11,Paramètres!$A$1:$I$89,5,0)</f>
        <v>67.136160000000004</v>
      </c>
      <c r="BF24" s="13">
        <f t="shared" si="37"/>
        <v>18.960545405756019</v>
      </c>
      <c r="BG24" s="20">
        <f t="shared" si="7"/>
        <v>149.95176191502506</v>
      </c>
      <c r="BH24" s="59">
        <f t="shared" si="8"/>
        <v>432.2850952483584</v>
      </c>
      <c r="BI24" s="59">
        <f ca="1">AVERAGE(OFFSET($BH$3,0,0,'Données projet'!$E$11+1,1))-AVERAGE(OFFSET($H$3,0,0,'Données projet'!$E$11+1,1))</f>
        <v>405.7176439604217</v>
      </c>
      <c r="BJ24" s="59">
        <f t="shared" si="38"/>
        <v>278.21741231699929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0.50599770483107487</v>
      </c>
      <c r="BQ24" s="21">
        <f>EXP(-LN(2)/25)*BQ23+(1-EXP(-LN(2)/25))/(LN(2)/25)*Calculateur!BL24*Calculateur!BN24*VLOOKUP('Données projet'!$B$11,Paramètres!$A$1:$I$89,3,0)*0.475*44/12</f>
        <v>0.5000286007992798</v>
      </c>
      <c r="BR24" s="21">
        <f>EXP(-LN(2)/2)*BR23+(1-EXP(-LN(2)/2))/(LN(2)/2)*BL24*BO24*VLOOKUP('Données projet'!$B$11,Paramètres!$A$1:$I$89,3,0)*0.475*44/12</f>
        <v>2.1731734372909646</v>
      </c>
      <c r="BS24" s="22">
        <f t="shared" si="9"/>
        <v>3.1791997429213192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12.6</v>
      </c>
      <c r="CT24" s="12">
        <f>IF('Données projet'!$A$140&gt;35,CT23+CS24-DB23,IF(A24&lt;'Données projet'!$A$140,$CQ$205^A24,IF(A24='Données projet'!$A$140,'Données projet'!$B$140,CT23+CS24-DB23)))</f>
        <v>64.599999999999994</v>
      </c>
      <c r="CU24" s="17">
        <f>CT24*VLOOKUP('Données projet'!$B$13,Paramètres!$A$1:$I$89,3,0)*VLOOKUP('Données projet'!$B$13,Paramètres!$A$1:$I$89,5,0)</f>
        <v>51.395759999999996</v>
      </c>
      <c r="CV24" s="13">
        <f t="shared" si="41"/>
        <v>14.973641136922506</v>
      </c>
      <c r="CW24" s="20">
        <f t="shared" si="13"/>
        <v>115.59337364680668</v>
      </c>
      <c r="CX24" s="59">
        <f t="shared" si="14"/>
        <v>397.92670698014001</v>
      </c>
      <c r="CY24" s="59">
        <f ca="1">AVERAGE(OFFSET($CX$3,0,0,'Données projet'!$E$13+1,1))-AVERAGE(OFFSET($H$3,0,0,'Données projet'!$E$13+1,1))</f>
        <v>299.10536994156814</v>
      </c>
      <c r="CZ24" s="59">
        <f t="shared" si="42"/>
        <v>292.57799203101769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2.5592041093581308</v>
      </c>
      <c r="DG24" s="21">
        <f>EXP(-LN(2)/25)*DG23+(1-EXP(-LN(2)/25))/(LN(2)/25)*Calculateur!DB24*Calculateur!DD24*VLOOKUP('Données projet'!$B$13,Paramètres!$A$1:$I$89,3,0)*0.475*44/12</f>
        <v>4.2981845312426747</v>
      </c>
      <c r="DH24" s="21">
        <f>EXP(-LN(2)/2)*DH23+(1-EXP(-LN(2)/2))/(LN(2)/2)*DB24*DE24*VLOOKUP('Données projet'!$B$13,Paramètres!$A$1:$I$89,3,0)*0.475*44/12</f>
        <v>9.9027591868046692</v>
      </c>
      <c r="DI24" s="22">
        <f t="shared" si="15"/>
        <v>16.760147827405476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11</v>
      </c>
      <c r="DO24" s="12">
        <f>IF('Données projet'!$A$166&gt;35,DO23+DN24-DW23,IF(A24&lt;'Données projet'!$A$166,$DL$205^A24,IF(A24='Données projet'!$A$166,'Données projet'!$B$166,DO23+DN24-DW23)))</f>
        <v>116</v>
      </c>
      <c r="DP24" s="17">
        <f>DO24*VLOOKUP('Données projet'!$B$14,Paramètres!$A$1:$I$89,3,0)*VLOOKUP('Données projet'!$B$14,Paramètres!$A$1:$I$89,5,0)</f>
        <v>76.003200000000007</v>
      </c>
      <c r="DQ24" s="13">
        <f t="shared" si="43"/>
        <v>21.157049992000456</v>
      </c>
      <c r="DR24" s="20">
        <f t="shared" si="16"/>
        <v>169.22076873606747</v>
      </c>
      <c r="DS24" s="59">
        <f t="shared" si="17"/>
        <v>451.55410206940076</v>
      </c>
      <c r="DT24" s="59">
        <f ca="1">AVERAGE(OFFSET($DS$3,0,0,'Données projet'!$E$14+1,1))-AVERAGE(OFFSET($H$3,0,0,'Données projet'!$E$14+1,1))</f>
        <v>295.92103934364718</v>
      </c>
      <c r="DU24" s="59">
        <f t="shared" si="44"/>
        <v>304.84379909635476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1.7110398489211815</v>
      </c>
      <c r="EC24" s="21">
        <f>EXP(-LN(2)/2)*EC23+(1-EXP(-LN(2)/2))/(LN(2)/2)*DW24*DZ24*VLOOKUP('Données projet'!$B$14,Paramètres!$A$1:$I$89,3,0)*0.475*44/12</f>
        <v>3.3019043419303116</v>
      </c>
      <c r="ED24" s="22">
        <f t="shared" si="18"/>
        <v>5.0129441908514929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11</v>
      </c>
      <c r="EJ24" s="12">
        <f>IF('Données projet'!$A$192&gt;35,EJ23+EI24-ER23,IF(A24&lt;'Données projet'!$A$192,$EG$205^A24,IF(A24='Données projet'!$A$192,'Données projet'!$B$192,EJ23+EI24-ER23)))</f>
        <v>88</v>
      </c>
      <c r="EK24" s="17">
        <f>EJ24*VLOOKUP('Données projet'!$B$15,Paramètres!$A$1:$I$89,3,0)*VLOOKUP('Données projet'!$B$15,Paramètres!$A$1:$I$89,5,0)</f>
        <v>52.624000000000009</v>
      </c>
      <c r="EL24" s="13">
        <f t="shared" si="45"/>
        <v>15.289388641788772</v>
      </c>
      <c r="EM24" s="20">
        <f t="shared" si="19"/>
        <v>118.28248521778211</v>
      </c>
      <c r="EN24" s="59">
        <f t="shared" si="20"/>
        <v>400.61581855111541</v>
      </c>
      <c r="EO24" s="59">
        <f ca="1">AVERAGE(OFFSET($EN$3,0,0,'Données projet'!$E$15+1,1))-AVERAGE(OFFSET($H$3,0,0,'Données projet'!$E$15+1,1))</f>
        <v>207.2913533618397</v>
      </c>
      <c r="EP24" s="59">
        <f t="shared" si="46"/>
        <v>230.81096055024483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1.4699091305136882</v>
      </c>
      <c r="EW24" s="21">
        <f>EXP(-LN(2)/25)*EW23+(1-EXP(-LN(2)/25))/(LN(2)/25)*Calculateur!ER24*Calculateur!ET24*VLOOKUP('Données projet'!$B$15,Paramètres!$A$1:$I$89,3,0)*0.475*44/12</f>
        <v>2.4431105500797341</v>
      </c>
      <c r="EX24" s="21">
        <f>EXP(-LN(2)/2)*EX23+(1-EXP(-LN(2)/2))/(LN(2)/2)*ER24*EU24*VLOOKUP('Données projet'!$B$15,Paramètres!$A$1:$I$89,3,0)*0.475*44/12</f>
        <v>2.3938213150235725</v>
      </c>
      <c r="EY24" s="22">
        <f t="shared" si="21"/>
        <v>6.3068409956169944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136.89999999999998</v>
      </c>
      <c r="O25" s="13">
        <f>N25*VLOOKUP('Données projet'!$B$9,Paramètres!$A$1:$I$89,3,0)*VLOOKUP('Données projet'!$B$9,Paramètres!$A$1:$I$89,5,0)</f>
        <v>64.069199999999995</v>
      </c>
      <c r="P25" s="13">
        <f t="shared" si="33"/>
        <v>18.193128517714101</v>
      </c>
      <c r="Q25" s="20">
        <f t="shared" si="2"/>
        <v>143.27355550168537</v>
      </c>
      <c r="R25" s="59">
        <f t="shared" si="0"/>
        <v>426.82911105724088</v>
      </c>
      <c r="S25" s="59">
        <f ca="1">AVERAGE(OFFSET($R$3,0,0,'Données projet'!$E$9+1,1))-AVERAGE(OFFSET($H$3,0,0,'Données projet'!$E$9+1,1))</f>
        <v>319.22903094674564</v>
      </c>
      <c r="T25" s="59">
        <f t="shared" si="34"/>
        <v>254.58690973142848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2.5927597510117808</v>
      </c>
      <c r="AA25" s="21">
        <f>EXP(-LN(2)/25)*AA24+(1-EXP(-LN(2)/25))/(LN(2)/25)*Calculateur!V25*Calculateur!X25*VLOOKUP('Données projet'!$B$9,Paramètres!$A$1:$I$89,3,0)*0.475*44/12</f>
        <v>2.5419571919127244</v>
      </c>
      <c r="AB25" s="21">
        <f>EXP(-LN(2)/2)*AB24+(1-EXP(-LN(2)/2))/(LN(2)/2)*V25*Y25*VLOOKUP('Données projet'!$B$9,Paramètres!$A$1:$I$89,3,0)*0.475*44/12</f>
        <v>6.2791338756222732</v>
      </c>
      <c r="AC25" s="22">
        <f t="shared" si="3"/>
        <v>11.413850818546779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31.8</v>
      </c>
      <c r="AI25" s="13">
        <f>IF('Données projet'!$A$62&gt;35,AI24+AH25-AQ24,IF(A25&lt;'Données projet'!$A$62,$AF$205^A25,IF(A25='Données projet'!$A$62,'Données projet'!$B$62,AI24+AH25-AQ24)))</f>
        <v>323.60000000000002</v>
      </c>
      <c r="AJ25" s="13">
        <f>AI25*VLOOKUP('Données projet'!$B$10,Paramètres!$A$1:$I$89,3,0)*VLOOKUP('Données projet'!$B$10,Paramètres!$A$1:$I$89,5,0)</f>
        <v>180.89240000000001</v>
      </c>
      <c r="AK25" s="13">
        <f t="shared" si="35"/>
        <v>45.520671542487669</v>
      </c>
      <c r="AL25" s="20">
        <f t="shared" si="4"/>
        <v>394.33609960316602</v>
      </c>
      <c r="AM25" s="59">
        <f t="shared" si="5"/>
        <v>677.89165515872151</v>
      </c>
      <c r="AN25" s="59">
        <f ca="1">AVERAGE(OFFSET($AM$3,0,0,'Données projet'!$E$10+1,1))-AVERAGE(OFFSET($H$3,0,0,'Données projet'!$E$10+1,1))</f>
        <v>544.48194192356823</v>
      </c>
      <c r="AO25" s="59">
        <f t="shared" si="36"/>
        <v>668.20427590250733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9.915778160013982</v>
      </c>
      <c r="AW25" s="21">
        <f>EXP(-LN(2)/2)*AW24+(1-EXP(-LN(2)/2))/(LN(2)/2)*AQ25*AT25*VLOOKUP('Données projet'!$B$10,Paramètres!$A$1:$I$89,3,0)*0.475*44/12</f>
        <v>5.4430935471287327</v>
      </c>
      <c r="AX25" s="21">
        <f t="shared" si="6"/>
        <v>15.358871707142715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7.2</v>
      </c>
      <c r="BD25" s="12">
        <f>IF('Données projet'!$A$88&gt;35,BD24+BC25-BL24,IF(A25&lt;'Données projet'!$A$88,$BA$205^A25,IF(A25='Données projet'!$A$88,'Données projet'!$B$88,BD24+BC25-BL24)))</f>
        <v>81.400000000000006</v>
      </c>
      <c r="BE25" s="13">
        <f>BD25*VLOOKUP('Données projet'!$B$11,Paramètres!$A$1:$I$89,3,0)*VLOOKUP('Données projet'!$B$11,Paramètres!$A$1:$I$89,5,0)</f>
        <v>73.650720000000007</v>
      </c>
      <c r="BF25" s="13">
        <f t="shared" si="37"/>
        <v>20.577360172493922</v>
      </c>
      <c r="BG25" s="20">
        <f t="shared" si="7"/>
        <v>164.11390630042692</v>
      </c>
      <c r="BH25" s="59">
        <f t="shared" si="8"/>
        <v>447.66946185598249</v>
      </c>
      <c r="BI25" s="59">
        <f ca="1">AVERAGE(OFFSET($BH$3,0,0,'Données projet'!$E$11+1,1))-AVERAGE(OFFSET($H$3,0,0,'Données projet'!$E$11+1,1))</f>
        <v>405.7176439604217</v>
      </c>
      <c r="BJ25" s="59">
        <f t="shared" si="38"/>
        <v>278.21741231699929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0.49607539846746296</v>
      </c>
      <c r="BQ25" s="21">
        <f>EXP(-LN(2)/25)*BQ24+(1-EXP(-LN(2)/25))/(LN(2)/25)*Calculateur!BL25*Calculateur!BN25*VLOOKUP('Données projet'!$B$11,Paramètres!$A$1:$I$89,3,0)*0.475*44/12</f>
        <v>0.4863552924150622</v>
      </c>
      <c r="BR25" s="21">
        <f>EXP(-LN(2)/2)*BR24+(1-EXP(-LN(2)/2))/(LN(2)/2)*BL25*BO25*VLOOKUP('Données projet'!$B$11,Paramètres!$A$1:$I$89,3,0)*0.475*44/12</f>
        <v>1.5366656742029194</v>
      </c>
      <c r="BS25" s="22">
        <f t="shared" si="9"/>
        <v>2.5190963650854448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12.6</v>
      </c>
      <c r="CT25" s="12">
        <f>IF('Données projet'!$A$140&gt;35,CT24+CS25-DB24,IF(A25&lt;'Données projet'!$A$140,$CQ$205^A25,IF(A25='Données projet'!$A$140,'Données projet'!$B$140,CT24+CS25-DB24)))</f>
        <v>77.199999999999989</v>
      </c>
      <c r="CU25" s="17">
        <f>CT25*VLOOKUP('Données projet'!$B$13,Paramètres!$A$1:$I$89,3,0)*VLOOKUP('Données projet'!$B$13,Paramètres!$A$1:$I$89,5,0)</f>
        <v>61.42031999999999</v>
      </c>
      <c r="CV25" s="13">
        <f t="shared" si="41"/>
        <v>17.526880037631354</v>
      </c>
      <c r="CW25" s="20">
        <f t="shared" si="13"/>
        <v>137.4997067322079</v>
      </c>
      <c r="CX25" s="59">
        <f t="shared" si="14"/>
        <v>421.05526228776341</v>
      </c>
      <c r="CY25" s="59">
        <f ca="1">AVERAGE(OFFSET($CX$3,0,0,'Données projet'!$E$13+1,1))-AVERAGE(OFFSET($H$3,0,0,'Données projet'!$E$13+1,1))</f>
        <v>299.10536994156814</v>
      </c>
      <c r="CZ25" s="59">
        <f t="shared" si="42"/>
        <v>292.57799203101769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2.5090196777339924</v>
      </c>
      <c r="DG25" s="21">
        <f>EXP(-LN(2)/25)*DG24+(1-EXP(-LN(2)/25))/(LN(2)/25)*Calculateur!DB25*Calculateur!DD25*VLOOKUP('Données projet'!$B$13,Paramètres!$A$1:$I$89,3,0)*0.475*44/12</f>
        <v>4.1806504492041432</v>
      </c>
      <c r="DH25" s="21">
        <f>EXP(-LN(2)/2)*DH24+(1-EXP(-LN(2)/2))/(LN(2)/2)*DB25*DE25*VLOOKUP('Données projet'!$B$13,Paramètres!$A$1:$I$89,3,0)*0.475*44/12</f>
        <v>7.0023081734469628</v>
      </c>
      <c r="DI25" s="22">
        <f t="shared" si="15"/>
        <v>13.691978300385099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11</v>
      </c>
      <c r="DO25" s="12">
        <f>IF('Données projet'!$A$166&gt;35,DO24+DN25-DW24,IF(A25&lt;'Données projet'!$A$166,$DL$205^A25,IF(A25='Données projet'!$A$166,'Données projet'!$B$166,DO24+DN25-DW24)))</f>
        <v>127</v>
      </c>
      <c r="DP25" s="17">
        <f>DO25*VLOOKUP('Données projet'!$B$14,Paramètres!$A$1:$I$89,3,0)*VLOOKUP('Données projet'!$B$14,Paramètres!$A$1:$I$89,5,0)</f>
        <v>83.210399999999993</v>
      </c>
      <c r="DQ25" s="13">
        <f t="shared" si="43"/>
        <v>22.920337105048574</v>
      </c>
      <c r="DR25" s="20">
        <f t="shared" si="16"/>
        <v>184.84436712462625</v>
      </c>
      <c r="DS25" s="59">
        <f t="shared" si="17"/>
        <v>468.39992268018182</v>
      </c>
      <c r="DT25" s="59">
        <f ca="1">AVERAGE(OFFSET($DS$3,0,0,'Données projet'!$E$14+1,1))-AVERAGE(OFFSET($H$3,0,0,'Données projet'!$E$14+1,1))</f>
        <v>295.92103934364718</v>
      </c>
      <c r="DU25" s="59">
        <f t="shared" si="44"/>
        <v>304.84379909635476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1.6642513742727567</v>
      </c>
      <c r="EC25" s="21">
        <f>EXP(-LN(2)/2)*EC24+(1-EXP(-LN(2)/2))/(LN(2)/2)*DW25*DZ25*VLOOKUP('Données projet'!$B$14,Paramètres!$A$1:$I$89,3,0)*0.475*44/12</f>
        <v>2.3347989510082283</v>
      </c>
      <c r="ED25" s="22">
        <f t="shared" si="18"/>
        <v>3.9990503252809848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11</v>
      </c>
      <c r="EJ25" s="12">
        <f>IF('Données projet'!$A$192&gt;35,EJ24+EI25-ER24,IF(A25&lt;'Données projet'!$A$192,$EG$205^A25,IF(A25='Données projet'!$A$192,'Données projet'!$B$192,EJ24+EI25-ER24)))</f>
        <v>99</v>
      </c>
      <c r="EK25" s="17">
        <f>EJ25*VLOOKUP('Données projet'!$B$15,Paramètres!$A$1:$I$89,3,0)*VLOOKUP('Données projet'!$B$15,Paramètres!$A$1:$I$89,5,0)</f>
        <v>59.201999999999998</v>
      </c>
      <c r="EL25" s="13">
        <f t="shared" si="45"/>
        <v>16.966352622896878</v>
      </c>
      <c r="EM25" s="20">
        <f t="shared" si="19"/>
        <v>132.65988081821206</v>
      </c>
      <c r="EN25" s="59">
        <f t="shared" si="20"/>
        <v>416.2154363737676</v>
      </c>
      <c r="EO25" s="59">
        <f ca="1">AVERAGE(OFFSET($EN$3,0,0,'Données projet'!$E$15+1,1))-AVERAGE(OFFSET($H$3,0,0,'Données projet'!$E$15+1,1))</f>
        <v>207.2913533618397</v>
      </c>
      <c r="EP25" s="59">
        <f t="shared" si="46"/>
        <v>230.81096055024483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1.4410851090203569</v>
      </c>
      <c r="EW25" s="21">
        <f>EXP(-LN(2)/25)*EW24+(1-EXP(-LN(2)/25))/(LN(2)/25)*Calculateur!ER25*Calculateur!ET25*VLOOKUP('Données projet'!$B$15,Paramètres!$A$1:$I$89,3,0)*0.475*44/12</f>
        <v>2.3763035636102039</v>
      </c>
      <c r="EX25" s="21">
        <f>EXP(-LN(2)/2)*EX24+(1-EXP(-LN(2)/2))/(LN(2)/2)*ER25*EU25*VLOOKUP('Données projet'!$B$15,Paramètres!$A$1:$I$89,3,0)*0.475*44/12</f>
        <v>1.6926872848020669</v>
      </c>
      <c r="EY25" s="22">
        <f t="shared" si="21"/>
        <v>5.5100759574326279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146.09999999999997</v>
      </c>
      <c r="O26" s="13">
        <f>N26*VLOOKUP('Données projet'!$B$9,Paramètres!$A$1:$I$89,3,0)*VLOOKUP('Données projet'!$B$9,Paramètres!$A$1:$I$89,5,0)</f>
        <v>68.374799999999979</v>
      </c>
      <c r="P26" s="13">
        <f t="shared" si="33"/>
        <v>19.269313009600907</v>
      </c>
      <c r="Q26" s="20">
        <f t="shared" si="2"/>
        <v>152.64683015838821</v>
      </c>
      <c r="R26" s="59">
        <f t="shared" si="0"/>
        <v>437.42460793616601</v>
      </c>
      <c r="S26" s="59">
        <f ca="1">AVERAGE(OFFSET($R$3,0,0,'Données projet'!$E$9+1,1))-AVERAGE(OFFSET($H$3,0,0,'Données projet'!$E$9+1,1))</f>
        <v>319.22903094674564</v>
      </c>
      <c r="T26" s="59">
        <f t="shared" si="34"/>
        <v>254.58690973142848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2.541917313721735</v>
      </c>
      <c r="AA26" s="21">
        <f>EXP(-LN(2)/25)*AA25+(1-EXP(-LN(2)/25))/(LN(2)/25)*Calculateur!V26*Calculateur!X26*VLOOKUP('Données projet'!$B$9,Paramètres!$A$1:$I$89,3,0)*0.475*44/12</f>
        <v>2.4724472388241518</v>
      </c>
      <c r="AB26" s="21">
        <f>EXP(-LN(2)/2)*AB25+(1-EXP(-LN(2)/2))/(LN(2)/2)*V26*Y26*VLOOKUP('Données projet'!$B$9,Paramètres!$A$1:$I$89,3,0)*0.475*44/12</f>
        <v>4.4400181434306774</v>
      </c>
      <c r="AC26" s="22">
        <f t="shared" si="3"/>
        <v>9.4543826959765642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31.8</v>
      </c>
      <c r="AI26" s="13">
        <f>IF('Données projet'!$A$62&gt;35,AI25+AH26-AQ25,IF(A26&lt;'Données projet'!$A$62,$AF$205^A26,IF(A26='Données projet'!$A$62,'Données projet'!$B$62,AI25+AH26-AQ25)))</f>
        <v>355.40000000000003</v>
      </c>
      <c r="AJ26" s="13">
        <f>AI26*VLOOKUP('Données projet'!$B$10,Paramètres!$A$1:$I$89,3,0)*VLOOKUP('Données projet'!$B$10,Paramètres!$A$1:$I$89,5,0)</f>
        <v>198.6686</v>
      </c>
      <c r="AK26" s="13">
        <f t="shared" si="35"/>
        <v>49.451452656287465</v>
      </c>
      <c r="AL26" s="20">
        <f t="shared" si="4"/>
        <v>432.14242504303394</v>
      </c>
      <c r="AM26" s="59">
        <f t="shared" si="5"/>
        <v>716.92020282081171</v>
      </c>
      <c r="AN26" s="59">
        <f ca="1">AVERAGE(OFFSET($AM$3,0,0,'Données projet'!$E$10+1,1))-AVERAGE(OFFSET($H$3,0,0,'Données projet'!$E$10+1,1))</f>
        <v>544.48194192356823</v>
      </c>
      <c r="AO26" s="59">
        <f t="shared" si="36"/>
        <v>668.20427590250733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9.6446306847802887</v>
      </c>
      <c r="AW26" s="21">
        <f>EXP(-LN(2)/2)*AW25+(1-EXP(-LN(2)/2))/(LN(2)/2)*AQ26*AT26*VLOOKUP('Données projet'!$B$10,Paramètres!$A$1:$I$89,3,0)*0.475*44/12</f>
        <v>3.8488483578074657</v>
      </c>
      <c r="AX26" s="21">
        <f t="shared" si="6"/>
        <v>13.493479042587754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7.2</v>
      </c>
      <c r="BD26" s="12">
        <f>IF('Données projet'!$A$88&gt;35,BD25+BC26-BL25,IF(A26&lt;'Données projet'!$A$88,$BA$205^A26,IF(A26='Données projet'!$A$88,'Données projet'!$B$88,BD25+BC26-BL25)))</f>
        <v>88.600000000000009</v>
      </c>
      <c r="BE26" s="13">
        <f>BD26*VLOOKUP('Données projet'!$B$11,Paramètres!$A$1:$I$89,3,0)*VLOOKUP('Données projet'!$B$11,Paramètres!$A$1:$I$89,5,0)</f>
        <v>80.165279999999996</v>
      </c>
      <c r="BF26" s="13">
        <f t="shared" si="37"/>
        <v>22.177591092468788</v>
      </c>
      <c r="BG26" s="20">
        <f t="shared" si="7"/>
        <v>178.24716715271646</v>
      </c>
      <c r="BH26" s="59">
        <f t="shared" si="8"/>
        <v>463.02494493049426</v>
      </c>
      <c r="BI26" s="59">
        <f ca="1">AVERAGE(OFFSET($BH$3,0,0,'Données projet'!$E$11+1,1))-AVERAGE(OFFSET($H$3,0,0,'Données projet'!$E$11+1,1))</f>
        <v>405.7176439604217</v>
      </c>
      <c r="BJ26" s="59">
        <f t="shared" si="38"/>
        <v>278.21741231699929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0.48634766247963218</v>
      </c>
      <c r="BQ26" s="21">
        <f>EXP(-LN(2)/25)*BQ25+(1-EXP(-LN(2)/25))/(LN(2)/25)*Calculateur!BL26*Calculateur!BN26*VLOOKUP('Données projet'!$B$11,Paramètres!$A$1:$I$89,3,0)*0.475*44/12</f>
        <v>0.47305588136765908</v>
      </c>
      <c r="BR26" s="21">
        <f>EXP(-LN(2)/2)*BR25+(1-EXP(-LN(2)/2))/(LN(2)/2)*BL26*BO26*VLOOKUP('Données projet'!$B$11,Paramètres!$A$1:$I$89,3,0)*0.475*44/12</f>
        <v>1.0865867186454823</v>
      </c>
      <c r="BS26" s="22">
        <f t="shared" si="9"/>
        <v>2.0459902624927735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12.6</v>
      </c>
      <c r="CT26" s="12">
        <f>IF('Données projet'!$A$140&gt;35,CT25+CS26-DB25,IF(A26&lt;'Données projet'!$A$140,$CQ$205^A26,IF(A26='Données projet'!$A$140,'Données projet'!$B$140,CT25+CS26-DB25)))</f>
        <v>89.799999999999983</v>
      </c>
      <c r="CU26" s="17">
        <f>CT26*VLOOKUP('Données projet'!$B$13,Paramètres!$A$1:$I$89,3,0)*VLOOKUP('Données projet'!$B$13,Paramètres!$A$1:$I$89,5,0)</f>
        <v>71.444879999999998</v>
      </c>
      <c r="CV26" s="13">
        <f t="shared" si="41"/>
        <v>20.03184442542841</v>
      </c>
      <c r="CW26" s="20">
        <f t="shared" si="13"/>
        <v>159.32196170762117</v>
      </c>
      <c r="CX26" s="59">
        <f t="shared" si="14"/>
        <v>444.09973948539891</v>
      </c>
      <c r="CY26" s="59">
        <f ca="1">AVERAGE(OFFSET($CX$3,0,0,'Données projet'!$E$13+1,1))-AVERAGE(OFFSET($H$3,0,0,'Données projet'!$E$13+1,1))</f>
        <v>299.10536994156814</v>
      </c>
      <c r="CZ26" s="59">
        <f t="shared" si="42"/>
        <v>292.57799203101769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2.4598193322045225</v>
      </c>
      <c r="DG26" s="21">
        <f>EXP(-LN(2)/25)*DG25+(1-EXP(-LN(2)/25))/(LN(2)/25)*Calculateur!DB26*Calculateur!DD26*VLOOKUP('Données projet'!$B$13,Paramètres!$A$1:$I$89,3,0)*0.475*44/12</f>
        <v>4.0663303428198034</v>
      </c>
      <c r="DH26" s="21">
        <f>EXP(-LN(2)/2)*DH25+(1-EXP(-LN(2)/2))/(LN(2)/2)*DB26*DE26*VLOOKUP('Données projet'!$B$13,Paramètres!$A$1:$I$89,3,0)*0.475*44/12</f>
        <v>4.9513795934023355</v>
      </c>
      <c r="DI26" s="22">
        <f t="shared" si="15"/>
        <v>11.477529268426661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11</v>
      </c>
      <c r="DO26" s="12">
        <f>IF('Données projet'!$A$166&gt;35,DO25+DN26-DW25,IF(A26&lt;'Données projet'!$A$166,$DL$205^A26,IF(A26='Données projet'!$A$166,'Données projet'!$B$166,DO25+DN26-DW25)))</f>
        <v>138</v>
      </c>
      <c r="DP26" s="17">
        <f>DO26*VLOOKUP('Données projet'!$B$14,Paramètres!$A$1:$I$89,3,0)*VLOOKUP('Données projet'!$B$14,Paramètres!$A$1:$I$89,5,0)</f>
        <v>90.417600000000007</v>
      </c>
      <c r="DQ26" s="13">
        <f t="shared" si="43"/>
        <v>24.665912907068826</v>
      </c>
      <c r="DR26" s="20">
        <f t="shared" si="16"/>
        <v>200.43711831314488</v>
      </c>
      <c r="DS26" s="59">
        <f t="shared" si="17"/>
        <v>485.21489609092265</v>
      </c>
      <c r="DT26" s="59">
        <f ca="1">AVERAGE(OFFSET($DS$3,0,0,'Données projet'!$E$14+1,1))-AVERAGE(OFFSET($H$3,0,0,'Données projet'!$E$14+1,1))</f>
        <v>295.92103934364718</v>
      </c>
      <c r="DU26" s="59">
        <f t="shared" si="44"/>
        <v>304.84379909635476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1.6187423329240922</v>
      </c>
      <c r="EC26" s="21">
        <f>EXP(-LN(2)/2)*EC25+(1-EXP(-LN(2)/2))/(LN(2)/2)*DW26*DZ26*VLOOKUP('Données projet'!$B$14,Paramètres!$A$1:$I$89,3,0)*0.475*44/12</f>
        <v>1.650952170965156</v>
      </c>
      <c r="ED26" s="22">
        <f t="shared" si="18"/>
        <v>3.269694503889248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11</v>
      </c>
      <c r="EJ26" s="12">
        <f>IF('Données projet'!$A$192&gt;35,EJ25+EI26-ER25,IF(A26&lt;'Données projet'!$A$192,$EG$205^A26,IF(A26='Données projet'!$A$192,'Données projet'!$B$192,EJ25+EI26-ER25)))</f>
        <v>110</v>
      </c>
      <c r="EK26" s="17">
        <f>EJ26*VLOOKUP('Données projet'!$B$15,Paramètres!$A$1:$I$89,3,0)*VLOOKUP('Données projet'!$B$15,Paramètres!$A$1:$I$89,5,0)</f>
        <v>65.78</v>
      </c>
      <c r="EL26" s="13">
        <f t="shared" si="45"/>
        <v>18.621720661480644</v>
      </c>
      <c r="EM26" s="20">
        <f t="shared" si="19"/>
        <v>146.99966348541213</v>
      </c>
      <c r="EN26" s="59">
        <f t="shared" si="20"/>
        <v>431.77744126318987</v>
      </c>
      <c r="EO26" s="59">
        <f ca="1">AVERAGE(OFFSET($EN$3,0,0,'Données projet'!$E$15+1,1))-AVERAGE(OFFSET($H$3,0,0,'Données projet'!$E$15+1,1))</f>
        <v>207.2913533618397</v>
      </c>
      <c r="EP26" s="59">
        <f t="shared" si="46"/>
        <v>230.81096055024483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1.4128263090075925</v>
      </c>
      <c r="EW26" s="21">
        <f>EXP(-LN(2)/25)*EW25+(1-EXP(-LN(2)/25))/(LN(2)/25)*Calculateur!ER26*Calculateur!ET26*VLOOKUP('Données projet'!$B$15,Paramètres!$A$1:$I$89,3,0)*0.475*44/12</f>
        <v>2.3113234176989095</v>
      </c>
      <c r="EX26" s="21">
        <f>EXP(-LN(2)/2)*EX25+(1-EXP(-LN(2)/2))/(LN(2)/2)*ER26*EU26*VLOOKUP('Données projet'!$B$15,Paramètres!$A$1:$I$89,3,0)*0.475*44/12</f>
        <v>1.1969106575117865</v>
      </c>
      <c r="EY26" s="22">
        <f t="shared" si="21"/>
        <v>4.9210603842182881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155.29999999999995</v>
      </c>
      <c r="O27" s="13">
        <f>N27*VLOOKUP('Données projet'!$B$9,Paramètres!$A$1:$I$89,3,0)*VLOOKUP('Données projet'!$B$9,Paramètres!$A$1:$I$89,5,0)</f>
        <v>72.680399999999977</v>
      </c>
      <c r="P27" s="13">
        <f t="shared" si="33"/>
        <v>20.337632665681216</v>
      </c>
      <c r="Q27" s="20">
        <f t="shared" si="2"/>
        <v>162.00640689272805</v>
      </c>
      <c r="R27" s="59">
        <f t="shared" si="0"/>
        <v>448.00640689272802</v>
      </c>
      <c r="S27" s="59">
        <f ca="1">AVERAGE(OFFSET($R$3,0,0,'Données projet'!$E$9+1,1))-AVERAGE(OFFSET($H$3,0,0,'Données projet'!$E$9+1,1))</f>
        <v>319.22903094674564</v>
      </c>
      <c r="T27" s="59">
        <f t="shared" si="34"/>
        <v>254.58690973142848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2.492071865616122</v>
      </c>
      <c r="AA27" s="21">
        <f>EXP(-LN(2)/25)*AA26+(1-EXP(-LN(2)/25))/(LN(2)/25)*Calculateur!V27*Calculateur!X27*VLOOKUP('Données projet'!$B$9,Paramètres!$A$1:$I$89,3,0)*0.475*44/12</f>
        <v>2.4048380390581561</v>
      </c>
      <c r="AB27" s="21">
        <f>EXP(-LN(2)/2)*AB26+(1-EXP(-LN(2)/2))/(LN(2)/2)*V27*Y27*VLOOKUP('Données projet'!$B$9,Paramètres!$A$1:$I$89,3,0)*0.475*44/12</f>
        <v>3.139566937811137</v>
      </c>
      <c r="AC27" s="22">
        <f t="shared" si="3"/>
        <v>8.0364768424854152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31.8</v>
      </c>
      <c r="AI27" s="13">
        <f>IF('Données projet'!$A$62&gt;35,AI26+AH27-AQ26,IF(A27&lt;'Données projet'!$A$62,$AF$205^A27,IF(A27='Données projet'!$A$62,'Données projet'!$B$62,AI26+AH27-AQ26)))</f>
        <v>387.20000000000005</v>
      </c>
      <c r="AJ27" s="13">
        <f>AI27*VLOOKUP('Données projet'!$B$10,Paramètres!$A$1:$I$89,3,0)*VLOOKUP('Données projet'!$B$10,Paramètres!$A$1:$I$89,5,0)</f>
        <v>216.44480000000001</v>
      </c>
      <c r="AK27" s="13">
        <f t="shared" si="35"/>
        <v>53.341449419561528</v>
      </c>
      <c r="AL27" s="20">
        <f t="shared" si="4"/>
        <v>469.87771773906974</v>
      </c>
      <c r="AM27" s="59">
        <f t="shared" si="5"/>
        <v>755.87771773906979</v>
      </c>
      <c r="AN27" s="59">
        <f ca="1">AVERAGE(OFFSET($AM$3,0,0,'Données projet'!$E$10+1,1))-AVERAGE(OFFSET($H$3,0,0,'Données projet'!$E$10+1,1))</f>
        <v>544.48194192356823</v>
      </c>
      <c r="AO27" s="59">
        <f t="shared" si="36"/>
        <v>668.20427590250733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9.3808977515158869</v>
      </c>
      <c r="AW27" s="21">
        <f>EXP(-LN(2)/2)*AW26+(1-EXP(-LN(2)/2))/(LN(2)/2)*AQ27*AT27*VLOOKUP('Données projet'!$B$10,Paramètres!$A$1:$I$89,3,0)*0.475*44/12</f>
        <v>2.7215467735643668</v>
      </c>
      <c r="AX27" s="21">
        <f t="shared" si="6"/>
        <v>12.102444525080253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7.2</v>
      </c>
      <c r="BD27" s="12">
        <f>IF('Données projet'!$A$88&gt;35,BD26+BC27-BL26,IF(A27&lt;'Données projet'!$A$88,$BA$205^A27,IF(A27='Données projet'!$A$88,'Données projet'!$B$88,BD26+BC27-BL26)))</f>
        <v>95.800000000000011</v>
      </c>
      <c r="BE27" s="13">
        <f>BD27*VLOOKUP('Données projet'!$B$11,Paramètres!$A$1:$I$89,3,0)*VLOOKUP('Données projet'!$B$11,Paramètres!$A$1:$I$89,5,0)</f>
        <v>86.679839999999999</v>
      </c>
      <c r="BF27" s="13">
        <f t="shared" si="37"/>
        <v>23.762739053789723</v>
      </c>
      <c r="BG27" s="20">
        <f t="shared" si="7"/>
        <v>192.35415851868379</v>
      </c>
      <c r="BH27" s="59">
        <f t="shared" si="8"/>
        <v>478.35415851868379</v>
      </c>
      <c r="BI27" s="59">
        <f ca="1">AVERAGE(OFFSET($BH$3,0,0,'Données projet'!$E$11+1,1))-AVERAGE(OFFSET($H$3,0,0,'Données projet'!$E$11+1,1))</f>
        <v>405.7176439604217</v>
      </c>
      <c r="BJ27" s="59">
        <f t="shared" si="38"/>
        <v>278.21741231699929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0.47681068146118966</v>
      </c>
      <c r="BQ27" s="21">
        <f>EXP(-LN(2)/25)*BQ26+(1-EXP(-LN(2)/25))/(LN(2)/25)*Calculateur!BL27*Calculateur!BN27*VLOOKUP('Données projet'!$B$11,Paramètres!$A$1:$I$89,3,0)*0.475*44/12</f>
        <v>0.46012014341473284</v>
      </c>
      <c r="BR27" s="21">
        <f>EXP(-LN(2)/2)*BR26+(1-EXP(-LN(2)/2))/(LN(2)/2)*BL27*BO27*VLOOKUP('Données projet'!$B$11,Paramètres!$A$1:$I$89,3,0)*0.475*44/12</f>
        <v>0.76833283710145972</v>
      </c>
      <c r="BS27" s="22">
        <f t="shared" si="9"/>
        <v>1.7052636619773822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12.6</v>
      </c>
      <c r="CT27" s="12">
        <f>IF('Données projet'!$A$140&gt;35,CT26+CS27-DB26,IF(A27&lt;'Données projet'!$A$140,$CQ$205^A27,IF(A27='Données projet'!$A$140,'Données projet'!$B$140,CT26+CS27-DB26)))</f>
        <v>102.39999999999998</v>
      </c>
      <c r="CU27" s="17">
        <f>CT27*VLOOKUP('Données projet'!$B$13,Paramètres!$A$1:$I$89,3,0)*VLOOKUP('Données projet'!$B$13,Paramètres!$A$1:$I$89,5,0)</f>
        <v>81.469439999999992</v>
      </c>
      <c r="CV27" s="13">
        <f t="shared" si="41"/>
        <v>22.496088365195678</v>
      </c>
      <c r="CW27" s="20">
        <f t="shared" si="13"/>
        <v>181.07329523604912</v>
      </c>
      <c r="CX27" s="59">
        <f t="shared" si="14"/>
        <v>467.07329523604915</v>
      </c>
      <c r="CY27" s="59">
        <f ca="1">AVERAGE(OFFSET($CX$3,0,0,'Données projet'!$E$13+1,1))-AVERAGE(OFFSET($H$3,0,0,'Données projet'!$E$13+1,1))</f>
        <v>299.10536994156814</v>
      </c>
      <c r="CZ27" s="59">
        <f t="shared" si="42"/>
        <v>292.57799203101769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2.4115837754416383</v>
      </c>
      <c r="DG27" s="21">
        <f>EXP(-LN(2)/25)*DG26+(1-EXP(-LN(2)/25))/(LN(2)/25)*Calculateur!DB27*Calculateur!DD27*VLOOKUP('Données projet'!$B$13,Paramètres!$A$1:$I$89,3,0)*0.475*44/12</f>
        <v>3.955136325756377</v>
      </c>
      <c r="DH27" s="21">
        <f>EXP(-LN(2)/2)*DH26+(1-EXP(-LN(2)/2))/(LN(2)/2)*DB27*DE27*VLOOKUP('Données projet'!$B$13,Paramètres!$A$1:$I$89,3,0)*0.475*44/12</f>
        <v>3.5011540867234823</v>
      </c>
      <c r="DI27" s="22">
        <f t="shared" si="15"/>
        <v>9.8678741879214975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11</v>
      </c>
      <c r="DO27" s="12">
        <f>IF('Données projet'!$A$166&gt;35,DO26+DN27-DW26,IF(A27&lt;'Données projet'!$A$166,$DL$205^A27,IF(A27='Données projet'!$A$166,'Données projet'!$B$166,DO26+DN27-DW26)))</f>
        <v>149</v>
      </c>
      <c r="DP27" s="17">
        <f>DO27*VLOOKUP('Données projet'!$B$14,Paramètres!$A$1:$I$89,3,0)*VLOOKUP('Données projet'!$B$14,Paramètres!$A$1:$I$89,5,0)</f>
        <v>97.624800000000008</v>
      </c>
      <c r="DQ27" s="13">
        <f t="shared" si="43"/>
        <v>26.395349675372152</v>
      </c>
      <c r="DR27" s="20">
        <f t="shared" si="16"/>
        <v>216.00176068460652</v>
      </c>
      <c r="DS27" s="59">
        <f t="shared" si="17"/>
        <v>502.00176068460655</v>
      </c>
      <c r="DT27" s="59">
        <f ca="1">AVERAGE(OFFSET($DS$3,0,0,'Données projet'!$E$14+1,1))-AVERAGE(OFFSET($H$3,0,0,'Données projet'!$E$14+1,1))</f>
        <v>295.92103934364718</v>
      </c>
      <c r="DU27" s="59">
        <f t="shared" si="44"/>
        <v>304.84379909635476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1.5744777387043234</v>
      </c>
      <c r="EC27" s="21">
        <f>EXP(-LN(2)/2)*EC26+(1-EXP(-LN(2)/2))/(LN(2)/2)*DW27*DZ27*VLOOKUP('Données projet'!$B$14,Paramètres!$A$1:$I$89,3,0)*0.475*44/12</f>
        <v>1.1673994755041142</v>
      </c>
      <c r="ED27" s="22">
        <f t="shared" si="18"/>
        <v>2.7418772142084373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>
        <f>VLOOKUP(A27,'Données projet'!$A$191:$I$211,2,0)</f>
        <v>121</v>
      </c>
      <c r="EH27" s="12">
        <f>VLOOKUP(A27,'Données projet'!$A$191:$I$211,9,0)</f>
        <v>11</v>
      </c>
      <c r="EI27" s="12">
        <f t="array" ref="EI27">INDEX(EH:EH,MIN(IF(ISNUMBER(EH27:EH223),ROW(EH27:EH223),"")))</f>
        <v>11</v>
      </c>
      <c r="EJ27" s="12">
        <f>IF('Données projet'!$A$192&gt;35,EJ26+EI27-ER26,IF(A27&lt;'Données projet'!$A$192,$EG$205^A27,IF(A27='Données projet'!$A$192,'Données projet'!$B$192,EJ26+EI27-ER26)))</f>
        <v>121</v>
      </c>
      <c r="EK27" s="17">
        <f>EJ27*VLOOKUP('Données projet'!$B$15,Paramètres!$A$1:$I$89,3,0)*VLOOKUP('Données projet'!$B$15,Paramètres!$A$1:$I$89,5,0)</f>
        <v>72.358000000000004</v>
      </c>
      <c r="EL27" s="13">
        <f t="shared" si="45"/>
        <v>20.257898193815318</v>
      </c>
      <c r="EM27" s="20">
        <f t="shared" si="19"/>
        <v>161.30602268756169</v>
      </c>
      <c r="EN27" s="59">
        <f t="shared" si="20"/>
        <v>447.30602268756172</v>
      </c>
      <c r="EO27" s="59">
        <f ca="1">AVERAGE(OFFSET($EN$3,0,0,'Données projet'!$E$15+1,1))-AVERAGE(OFFSET($H$3,0,0,'Données projet'!$E$15+1,1))</f>
        <v>207.2913533618397</v>
      </c>
      <c r="EP27" s="59">
        <f t="shared" si="46"/>
        <v>230.81096055024483</v>
      </c>
      <c r="EQ27" s="15">
        <f>IF(ISNA(VLOOKUP(A27,'Données projet'!$A$191:$I$211,3,0)),0,VLOOKUP(A27,'Données projet'!$A$191:$I$211,3,0))</f>
        <v>3</v>
      </c>
      <c r="ER27" s="15">
        <f>IF(ISNA(VLOOKUP(A27,'Données projet'!$A$191:$I$211,4,0)),0,VLOOKUP(A27,'Données projet'!$A$191:$I$211,4,0))</f>
        <v>20</v>
      </c>
      <c r="ES27" s="16">
        <f>IF(ISNA(VLOOKUP(A27,'Données projet'!$A$191:$I$211,5,0)),0%,VLOOKUP(A27,'Données projet'!$A$191:$I$211,5,0)*VLOOKUP('Données projet'!$B$15,Paramètres!$A$1:$I$89,7,0))</f>
        <v>0.18000000000000002</v>
      </c>
      <c r="ET27" s="16">
        <f>IF(ISNA(VLOOKUP(A27,'Données projet'!$A$191:$I$211,6,0)),0%,VLOOKUP(A27,'Données projet'!$A$191:$I$211,6,0)*VLOOKUP('Données projet'!$B$15,Paramètres!$A$1:$I$89,7,0))</f>
        <v>0.13500000000000001</v>
      </c>
      <c r="EU27" s="16">
        <f>IF(ISNA(VLOOKUP(A27,'Données projet'!$A$191:$I$211,7,0)),0%,VLOOKUP(A27,'Données projet'!$A$191:$I$211,7,0))</f>
        <v>0.3</v>
      </c>
      <c r="EV27" s="21">
        <f>EXP(-LN(2)/35)*EV26+(1-EXP(-LN(2)/35))/(LN(2)/35)*ER27*ES27*VLOOKUP('Données projet'!$B$15,Paramètres!$A$1:$I$89,3,0)*0.475*44/12</f>
        <v>4.2409496064971544</v>
      </c>
      <c r="EW27" s="21">
        <f>EXP(-LN(2)/25)*EW26+(1-EXP(-LN(2)/25))/(LN(2)/25)*Calculateur!ER27*Calculateur!ET27*VLOOKUP('Données projet'!$B$15,Paramètres!$A$1:$I$89,3,0)*0.475*44/12</f>
        <v>4.3815577649226594</v>
      </c>
      <c r="EX27" s="21">
        <f>EXP(-LN(2)/2)*EX26+(1-EXP(-LN(2)/2))/(LN(2)/2)*ER27*EU27*VLOOKUP('Données projet'!$B$15,Paramètres!$A$1:$I$89,3,0)*0.475*44/12</f>
        <v>4.9087931259259934</v>
      </c>
      <c r="EY27" s="22">
        <f t="shared" si="21"/>
        <v>13.531300497345807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164.49999999999994</v>
      </c>
      <c r="O28" s="13">
        <f>N28*VLOOKUP('Données projet'!$B$9,Paramètres!$A$1:$I$89,3,0)*VLOOKUP('Données projet'!$B$9,Paramètres!$A$1:$I$89,5,0)</f>
        <v>76.985999999999976</v>
      </c>
      <c r="P28" s="13">
        <f t="shared" si="33"/>
        <v>21.398606468170591</v>
      </c>
      <c r="Q28" s="20">
        <f t="shared" si="2"/>
        <v>171.35318959873041</v>
      </c>
      <c r="R28" s="59">
        <f t="shared" si="0"/>
        <v>458.57541182095264</v>
      </c>
      <c r="S28" s="59">
        <f ca="1">AVERAGE(OFFSET($R$3,0,0,'Données projet'!$E$9+1,1))-AVERAGE(OFFSET($H$3,0,0,'Données projet'!$E$9+1,1))</f>
        <v>319.22903094674564</v>
      </c>
      <c r="T28" s="59">
        <f t="shared" si="34"/>
        <v>254.58690973142848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2.4432038563451388</v>
      </c>
      <c r="AA28" s="21">
        <f>EXP(-LN(2)/25)*AA27+(1-EXP(-LN(2)/25))/(LN(2)/25)*Calculateur!V28*Calculateur!X28*VLOOKUP('Données projet'!$B$9,Paramètres!$A$1:$I$89,3,0)*0.475*44/12</f>
        <v>2.3390776164151745</v>
      </c>
      <c r="AB28" s="21">
        <f>EXP(-LN(2)/2)*AB27+(1-EXP(-LN(2)/2))/(LN(2)/2)*V28*Y28*VLOOKUP('Données projet'!$B$9,Paramètres!$A$1:$I$89,3,0)*0.475*44/12</f>
        <v>2.2200090717153387</v>
      </c>
      <c r="AC28" s="22">
        <f t="shared" si="3"/>
        <v>7.0022905444756525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419</v>
      </c>
      <c r="AG28" s="12">
        <f>VLOOKUP(A28,'Données projet'!$A$61:$I$81,9,0)</f>
        <v>31.8</v>
      </c>
      <c r="AH28" s="12">
        <f t="array" ref="AH28">INDEX(AG:AG,MIN(IF(ISNUMBER(AG28:AG224),ROW(AG28:AG224),"")))</f>
        <v>31.8</v>
      </c>
      <c r="AI28" s="13">
        <f>IF('Données projet'!$A$62&gt;35,AI27+AH28-AQ27,IF(A28&lt;'Données projet'!$A$62,$AF$205^A28,IF(A28='Données projet'!$A$62,'Données projet'!$B$62,AI27+AH28-AQ27)))</f>
        <v>419.00000000000006</v>
      </c>
      <c r="AJ28" s="13">
        <f>AI28*VLOOKUP('Données projet'!$B$10,Paramètres!$A$1:$I$89,3,0)*VLOOKUP('Données projet'!$B$10,Paramètres!$A$1:$I$89,5,0)</f>
        <v>234.22100000000003</v>
      </c>
      <c r="AK28" s="13">
        <f t="shared" si="35"/>
        <v>57.194392182630075</v>
      </c>
      <c r="AL28" s="20">
        <f t="shared" si="4"/>
        <v>507.5484747180808</v>
      </c>
      <c r="AM28" s="59">
        <f t="shared" si="5"/>
        <v>794.77069694030297</v>
      </c>
      <c r="AN28" s="59">
        <f ca="1">AVERAGE(OFFSET($AM$3,0,0,'Données projet'!$E$10+1,1))-AVERAGE(OFFSET($H$3,0,0,'Données projet'!$E$10+1,1))</f>
        <v>544.48194192356823</v>
      </c>
      <c r="AO28" s="59">
        <f t="shared" si="36"/>
        <v>668.20427590250733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60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0.33</v>
      </c>
      <c r="AT28" s="16">
        <f>IF(ISNA(VLOOKUP(A28,'Données projet'!$A$61:$I$81,7,0)),0%,VLOOKUP(A28,'Données projet'!$A$61:$I$81,7,0))</f>
        <v>0.4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23.749246006398351</v>
      </c>
      <c r="AW28" s="21">
        <f>EXP(-LN(2)/2)*AW27+(1-EXP(-LN(2)/2))/(LN(2)/2)*AQ28*AT28*VLOOKUP('Données projet'!$B$10,Paramètres!$A$1:$I$89,3,0)*0.475*44/12</f>
        <v>17.114452682518802</v>
      </c>
      <c r="AX28" s="21">
        <f t="shared" si="6"/>
        <v>40.863698688917154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103</v>
      </c>
      <c r="BB28" s="12">
        <f>VLOOKUP(A28,'Données projet'!$A$87:$I$107,9,0)</f>
        <v>7.2</v>
      </c>
      <c r="BC28" s="12">
        <f t="array" ref="BC28">INDEX(BB:BB,MIN(IF(ISNUMBER(BB28:BB224),ROW(BB28:BB224),"")))</f>
        <v>7.2</v>
      </c>
      <c r="BD28" s="12">
        <f>IF('Données projet'!$A$88&gt;35,BD27+BC28-BL27,IF(A28&lt;'Données projet'!$A$88,$BA$205^A28,IF(A28='Données projet'!$A$88,'Données projet'!$B$88,BD27+BC28-BL27)))</f>
        <v>103.00000000000001</v>
      </c>
      <c r="BE28" s="13">
        <f>BD28*VLOOKUP('Données projet'!$B$11,Paramètres!$A$1:$I$89,3,0)*VLOOKUP('Données projet'!$B$11,Paramètres!$A$1:$I$89,5,0)</f>
        <v>93.194400000000002</v>
      </c>
      <c r="BF28" s="13">
        <f t="shared" si="37"/>
        <v>25.33406653691528</v>
      </c>
      <c r="BG28" s="20">
        <f t="shared" si="7"/>
        <v>206.43707921846078</v>
      </c>
      <c r="BH28" s="59">
        <f t="shared" si="8"/>
        <v>493.65930144068301</v>
      </c>
      <c r="BI28" s="59">
        <f ca="1">AVERAGE(OFFSET($BH$3,0,0,'Données projet'!$E$11+1,1))-AVERAGE(OFFSET($H$3,0,0,'Données projet'!$E$11+1,1))</f>
        <v>405.7176439604217</v>
      </c>
      <c r="BJ28" s="59">
        <f t="shared" si="38"/>
        <v>278.21741231699929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0.129</v>
      </c>
      <c r="BN28" s="16">
        <f>IF(ISNA(VLOOKUP(A28,'Données projet'!$A$87:$I$107,6,0)),0%,VLOOKUP(A28,'Données projet'!$A$87:$I$107,6,0)*VLOOKUP('Données projet'!$B$11,Paramètres!$A$1:$I$89,7,0))</f>
        <v>0.17200000000000001</v>
      </c>
      <c r="BO28" s="16">
        <f>IF(ISNA(VLOOKUP(A28,'Données projet'!$A$87:$I$107,7,0)),0%,VLOOKUP(A28,'Données projet'!$A$87:$I$107,7,0))</f>
        <v>0.3</v>
      </c>
      <c r="BP28" s="21">
        <f>EXP(-LN(2)/35)*BP27+(1-EXP(-LN(2)/35))/(LN(2)/35)*BL28*BM28*VLOOKUP('Données projet'!$B$11,Paramètres!$A$1:$I$89,3,0)*0.475*44/12</f>
        <v>4.0802900278614391</v>
      </c>
      <c r="BQ28" s="21">
        <f>EXP(-LN(2)/25)*BQ27+(1-EXP(-LN(2)/25))/(LN(2)/25)*Calculateur!BL28*Calculateur!BN28*VLOOKUP('Données projet'!$B$11,Paramètres!$A$1:$I$89,3,0)*0.475*44/12</f>
        <v>5.2456771038118353</v>
      </c>
      <c r="BR28" s="21">
        <f>EXP(-LN(2)/2)*BR27+(1-EXP(-LN(2)/2))/(LN(2)/2)*BL28*BO28*VLOOKUP('Données projet'!$B$11,Paramètres!$A$1:$I$89,3,0)*0.475*44/12</f>
        <v>7.7143998389363642</v>
      </c>
      <c r="BS28" s="22">
        <f t="shared" si="9"/>
        <v>17.040366970609639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115</v>
      </c>
      <c r="CR28" s="12">
        <f>VLOOKUP(A28,'Données projet'!$A$139:$I$159,9,0)</f>
        <v>12.6</v>
      </c>
      <c r="CS28" s="12">
        <f t="array" ref="CS28">INDEX(CR:CR,MIN(IF(ISNUMBER(CR28:CR224),ROW(CR28:CR224),"")))</f>
        <v>12.6</v>
      </c>
      <c r="CT28" s="12">
        <f>IF('Données projet'!$A$140&gt;35,CT27+CS28-DB27,IF(A28&lt;'Données projet'!$A$140,$CQ$205^A28,IF(A28='Données projet'!$A$140,'Données projet'!$B$140,CT27+CS28-DB27)))</f>
        <v>114.99999999999997</v>
      </c>
      <c r="CU28" s="17">
        <f>CT28*VLOOKUP('Données projet'!$B$13,Paramètres!$A$1:$I$89,3,0)*VLOOKUP('Données projet'!$B$13,Paramètres!$A$1:$I$89,5,0)</f>
        <v>91.493999999999986</v>
      </c>
      <c r="CV28" s="13">
        <f t="shared" si="41"/>
        <v>24.925195840896517</v>
      </c>
      <c r="CW28" s="20">
        <f t="shared" si="13"/>
        <v>202.76343275622807</v>
      </c>
      <c r="CX28" s="59">
        <f t="shared" si="14"/>
        <v>489.98565497845027</v>
      </c>
      <c r="CY28" s="59">
        <f ca="1">AVERAGE(OFFSET($CX$3,0,0,'Données projet'!$E$13+1,1))-AVERAGE(OFFSET($H$3,0,0,'Données projet'!$E$13+1,1))</f>
        <v>299.10536994156814</v>
      </c>
      <c r="CZ28" s="59">
        <f t="shared" si="42"/>
        <v>292.57799203101769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0.10600000000000001</v>
      </c>
      <c r="DD28" s="16">
        <f>IF(ISNA(VLOOKUP(A28,'Données projet'!$A$139:$I$159,6,0)),0%,VLOOKUP(A28,'Données projet'!$A$139:$I$159,6,0)*VLOOKUP('Données projet'!$B$13,Paramètres!$A$1:$I$89,7,0))</f>
        <v>0.10600000000000001</v>
      </c>
      <c r="DE28" s="16">
        <f>IF(ISNA(VLOOKUP(A28,'Données projet'!$A$139:$I$159,7,0)),0%,VLOOKUP(A28,'Données projet'!$A$139:$I$159,7,0))</f>
        <v>0.6</v>
      </c>
      <c r="DF28" s="21">
        <f>EXP(-LN(2)/35)*DF27+(1-EXP(-LN(2)/35))/(LN(2)/35)*DB28*DC28*VLOOKUP('Données projet'!$B$13,Paramètres!$A$1:$I$89,3,0)*0.475*44/12</f>
        <v>4.9746863989087293</v>
      </c>
      <c r="DG28" s="21">
        <f>EXP(-LN(2)/25)*DG27+(1-EXP(-LN(2)/25))/(LN(2)/25)*Calculateur!DB28*Calculateur!DD28*VLOOKUP('Données projet'!$B$13,Paramètres!$A$1:$I$89,3,0)*0.475*44/12</f>
        <v>6.4470971161562041</v>
      </c>
      <c r="DH28" s="21">
        <f>EXP(-LN(2)/2)*DH27+(1-EXP(-LN(2)/2))/(LN(2)/2)*DB28*DE28*VLOOKUP('Données projet'!$B$13,Paramètres!$A$1:$I$89,3,0)*0.475*44/12</f>
        <v>15.086946019469957</v>
      </c>
      <c r="DI28" s="22">
        <f t="shared" si="15"/>
        <v>26.508729534534893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160</v>
      </c>
      <c r="DM28" s="12">
        <f>VLOOKUP(A28,'Données projet'!$A$165:$I$185,9,0)</f>
        <v>11</v>
      </c>
      <c r="DN28" s="12">
        <f t="array" ref="DN28">INDEX(DM:DM,MIN(IF(ISNUMBER(DM28:DM224),ROW(DM28:DM224),"")))</f>
        <v>11</v>
      </c>
      <c r="DO28" s="12">
        <f>IF('Données projet'!$A$166&gt;35,DO27+DN28-DW27,IF(A28&lt;'Données projet'!$A$166,$DL$205^A28,IF(A28='Données projet'!$A$166,'Données projet'!$B$166,DO27+DN28-DW27)))</f>
        <v>160</v>
      </c>
      <c r="DP28" s="17">
        <f>DO28*VLOOKUP('Données projet'!$B$14,Paramètres!$A$1:$I$89,3,0)*VLOOKUP('Données projet'!$B$14,Paramètres!$A$1:$I$89,5,0)</f>
        <v>104.83200000000001</v>
      </c>
      <c r="DQ28" s="13">
        <f t="shared" si="43"/>
        <v>28.109974371137717</v>
      </c>
      <c r="DR28" s="20">
        <f t="shared" si="16"/>
        <v>231.54060536306486</v>
      </c>
      <c r="DS28" s="59">
        <f t="shared" si="17"/>
        <v>518.76282758528714</v>
      </c>
      <c r="DT28" s="59">
        <f ca="1">AVERAGE(OFFSET($DS$3,0,0,'Données projet'!$E$14+1,1))-AVERAGE(OFFSET($H$3,0,0,'Données projet'!$E$14+1,1))</f>
        <v>295.92103934364718</v>
      </c>
      <c r="DU28" s="59">
        <f t="shared" si="44"/>
        <v>304.84379909635476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24</v>
      </c>
      <c r="DX28" s="16">
        <f>IF(ISNA(VLOOKUP(A28,'Données projet'!$A$165:$I$185,5,0)),0%,VLOOKUP(A28,'Données projet'!$A$165:$I$185,5,0)*VLOOKUP('Données projet'!$B$14,Paramètres!$A$1:$I$89,7,0))</f>
        <v>0.129</v>
      </c>
      <c r="DY28" s="16">
        <f>IF(ISNA(VLOOKUP(A28,'Données projet'!$A$165:$I$185,6,0)),0%,VLOOKUP(A28,'Données projet'!$A$165:$I$185,6,0)*VLOOKUP('Données projet'!$B$14,Paramètres!$A$1:$I$89,7,0))</f>
        <v>0.17200000000000001</v>
      </c>
      <c r="DZ28" s="16">
        <f>IF(ISNA(VLOOKUP(A28,'Données projet'!$A$165:$I$185,7,0)),0%,VLOOKUP(A28,'Données projet'!$A$165:$I$185,7,0))</f>
        <v>0.3</v>
      </c>
      <c r="EA28" s="21">
        <f>EXP(-LN(2)/35)*EA27+(1-EXP(-LN(2)/35))/(LN(2)/35)*DW28*DX28*VLOOKUP('Données projet'!$B$14,Paramètres!$A$1:$I$89,3,0)*0.475*44/12</f>
        <v>2.2424457805062858</v>
      </c>
      <c r="EB28" s="21">
        <f>EXP(-LN(2)/25)*EB27+(1-EXP(-LN(2)/25))/(LN(2)/25)*Calculateur!DW28*Calculateur!DY28*VLOOKUP('Données projet'!$B$14,Paramètres!$A$1:$I$89,3,0)*0.475*44/12</f>
        <v>4.509578784847406</v>
      </c>
      <c r="EC28" s="21">
        <f>EXP(-LN(2)/2)*EC27+(1-EXP(-LN(2)/2))/(LN(2)/2)*DW28*DZ28*VLOOKUP('Données projet'!$B$14,Paramètres!$A$1:$I$89,3,0)*0.475*44/12</f>
        <v>5.2765076935186208</v>
      </c>
      <c r="ED28" s="22">
        <f t="shared" si="18"/>
        <v>12.028532258872312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11.25</v>
      </c>
      <c r="EJ28" s="12">
        <f>IF('Données projet'!$A$192&gt;35,EJ27+EI28-ER27,IF(A28&lt;'Données projet'!$A$192,$EG$205^A28,IF(A28='Données projet'!$A$192,'Données projet'!$B$192,EJ27+EI28-ER27)))</f>
        <v>112.25</v>
      </c>
      <c r="EK28" s="17">
        <f>EJ28*VLOOKUP('Données projet'!$B$15,Paramètres!$A$1:$I$89,3,0)*VLOOKUP('Données projet'!$B$15,Paramètres!$A$1:$I$89,5,0)</f>
        <v>67.125500000000002</v>
      </c>
      <c r="EL28" s="13">
        <f t="shared" si="45"/>
        <v>18.957885224346715</v>
      </c>
      <c r="EM28" s="20">
        <f t="shared" si="19"/>
        <v>149.92856259907052</v>
      </c>
      <c r="EN28" s="59">
        <f t="shared" si="20"/>
        <v>437.15078482129275</v>
      </c>
      <c r="EO28" s="59">
        <f ca="1">AVERAGE(OFFSET($EN$3,0,0,'Données projet'!$E$15+1,1))-AVERAGE(OFFSET($H$3,0,0,'Données projet'!$E$15+1,1))</f>
        <v>207.2913533618397</v>
      </c>
      <c r="EP28" s="59">
        <f t="shared" si="46"/>
        <v>230.81096055024483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4.1577871714375876</v>
      </c>
      <c r="EW28" s="21">
        <f>EXP(-LN(2)/25)*EW27+(1-EXP(-LN(2)/25))/(LN(2)/25)*Calculateur!ER28*Calculateur!ET28*VLOOKUP('Données projet'!$B$15,Paramètres!$A$1:$I$89,3,0)*0.475*44/12</f>
        <v>4.2617438374247403</v>
      </c>
      <c r="EX28" s="21">
        <f>EXP(-LN(2)/2)*EX27+(1-EXP(-LN(2)/2))/(LN(2)/2)*ER28*EU28*VLOOKUP('Données projet'!$B$15,Paramètres!$A$1:$I$89,3,0)*0.475*44/12</f>
        <v>3.4710409067841801</v>
      </c>
      <c r="EY28" s="22">
        <f t="shared" si="21"/>
        <v>11.890571915646509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173.69999999999993</v>
      </c>
      <c r="O29" s="13">
        <f>N29*VLOOKUP('Données projet'!$B$9,Paramètres!$A$1:$I$89,3,0)*VLOOKUP('Données projet'!$B$9,Paramètres!$A$1:$I$89,5,0)</f>
        <v>81.291599999999974</v>
      </c>
      <c r="P29" s="13">
        <f t="shared" si="33"/>
        <v>22.452692070336486</v>
      </c>
      <c r="Q29" s="20">
        <f t="shared" si="2"/>
        <v>180.68797535583599</v>
      </c>
      <c r="R29" s="59">
        <f t="shared" si="0"/>
        <v>469.13241980028045</v>
      </c>
      <c r="S29" s="59">
        <f ca="1">AVERAGE(OFFSET($R$3,0,0,'Données projet'!$E$9+1,1))-AVERAGE(OFFSET($H$3,0,0,'Données projet'!$E$9+1,1))</f>
        <v>319.22903094674564</v>
      </c>
      <c r="T29" s="59">
        <f t="shared" si="34"/>
        <v>254.58690973142848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2.3952941189294172</v>
      </c>
      <c r="AA29" s="21">
        <f>EXP(-LN(2)/25)*AA28+(1-EXP(-LN(2)/25))/(LN(2)/25)*Calculateur!V29*Calculateur!X29*VLOOKUP('Données projet'!$B$9,Paramètres!$A$1:$I$89,3,0)*0.475*44/12</f>
        <v>2.275115415987556</v>
      </c>
      <c r="AB29" s="21">
        <f>EXP(-LN(2)/2)*AB28+(1-EXP(-LN(2)/2))/(LN(2)/2)*V29*Y29*VLOOKUP('Données projet'!$B$9,Paramètres!$A$1:$I$89,3,0)*0.475*44/12</f>
        <v>1.5697834689055685</v>
      </c>
      <c r="AC29" s="22">
        <f t="shared" si="3"/>
        <v>6.2401930038225419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33</v>
      </c>
      <c r="AI29" s="13">
        <f>IF('Données projet'!$A$62&gt;35,AI28+AH29-AQ28,IF(A29&lt;'Données projet'!$A$62,$AF$205^A29,IF(A29='Données projet'!$A$62,'Données projet'!$B$62,AI28+AH29-AQ28)))</f>
        <v>392.00000000000006</v>
      </c>
      <c r="AJ29" s="13">
        <f>AI29*VLOOKUP('Données projet'!$B$10,Paramètres!$A$1:$I$89,3,0)*VLOOKUP('Données projet'!$B$10,Paramètres!$A$1:$I$89,5,0)</f>
        <v>219.12800000000004</v>
      </c>
      <c r="AK29" s="13">
        <f t="shared" si="35"/>
        <v>53.925317044064428</v>
      </c>
      <c r="AL29" s="20">
        <f t="shared" si="4"/>
        <v>475.56786051841215</v>
      </c>
      <c r="AM29" s="59">
        <f t="shared" si="5"/>
        <v>764.01230496285666</v>
      </c>
      <c r="AN29" s="59">
        <f ca="1">AVERAGE(OFFSET($AM$3,0,0,'Données projet'!$E$10+1,1))-AVERAGE(OFFSET($H$3,0,0,'Données projet'!$E$10+1,1))</f>
        <v>544.48194192356823</v>
      </c>
      <c r="AO29" s="59">
        <f t="shared" si="36"/>
        <v>668.20427590250733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23.099821625434821</v>
      </c>
      <c r="AW29" s="21">
        <f>EXP(-LN(2)/2)*AW28+(1-EXP(-LN(2)/2))/(LN(2)/2)*AQ29*AT29*VLOOKUP('Données projet'!$B$10,Paramètres!$A$1:$I$89,3,0)*0.475*44/12</f>
        <v>12.101745548105345</v>
      </c>
      <c r="AX29" s="21">
        <f t="shared" si="6"/>
        <v>35.20156717354017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84.200000000000017</v>
      </c>
      <c r="BE29" s="13">
        <f>BD29*VLOOKUP('Données projet'!$B$11,Paramètres!$A$1:$I$89,3,0)*VLOOKUP('Données projet'!$B$11,Paramètres!$A$1:$I$89,5,0)</f>
        <v>76.184160000000006</v>
      </c>
      <c r="BF29" s="13">
        <f t="shared" si="37"/>
        <v>21.201554232857223</v>
      </c>
      <c r="BG29" s="20">
        <f t="shared" si="7"/>
        <v>169.613452288893</v>
      </c>
      <c r="BH29" s="59">
        <f t="shared" si="8"/>
        <v>458.05789673333743</v>
      </c>
      <c r="BI29" s="59">
        <f ca="1">AVERAGE(OFFSET($BH$3,0,0,'Données projet'!$E$11+1,1))-AVERAGE(OFFSET($H$3,0,0,'Données projet'!$E$11+1,1))</f>
        <v>405.7176439604217</v>
      </c>
      <c r="BJ29" s="59">
        <f t="shared" si="38"/>
        <v>278.21741231699929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4.0002780291462514</v>
      </c>
      <c r="BQ29" s="21">
        <f>EXP(-LN(2)/25)*BQ28+(1-EXP(-LN(2)/25))/(LN(2)/25)*Calculateur!BL29*Calculateur!BN29*VLOOKUP('Données projet'!$B$11,Paramètres!$A$1:$I$89,3,0)*0.475*44/12</f>
        <v>5.1022337875499311</v>
      </c>
      <c r="BR29" s="21">
        <f>EXP(-LN(2)/2)*BR28+(1-EXP(-LN(2)/2))/(LN(2)/2)*BL29*BO29*VLOOKUP('Données projet'!$B$11,Paramètres!$A$1:$I$89,3,0)*0.475*44/12</f>
        <v>5.4549044388963139</v>
      </c>
      <c r="BS29" s="22">
        <f t="shared" si="9"/>
        <v>14.557416255592496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11.8</v>
      </c>
      <c r="CT29" s="12">
        <f>IF('Données projet'!$A$140&gt;35,CT28+CS29-DB28,IF(A29&lt;'Données projet'!$A$140,$CQ$205^A29,IF(A29='Données projet'!$A$140,'Données projet'!$B$140,CT28+CS29-DB28)))</f>
        <v>98.799999999999969</v>
      </c>
      <c r="CU29" s="17">
        <f>CT29*VLOOKUP('Données projet'!$B$13,Paramètres!$A$1:$I$89,3,0)*VLOOKUP('Données projet'!$B$13,Paramètres!$A$1:$I$89,5,0)</f>
        <v>78.605279999999979</v>
      </c>
      <c r="CV29" s="13">
        <f t="shared" si="41"/>
        <v>21.795819556945734</v>
      </c>
      <c r="CW29" s="20">
        <f t="shared" si="13"/>
        <v>174.86524839501377</v>
      </c>
      <c r="CX29" s="59">
        <f t="shared" si="14"/>
        <v>463.30969283945819</v>
      </c>
      <c r="CY29" s="59">
        <f ca="1">AVERAGE(OFFSET($CX$3,0,0,'Données projet'!$E$13+1,1))-AVERAGE(OFFSET($H$3,0,0,'Données projet'!$E$13+1,1))</f>
        <v>299.10536994156814</v>
      </c>
      <c r="CZ29" s="59">
        <f t="shared" si="42"/>
        <v>292.57799203101769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4.8771358328852239</v>
      </c>
      <c r="DG29" s="21">
        <f>EXP(-LN(2)/25)*DG28+(1-EXP(-LN(2)/25))/(LN(2)/25)*Calculateur!DB29*Calculateur!DD29*VLOOKUP('Données projet'!$B$13,Paramètres!$A$1:$I$89,3,0)*0.475*44/12</f>
        <v>6.2708009064768104</v>
      </c>
      <c r="DH29" s="21">
        <f>EXP(-LN(2)/2)*DH28+(1-EXP(-LN(2)/2))/(LN(2)/2)*DB29*DE29*VLOOKUP('Données projet'!$B$13,Paramètres!$A$1:$I$89,3,0)*0.475*44/12</f>
        <v>10.668081837762598</v>
      </c>
      <c r="DI29" s="22">
        <f t="shared" si="15"/>
        <v>21.81601857712463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10</v>
      </c>
      <c r="DO29" s="12">
        <f>IF('Données projet'!$A$166&gt;35,DO28+DN29-DW28,IF(A29&lt;'Données projet'!$A$166,$DL$205^A29,IF(A29='Données projet'!$A$166,'Données projet'!$B$166,DO28+DN29-DW28)))</f>
        <v>146</v>
      </c>
      <c r="DP29" s="17">
        <f>DO29*VLOOKUP('Données projet'!$B$14,Paramètres!$A$1:$I$89,3,0)*VLOOKUP('Données projet'!$B$14,Paramètres!$A$1:$I$89,5,0)</f>
        <v>95.659199999999998</v>
      </c>
      <c r="DQ29" s="13">
        <f t="shared" si="43"/>
        <v>25.92520602338745</v>
      </c>
      <c r="DR29" s="20">
        <f t="shared" si="16"/>
        <v>211.75950715739978</v>
      </c>
      <c r="DS29" s="59">
        <f t="shared" si="17"/>
        <v>500.20395160184421</v>
      </c>
      <c r="DT29" s="59">
        <f ca="1">AVERAGE(OFFSET($DS$3,0,0,'Données projet'!$E$14+1,1))-AVERAGE(OFFSET($H$3,0,0,'Données projet'!$E$14+1,1))</f>
        <v>295.92103934364718</v>
      </c>
      <c r="DU29" s="59">
        <f t="shared" si="44"/>
        <v>304.84379909635476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2.1984727865074287</v>
      </c>
      <c r="EB29" s="21">
        <f>EXP(-LN(2)/25)*EB28+(1-EXP(-LN(2)/25))/(LN(2)/25)*Calculateur!DW29*Calculateur!DY29*VLOOKUP('Données projet'!$B$14,Paramètres!$A$1:$I$89,3,0)*0.475*44/12</f>
        <v>4.3862641158273119</v>
      </c>
      <c r="EC29" s="21">
        <f>EXP(-LN(2)/2)*EC28+(1-EXP(-LN(2)/2))/(LN(2)/2)*DW29*DZ29*VLOOKUP('Données projet'!$B$14,Paramètres!$A$1:$I$89,3,0)*0.475*44/12</f>
        <v>3.7310543710700061</v>
      </c>
      <c r="ED29" s="22">
        <f t="shared" si="18"/>
        <v>10.315791273404747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11.25</v>
      </c>
      <c r="EJ29" s="12">
        <f>IF('Données projet'!$A$192&gt;35,EJ28+EI29-ER28,IF(A29&lt;'Données projet'!$A$192,$EG$205^A29,IF(A29='Données projet'!$A$192,'Données projet'!$B$192,EJ28+EI29-ER28)))</f>
        <v>123.5</v>
      </c>
      <c r="EK29" s="17">
        <f>EJ29*VLOOKUP('Données projet'!$B$15,Paramètres!$A$1:$I$89,3,0)*VLOOKUP('Données projet'!$B$15,Paramètres!$A$1:$I$89,5,0)</f>
        <v>73.853000000000009</v>
      </c>
      <c r="EL29" s="13">
        <f t="shared" si="45"/>
        <v>20.627289068131414</v>
      </c>
      <c r="EM29" s="20">
        <f t="shared" si="19"/>
        <v>164.55317012699555</v>
      </c>
      <c r="EN29" s="59">
        <f t="shared" si="20"/>
        <v>452.99761457144001</v>
      </c>
      <c r="EO29" s="59">
        <f ca="1">AVERAGE(OFFSET($EN$3,0,0,'Données projet'!$E$15+1,1))-AVERAGE(OFFSET($H$3,0,0,'Données projet'!$E$15+1,1))</f>
        <v>207.2913533618397</v>
      </c>
      <c r="EP29" s="59">
        <f t="shared" si="46"/>
        <v>230.81096055024483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4.0762555010054617</v>
      </c>
      <c r="EW29" s="21">
        <f>EXP(-LN(2)/25)*EW28+(1-EXP(-LN(2)/25))/(LN(2)/25)*Calculateur!ER29*Calculateur!ET29*VLOOKUP('Données projet'!$B$15,Paramètres!$A$1:$I$89,3,0)*0.475*44/12</f>
        <v>4.1452062280749926</v>
      </c>
      <c r="EX29" s="21">
        <f>EXP(-LN(2)/2)*EX28+(1-EXP(-LN(2)/2))/(LN(2)/2)*ER29*EU29*VLOOKUP('Données projet'!$B$15,Paramètres!$A$1:$I$89,3,0)*0.475*44/12</f>
        <v>2.4543965629629967</v>
      </c>
      <c r="EY29" s="22">
        <f t="shared" si="21"/>
        <v>10.675858292043451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182.89999999999992</v>
      </c>
      <c r="O30" s="13">
        <f>N30*VLOOKUP('Données projet'!$B$9,Paramètres!$A$1:$I$89,3,0)*VLOOKUP('Données projet'!$B$9,Paramètres!$A$1:$I$89,5,0)</f>
        <v>85.597199999999958</v>
      </c>
      <c r="P30" s="13">
        <f t="shared" si="33"/>
        <v>23.500295908287228</v>
      </c>
      <c r="Q30" s="20">
        <f t="shared" si="2"/>
        <v>190.01147204026685</v>
      </c>
      <c r="R30" s="59">
        <f t="shared" si="0"/>
        <v>479.67813870693351</v>
      </c>
      <c r="S30" s="59">
        <f ca="1">AVERAGE(OFFSET($R$3,0,0,'Données projet'!$E$9+1,1))-AVERAGE(OFFSET($H$3,0,0,'Données projet'!$E$9+1,1))</f>
        <v>319.22903094674564</v>
      </c>
      <c r="T30" s="59">
        <f t="shared" si="34"/>
        <v>254.58690973142848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2.3483238622423634</v>
      </c>
      <c r="AA30" s="21">
        <f>EXP(-LN(2)/25)*AA29+(1-EXP(-LN(2)/25))/(LN(2)/25)*Calculateur!V30*Calculateur!X30*VLOOKUP('Données projet'!$B$9,Paramètres!$A$1:$I$89,3,0)*0.475*44/12</f>
        <v>2.2129022652942565</v>
      </c>
      <c r="AB30" s="21">
        <f>EXP(-LN(2)/2)*AB29+(1-EXP(-LN(2)/2))/(LN(2)/2)*V30*Y30*VLOOKUP('Données projet'!$B$9,Paramètres!$A$1:$I$89,3,0)*0.475*44/12</f>
        <v>1.1100045358576693</v>
      </c>
      <c r="AC30" s="22">
        <f t="shared" si="3"/>
        <v>5.6712306633942893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33</v>
      </c>
      <c r="AI30" s="13">
        <f>IF('Données projet'!$A$62&gt;35,AI29+AH30-AQ29,IF(A30&lt;'Données projet'!$A$62,$AF$205^A30,IF(A30='Données projet'!$A$62,'Données projet'!$B$62,AI29+AH30-AQ29)))</f>
        <v>425.00000000000006</v>
      </c>
      <c r="AJ30" s="13">
        <f>AI30*VLOOKUP('Données projet'!$B$10,Paramètres!$A$1:$I$89,3,0)*VLOOKUP('Données projet'!$B$10,Paramètres!$A$1:$I$89,5,0)</f>
        <v>237.57500000000005</v>
      </c>
      <c r="AK30" s="13">
        <f t="shared" si="35"/>
        <v>57.917471937261212</v>
      </c>
      <c r="AL30" s="20">
        <f t="shared" si="4"/>
        <v>514.64938862406336</v>
      </c>
      <c r="AM30" s="59">
        <f t="shared" si="5"/>
        <v>804.31605529072999</v>
      </c>
      <c r="AN30" s="59">
        <f ca="1">AVERAGE(OFFSET($AM$3,0,0,'Données projet'!$E$10+1,1))-AVERAGE(OFFSET($H$3,0,0,'Données projet'!$E$10+1,1))</f>
        <v>544.48194192356823</v>
      </c>
      <c r="AO30" s="59">
        <f t="shared" si="36"/>
        <v>668.20427590250733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22.46815578832048</v>
      </c>
      <c r="AW30" s="21">
        <f>EXP(-LN(2)/2)*AW29+(1-EXP(-LN(2)/2))/(LN(2)/2)*AQ30*AT30*VLOOKUP('Données projet'!$B$10,Paramètres!$A$1:$I$89,3,0)*0.475*44/12</f>
        <v>8.557226341259403</v>
      </c>
      <c r="AX30" s="21">
        <f t="shared" si="6"/>
        <v>31.025382129579882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93.40000000000002</v>
      </c>
      <c r="BE30" s="13">
        <f>BD30*VLOOKUP('Données projet'!$B$11,Paramètres!$A$1:$I$89,3,0)*VLOOKUP('Données projet'!$B$11,Paramètres!$A$1:$I$89,5,0)</f>
        <v>84.508320000000026</v>
      </c>
      <c r="BF30" s="13">
        <f t="shared" si="37"/>
        <v>23.235950088324714</v>
      </c>
      <c r="BG30" s="20">
        <f t="shared" si="7"/>
        <v>187.65460373716556</v>
      </c>
      <c r="BH30" s="59">
        <f t="shared" si="8"/>
        <v>477.32127040383227</v>
      </c>
      <c r="BI30" s="59">
        <f ca="1">AVERAGE(OFFSET($BH$3,0,0,'Données projet'!$E$11+1,1))-AVERAGE(OFFSET($H$3,0,0,'Données projet'!$E$11+1,1))</f>
        <v>405.7176439604217</v>
      </c>
      <c r="BJ30" s="59">
        <f t="shared" si="38"/>
        <v>278.21741231699929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3.9218350169233682</v>
      </c>
      <c r="BQ30" s="21">
        <f>EXP(-LN(2)/25)*BQ29+(1-EXP(-LN(2)/25))/(LN(2)/25)*Calculateur!BL30*Calculateur!BN30*VLOOKUP('Données projet'!$B$11,Paramètres!$A$1:$I$89,3,0)*0.475*44/12</f>
        <v>4.9627129363145643</v>
      </c>
      <c r="BR30" s="21">
        <f>EXP(-LN(2)/2)*BR29+(1-EXP(-LN(2)/2))/(LN(2)/2)*BL30*BO30*VLOOKUP('Données projet'!$B$11,Paramètres!$A$1:$I$89,3,0)*0.475*44/12</f>
        <v>3.857199919468183</v>
      </c>
      <c r="BS30" s="22">
        <f t="shared" si="9"/>
        <v>12.741747872706116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11.8</v>
      </c>
      <c r="CT30" s="12">
        <f>IF('Données projet'!$A$140&gt;35,CT29+CS30-DB29,IF(A30&lt;'Données projet'!$A$140,$CQ$205^A30,IF(A30='Données projet'!$A$140,'Données projet'!$B$140,CT29+CS30-DB29)))</f>
        <v>110.59999999999997</v>
      </c>
      <c r="CU30" s="17">
        <f>CT30*VLOOKUP('Données projet'!$B$13,Paramètres!$A$1:$I$89,3,0)*VLOOKUP('Données projet'!$B$13,Paramètres!$A$1:$I$89,5,0)</f>
        <v>87.993359999999981</v>
      </c>
      <c r="CV30" s="13">
        <f t="shared" si="41"/>
        <v>24.080638481970816</v>
      </c>
      <c r="CW30" s="20">
        <f t="shared" si="13"/>
        <v>195.19554735609913</v>
      </c>
      <c r="CX30" s="59">
        <f t="shared" si="14"/>
        <v>484.86221402276578</v>
      </c>
      <c r="CY30" s="59">
        <f ca="1">AVERAGE(OFFSET($CX$3,0,0,'Données projet'!$E$13+1,1))-AVERAGE(OFFSET($H$3,0,0,'Données projet'!$E$13+1,1))</f>
        <v>299.10536994156814</v>
      </c>
      <c r="CZ30" s="59">
        <f t="shared" si="42"/>
        <v>292.57799203101769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4.7814981739614693</v>
      </c>
      <c r="DG30" s="21">
        <f>EXP(-LN(2)/25)*DG29+(1-EXP(-LN(2)/25))/(LN(2)/25)*Calculateur!DB30*Calculateur!DD30*VLOOKUP('Données projet'!$B$13,Paramètres!$A$1:$I$89,3,0)*0.475*44/12</f>
        <v>6.0993255259221142</v>
      </c>
      <c r="DH30" s="21">
        <f>EXP(-LN(2)/2)*DH29+(1-EXP(-LN(2)/2))/(LN(2)/2)*DB30*DE30*VLOOKUP('Données projet'!$B$13,Paramètres!$A$1:$I$89,3,0)*0.475*44/12</f>
        <v>7.5434730097349796</v>
      </c>
      <c r="DI30" s="22">
        <f t="shared" si="15"/>
        <v>18.424296709618563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10</v>
      </c>
      <c r="DO30" s="12">
        <f>IF('Données projet'!$A$166&gt;35,DO29+DN30-DW29,IF(A30&lt;'Données projet'!$A$166,$DL$205^A30,IF(A30='Données projet'!$A$166,'Données projet'!$B$166,DO29+DN30-DW29)))</f>
        <v>156</v>
      </c>
      <c r="DP30" s="17">
        <f>DO30*VLOOKUP('Données projet'!$B$14,Paramètres!$A$1:$I$89,3,0)*VLOOKUP('Données projet'!$B$14,Paramètres!$A$1:$I$89,5,0)</f>
        <v>102.21119999999999</v>
      </c>
      <c r="DQ30" s="13">
        <f t="shared" si="43"/>
        <v>27.488113037666018</v>
      </c>
      <c r="DR30" s="20">
        <f t="shared" si="16"/>
        <v>225.89297020726829</v>
      </c>
      <c r="DS30" s="59">
        <f t="shared" si="17"/>
        <v>515.55963687393501</v>
      </c>
      <c r="DT30" s="59">
        <f ca="1">AVERAGE(OFFSET($DS$3,0,0,'Données projet'!$E$14+1,1))-AVERAGE(OFFSET($H$3,0,0,'Données projet'!$E$14+1,1))</f>
        <v>295.92103934364718</v>
      </c>
      <c r="DU30" s="59">
        <f t="shared" si="44"/>
        <v>304.84379909635476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2.1553620761000114</v>
      </c>
      <c r="EB30" s="21">
        <f>EXP(-LN(2)/25)*EB29+(1-EXP(-LN(2)/25))/(LN(2)/25)*Calculateur!DW30*Calculateur!DY30*VLOOKUP('Données projet'!$B$14,Paramètres!$A$1:$I$89,3,0)*0.475*44/12</f>
        <v>4.2663214929164095</v>
      </c>
      <c r="EC30" s="21">
        <f>EXP(-LN(2)/2)*EC29+(1-EXP(-LN(2)/2))/(LN(2)/2)*DW30*DZ30*VLOOKUP('Données projet'!$B$14,Paramètres!$A$1:$I$89,3,0)*0.475*44/12</f>
        <v>2.6382538467593108</v>
      </c>
      <c r="ED30" s="22">
        <f t="shared" si="18"/>
        <v>9.0599374157757318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11.25</v>
      </c>
      <c r="EJ30" s="12">
        <f>IF('Données projet'!$A$192&gt;35,EJ29+EI30-ER29,IF(A30&lt;'Données projet'!$A$192,$EG$205^A30,IF(A30='Données projet'!$A$192,'Données projet'!$B$192,EJ29+EI30-ER29)))</f>
        <v>134.75</v>
      </c>
      <c r="EK30" s="17">
        <f>EJ30*VLOOKUP('Données projet'!$B$15,Paramètres!$A$1:$I$89,3,0)*VLOOKUP('Données projet'!$B$15,Paramètres!$A$1:$I$89,5,0)</f>
        <v>80.580500000000001</v>
      </c>
      <c r="EL30" s="13">
        <f t="shared" si="45"/>
        <v>22.279059616532283</v>
      </c>
      <c r="EM30" s="20">
        <f t="shared" si="19"/>
        <v>179.14706633212708</v>
      </c>
      <c r="EN30" s="59">
        <f t="shared" si="20"/>
        <v>468.81373299879374</v>
      </c>
      <c r="EO30" s="59">
        <f ca="1">AVERAGE(OFFSET($EN$3,0,0,'Données projet'!$E$15+1,1))-AVERAGE(OFFSET($H$3,0,0,'Données projet'!$E$15+1,1))</f>
        <v>207.2913533618397</v>
      </c>
      <c r="EP30" s="59">
        <f t="shared" si="46"/>
        <v>230.81096055024483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3.9963226169011015</v>
      </c>
      <c r="EW30" s="21">
        <f>EXP(-LN(2)/25)*EW29+(1-EXP(-LN(2)/25))/(LN(2)/25)*Calculateur!ER30*Calculateur!ET30*VLOOKUP('Données projet'!$B$15,Paramètres!$A$1:$I$89,3,0)*0.475*44/12</f>
        <v>4.0318553457813602</v>
      </c>
      <c r="EX30" s="21">
        <f>EXP(-LN(2)/2)*EX29+(1-EXP(-LN(2)/2))/(LN(2)/2)*ER30*EU30*VLOOKUP('Données projet'!$B$15,Paramètres!$A$1:$I$89,3,0)*0.475*44/12</f>
        <v>1.73552045339209</v>
      </c>
      <c r="EY30" s="22">
        <f t="shared" si="21"/>
        <v>9.7636984160745506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192.09999999999991</v>
      </c>
      <c r="O31" s="13">
        <f>N31*VLOOKUP('Données projet'!$B$9,Paramètres!$A$1:$I$89,3,0)*VLOOKUP('Données projet'!$B$9,Paramètres!$A$1:$I$89,5,0)</f>
        <v>89.902799999999957</v>
      </c>
      <c r="P31" s="13">
        <f t="shared" si="33"/>
        <v>24.541781220398729</v>
      </c>
      <c r="Q31" s="20">
        <f t="shared" si="2"/>
        <v>199.32431229219435</v>
      </c>
      <c r="R31" s="59">
        <f t="shared" si="0"/>
        <v>490.21320118108321</v>
      </c>
      <c r="S31" s="59">
        <f ca="1">AVERAGE(OFFSET($R$3,0,0,'Données projet'!$E$9+1,1))-AVERAGE(OFFSET($H$3,0,0,'Données projet'!$E$9+1,1))</f>
        <v>319.22903094674564</v>
      </c>
      <c r="T31" s="59">
        <f t="shared" si="34"/>
        <v>254.58690973142848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2.3022746636399152</v>
      </c>
      <c r="AA31" s="21">
        <f>EXP(-LN(2)/25)*AA30+(1-EXP(-LN(2)/25))/(LN(2)/25)*Calculateur!V31*Calculateur!X31*VLOOKUP('Données projet'!$B$9,Paramètres!$A$1:$I$89,3,0)*0.475*44/12</f>
        <v>2.1523903364783123</v>
      </c>
      <c r="AB31" s="21">
        <f>EXP(-LN(2)/2)*AB30+(1-EXP(-LN(2)/2))/(LN(2)/2)*V31*Y31*VLOOKUP('Données projet'!$B$9,Paramètres!$A$1:$I$89,3,0)*0.475*44/12</f>
        <v>0.78489173445278426</v>
      </c>
      <c r="AC31" s="22">
        <f t="shared" si="3"/>
        <v>5.2395567345710115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33</v>
      </c>
      <c r="AI31" s="13">
        <f>IF('Données projet'!$A$62&gt;35,AI30+AH31-AQ30,IF(A31&lt;'Données projet'!$A$62,$AF$205^A31,IF(A31='Données projet'!$A$62,'Données projet'!$B$62,AI30+AH31-AQ30)))</f>
        <v>458.00000000000006</v>
      </c>
      <c r="AJ31" s="13">
        <f>AI31*VLOOKUP('Données projet'!$B$10,Paramètres!$A$1:$I$89,3,0)*VLOOKUP('Données projet'!$B$10,Paramètres!$A$1:$I$89,5,0)</f>
        <v>256.02200000000005</v>
      </c>
      <c r="AK31" s="13">
        <f t="shared" si="35"/>
        <v>61.87366971205131</v>
      </c>
      <c r="AL31" s="20">
        <f t="shared" si="4"/>
        <v>553.66829141515609</v>
      </c>
      <c r="AM31" s="59">
        <f t="shared" si="5"/>
        <v>844.557180304045</v>
      </c>
      <c r="AN31" s="59">
        <f ca="1">AVERAGE(OFFSET($AM$3,0,0,'Données projet'!$E$10+1,1))-AVERAGE(OFFSET($H$3,0,0,'Données projet'!$E$10+1,1))</f>
        <v>544.48194192356823</v>
      </c>
      <c r="AO31" s="59">
        <f t="shared" si="36"/>
        <v>668.20427590250733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21.853762886739897</v>
      </c>
      <c r="AW31" s="21">
        <f>EXP(-LN(2)/2)*AW30+(1-EXP(-LN(2)/2))/(LN(2)/2)*AQ31*AT31*VLOOKUP('Données projet'!$B$10,Paramètres!$A$1:$I$89,3,0)*0.475*44/12</f>
        <v>6.0508727740526735</v>
      </c>
      <c r="AX31" s="21">
        <f t="shared" si="6"/>
        <v>27.904635660792572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102.60000000000002</v>
      </c>
      <c r="BE31" s="13">
        <f>BD31*VLOOKUP('Données projet'!$B$11,Paramètres!$A$1:$I$89,3,0)*VLOOKUP('Données projet'!$B$11,Paramètres!$A$1:$I$89,5,0)</f>
        <v>92.832480000000018</v>
      </c>
      <c r="BF31" s="13">
        <f t="shared" si="37"/>
        <v>25.247114117480137</v>
      </c>
      <c r="BG31" s="20">
        <f t="shared" si="7"/>
        <v>205.65529308794461</v>
      </c>
      <c r="BH31" s="59">
        <f t="shared" si="8"/>
        <v>496.54418197683344</v>
      </c>
      <c r="BI31" s="59">
        <f ca="1">AVERAGE(OFFSET($BH$3,0,0,'Données projet'!$E$11+1,1))-AVERAGE(OFFSET($H$3,0,0,'Données projet'!$E$11+1,1))</f>
        <v>405.7176439604217</v>
      </c>
      <c r="BJ31" s="59">
        <f t="shared" si="38"/>
        <v>278.21741231699929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3.8449302243246626</v>
      </c>
      <c r="BQ31" s="21">
        <f>EXP(-LN(2)/25)*BQ30+(1-EXP(-LN(2)/25))/(LN(2)/25)*Calculateur!BL31*Calculateur!BN31*VLOOKUP('Données projet'!$B$11,Paramètres!$A$1:$I$89,3,0)*0.475*44/12</f>
        <v>4.8270072900933121</v>
      </c>
      <c r="BR31" s="21">
        <f>EXP(-LN(2)/2)*BR30+(1-EXP(-LN(2)/2))/(LN(2)/2)*BL31*BO31*VLOOKUP('Données projet'!$B$11,Paramètres!$A$1:$I$89,3,0)*0.475*44/12</f>
        <v>2.7274522194481574</v>
      </c>
      <c r="BS31" s="22">
        <f t="shared" si="9"/>
        <v>11.399389733866132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11.8</v>
      </c>
      <c r="CT31" s="12">
        <f>IF('Données projet'!$A$140&gt;35,CT30+CS31-DB30,IF(A31&lt;'Données projet'!$A$140,$CQ$205^A31,IF(A31='Données projet'!$A$140,'Données projet'!$B$140,CT30+CS31-DB30)))</f>
        <v>122.39999999999996</v>
      </c>
      <c r="CU31" s="17">
        <f>CT31*VLOOKUP('Données projet'!$B$13,Paramètres!$A$1:$I$89,3,0)*VLOOKUP('Données projet'!$B$13,Paramètres!$A$1:$I$89,5,0)</f>
        <v>97.381439999999984</v>
      </c>
      <c r="CV31" s="13">
        <f t="shared" si="41"/>
        <v>26.337201615555198</v>
      </c>
      <c r="CW31" s="20">
        <f t="shared" si="13"/>
        <v>215.47663414709197</v>
      </c>
      <c r="CX31" s="59">
        <f t="shared" si="14"/>
        <v>506.3655230359808</v>
      </c>
      <c r="CY31" s="59">
        <f ca="1">AVERAGE(OFFSET($CX$3,0,0,'Données projet'!$E$13+1,1))-AVERAGE(OFFSET($H$3,0,0,'Données projet'!$E$13+1,1))</f>
        <v>299.10536994156814</v>
      </c>
      <c r="CZ31" s="59">
        <f t="shared" si="42"/>
        <v>292.57799203101769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4.6877359111959978</v>
      </c>
      <c r="DG31" s="21">
        <f>EXP(-LN(2)/25)*DG30+(1-EXP(-LN(2)/25))/(LN(2)/25)*Calculateur!DB31*Calculateur!DD31*VLOOKUP('Données projet'!$B$13,Paramètres!$A$1:$I$89,3,0)*0.475*44/12</f>
        <v>5.9325391486661845</v>
      </c>
      <c r="DH31" s="21">
        <f>EXP(-LN(2)/2)*DH30+(1-EXP(-LN(2)/2))/(LN(2)/2)*DB31*DE31*VLOOKUP('Données projet'!$B$13,Paramètres!$A$1:$I$89,3,0)*0.475*44/12</f>
        <v>5.3340409188812998</v>
      </c>
      <c r="DI31" s="22">
        <f t="shared" si="15"/>
        <v>15.954315978743482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10</v>
      </c>
      <c r="DO31" s="12">
        <f>IF('Données projet'!$A$166&gt;35,DO30+DN31-DW30,IF(A31&lt;'Données projet'!$A$166,$DL$205^A31,IF(A31='Données projet'!$A$166,'Données projet'!$B$166,DO30+DN31-DW30)))</f>
        <v>166</v>
      </c>
      <c r="DP31" s="17">
        <f>DO31*VLOOKUP('Données projet'!$B$14,Paramètres!$A$1:$I$89,3,0)*VLOOKUP('Données projet'!$B$14,Paramètres!$A$1:$I$89,5,0)</f>
        <v>108.7632</v>
      </c>
      <c r="DQ31" s="13">
        <f t="shared" si="43"/>
        <v>29.039393357192587</v>
      </c>
      <c r="DR31" s="20">
        <f t="shared" si="16"/>
        <v>240.00618343044377</v>
      </c>
      <c r="DS31" s="59">
        <f t="shared" si="17"/>
        <v>530.8950723193326</v>
      </c>
      <c r="DT31" s="59">
        <f ca="1">AVERAGE(OFFSET($DS$3,0,0,'Données projet'!$E$14+1,1))-AVERAGE(OFFSET($H$3,0,0,'Données projet'!$E$14+1,1))</f>
        <v>295.92103934364718</v>
      </c>
      <c r="DU31" s="59">
        <f t="shared" si="44"/>
        <v>304.84379909635476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2.1130967404287464</v>
      </c>
      <c r="EB31" s="21">
        <f>EXP(-LN(2)/25)*EB30+(1-EXP(-LN(2)/25))/(LN(2)/25)*Calculateur!DW31*Calculateur!DY31*VLOOKUP('Données projet'!$B$14,Paramètres!$A$1:$I$89,3,0)*0.475*44/12</f>
        <v>4.1496587073365134</v>
      </c>
      <c r="EC31" s="21">
        <f>EXP(-LN(2)/2)*EC30+(1-EXP(-LN(2)/2))/(LN(2)/2)*DW31*DZ31*VLOOKUP('Données projet'!$B$14,Paramètres!$A$1:$I$89,3,0)*0.475*44/12</f>
        <v>1.8655271855350035</v>
      </c>
      <c r="ED31" s="22">
        <f t="shared" si="18"/>
        <v>8.1282826333002625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>
        <f>VLOOKUP(A31,'Données projet'!$A$191:$I$211,2,0)</f>
        <v>146</v>
      </c>
      <c r="EH31" s="12">
        <f>VLOOKUP(A31,'Données projet'!$A$191:$I$211,9,0)</f>
        <v>11.25</v>
      </c>
      <c r="EI31" s="12">
        <f t="array" ref="EI31">INDEX(EH:EH,MIN(IF(ISNUMBER(EH31:EH227),ROW(EH31:EH227),"")))</f>
        <v>11.25</v>
      </c>
      <c r="EJ31" s="12">
        <f>IF('Données projet'!$A$192&gt;35,EJ30+EI31-ER30,IF(A31&lt;'Données projet'!$A$192,$EG$205^A31,IF(A31='Données projet'!$A$192,'Données projet'!$B$192,EJ30+EI31-ER30)))</f>
        <v>146</v>
      </c>
      <c r="EK31" s="17">
        <f>EJ31*VLOOKUP('Données projet'!$B$15,Paramètres!$A$1:$I$89,3,0)*VLOOKUP('Données projet'!$B$15,Paramètres!$A$1:$I$89,5,0)</f>
        <v>87.307999999999993</v>
      </c>
      <c r="EL31" s="13">
        <f t="shared" si="45"/>
        <v>23.914836409796052</v>
      </c>
      <c r="EM31" s="20">
        <f t="shared" si="19"/>
        <v>193.71310674706146</v>
      </c>
      <c r="EN31" s="59">
        <f t="shared" si="20"/>
        <v>484.60199563595029</v>
      </c>
      <c r="EO31" s="59">
        <f ca="1">AVERAGE(OFFSET($EN$3,0,0,'Données projet'!$E$15+1,1))-AVERAGE(OFFSET($H$3,0,0,'Données projet'!$E$15+1,1))</f>
        <v>207.2913533618397</v>
      </c>
      <c r="EP31" s="59">
        <f t="shared" si="46"/>
        <v>230.81096055024483</v>
      </c>
      <c r="EQ31" s="15">
        <f>IF(ISNA(VLOOKUP(A31,'Données projet'!$A$191:$I$211,3,0)),0,VLOOKUP(A31,'Données projet'!$A$191:$I$211,3,0))</f>
        <v>4</v>
      </c>
      <c r="ER31" s="15">
        <f>IF(ISNA(VLOOKUP(A31,'Données projet'!$A$191:$I$211,4,0)),0,VLOOKUP(A31,'Données projet'!$A$191:$I$211,4,0))</f>
        <v>23</v>
      </c>
      <c r="ES31" s="16">
        <f>IF(ISNA(VLOOKUP(A31,'Données projet'!$A$191:$I$211,5,0)),0%,VLOOKUP(A31,'Données projet'!$A$191:$I$211,5,0)*VLOOKUP('Données projet'!$B$15,Paramètres!$A$1:$I$89,7,0))</f>
        <v>0.18000000000000002</v>
      </c>
      <c r="ET31" s="16">
        <f>IF(ISNA(VLOOKUP(A31,'Données projet'!$A$191:$I$211,6,0)),0%,VLOOKUP(A31,'Données projet'!$A$191:$I$211,6,0)*VLOOKUP('Données projet'!$B$15,Paramètres!$A$1:$I$89,7,0))</f>
        <v>0.13500000000000001</v>
      </c>
      <c r="EU31" s="16">
        <f>IF(ISNA(VLOOKUP(A31,'Données projet'!$A$191:$I$211,7,0)),0%,VLOOKUP(A31,'Données projet'!$A$191:$I$211,7,0))</f>
        <v>0.3</v>
      </c>
      <c r="EV31" s="21">
        <f>EXP(-LN(2)/35)*EV30+(1-EXP(-LN(2)/35))/(LN(2)/35)*ER31*ES31*VLOOKUP('Données projet'!$B$15,Paramètres!$A$1:$I$89,3,0)*0.475*44/12</f>
        <v>7.2021593215205613</v>
      </c>
      <c r="EW31" s="21">
        <f>EXP(-LN(2)/25)*EW30+(1-EXP(-LN(2)/25))/(LN(2)/25)*Calculateur!ER31*Calculateur!ET31*VLOOKUP('Données projet'!$B$15,Paramètres!$A$1:$I$89,3,0)*0.475*44/12</f>
        <v>6.3750572980970457</v>
      </c>
      <c r="EX31" s="21">
        <f>EXP(-LN(2)/2)*EX30+(1-EXP(-LN(2)/2))/(LN(2)/2)*ER31*EU31*VLOOKUP('Données projet'!$B$15,Paramètres!$A$1:$I$89,3,0)*0.475*44/12</f>
        <v>5.8990151875352019</v>
      </c>
      <c r="EY31" s="22">
        <f t="shared" si="21"/>
        <v>19.476231807152807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201.2999999999999</v>
      </c>
      <c r="O32" s="13">
        <f>N32*VLOOKUP('Données projet'!$B$9,Paramètres!$A$1:$I$89,3,0)*VLOOKUP('Données projet'!$B$9,Paramètres!$A$1:$I$89,5,0)</f>
        <v>94.208399999999955</v>
      </c>
      <c r="P32" s="13">
        <f t="shared" si="33"/>
        <v>25.577474486943441</v>
      </c>
      <c r="Q32" s="20">
        <f t="shared" si="2"/>
        <v>208.62706473142643</v>
      </c>
      <c r="R32" s="59">
        <f t="shared" si="0"/>
        <v>500.73817584253754</v>
      </c>
      <c r="S32" s="59">
        <f ca="1">AVERAGE(OFFSET($R$3,0,0,'Données projet'!$E$9+1,1))-AVERAGE(OFFSET($H$3,0,0,'Données projet'!$E$9+1,1))</f>
        <v>319.22903094674564</v>
      </c>
      <c r="T32" s="59">
        <f t="shared" si="34"/>
        <v>254.58690973142848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2.2571284617348231</v>
      </c>
      <c r="AA32" s="21">
        <f>EXP(-LN(2)/25)*AA31+(1-EXP(-LN(2)/25))/(LN(2)/25)*Calculateur!V32*Calculateur!X32*VLOOKUP('Données projet'!$B$9,Paramètres!$A$1:$I$89,3,0)*0.475*44/12</f>
        <v>2.0935331095380243</v>
      </c>
      <c r="AB32" s="21">
        <f>EXP(-LN(2)/2)*AB31+(1-EXP(-LN(2)/2))/(LN(2)/2)*V32*Y32*VLOOKUP('Données projet'!$B$9,Paramètres!$A$1:$I$89,3,0)*0.475*44/12</f>
        <v>0.55500226792883467</v>
      </c>
      <c r="AC32" s="22">
        <f t="shared" si="3"/>
        <v>4.905663839201682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33</v>
      </c>
      <c r="AI32" s="13">
        <f>IF('Données projet'!$A$62&gt;35,AI31+AH32-AQ31,IF(A32&lt;'Données projet'!$A$62,$AF$205^A32,IF(A32='Données projet'!$A$62,'Données projet'!$B$62,AI31+AH32-AQ31)))</f>
        <v>491.00000000000006</v>
      </c>
      <c r="AJ32" s="13">
        <f>AI32*VLOOKUP('Données projet'!$B$10,Paramètres!$A$1:$I$89,3,0)*VLOOKUP('Données projet'!$B$10,Paramètres!$A$1:$I$89,5,0)</f>
        <v>274.46900000000005</v>
      </c>
      <c r="AK32" s="13">
        <f t="shared" si="35"/>
        <v>65.796795812732981</v>
      </c>
      <c r="AL32" s="20">
        <f t="shared" si="4"/>
        <v>592.62959437384325</v>
      </c>
      <c r="AM32" s="59">
        <f t="shared" si="5"/>
        <v>884.74070548495433</v>
      </c>
      <c r="AN32" s="59">
        <f ca="1">AVERAGE(OFFSET($AM$3,0,0,'Données projet'!$E$10+1,1))-AVERAGE(OFFSET($H$3,0,0,'Données projet'!$E$10+1,1))</f>
        <v>544.48194192356823</v>
      </c>
      <c r="AO32" s="59">
        <f t="shared" si="36"/>
        <v>668.20427590250733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21.256170591362551</v>
      </c>
      <c r="AW32" s="21">
        <f>EXP(-LN(2)/2)*AW31+(1-EXP(-LN(2)/2))/(LN(2)/2)*AQ32*AT32*VLOOKUP('Données projet'!$B$10,Paramètres!$A$1:$I$89,3,0)*0.475*44/12</f>
        <v>4.2786131706297024</v>
      </c>
      <c r="AX32" s="21">
        <f t="shared" si="6"/>
        <v>25.534783761992252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111.80000000000003</v>
      </c>
      <c r="BE32" s="13">
        <f>BD32*VLOOKUP('Données projet'!$B$11,Paramètres!$A$1:$I$89,3,0)*VLOOKUP('Données projet'!$B$11,Paramètres!$A$1:$I$89,5,0)</f>
        <v>101.15664000000001</v>
      </c>
      <c r="BF32" s="13">
        <f t="shared" si="37"/>
        <v>27.237366379381644</v>
      </c>
      <c r="BG32" s="20">
        <f t="shared" si="7"/>
        <v>223.61956111075639</v>
      </c>
      <c r="BH32" s="59">
        <f t="shared" si="8"/>
        <v>515.73067222186751</v>
      </c>
      <c r="BI32" s="59">
        <f ca="1">AVERAGE(OFFSET($BH$3,0,0,'Données projet'!$E$11+1,1))-AVERAGE(OFFSET($H$3,0,0,'Données projet'!$E$11+1,1))</f>
        <v>405.7176439604217</v>
      </c>
      <c r="BJ32" s="59">
        <f t="shared" si="38"/>
        <v>278.21741231699929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3.7695334878015259</v>
      </c>
      <c r="BQ32" s="21">
        <f>EXP(-LN(2)/25)*BQ31+(1-EXP(-LN(2)/25))/(LN(2)/25)*Calculateur!BL32*Calculateur!BN32*VLOOKUP('Données projet'!$B$11,Paramètres!$A$1:$I$89,3,0)*0.475*44/12</f>
        <v>4.6950125219044292</v>
      </c>
      <c r="BR32" s="21">
        <f>EXP(-LN(2)/2)*BR31+(1-EXP(-LN(2)/2))/(LN(2)/2)*BL32*BO32*VLOOKUP('Données projet'!$B$11,Paramètres!$A$1:$I$89,3,0)*0.475*44/12</f>
        <v>1.9285999597340917</v>
      </c>
      <c r="BS32" s="22">
        <f t="shared" si="9"/>
        <v>10.393145969440047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11.8</v>
      </c>
      <c r="CT32" s="12">
        <f>IF('Données projet'!$A$140&gt;35,CT31+CS32-DB31,IF(A32&lt;'Données projet'!$A$140,$CQ$205^A32,IF(A32='Données projet'!$A$140,'Données projet'!$B$140,CT31+CS32-DB31)))</f>
        <v>134.19999999999996</v>
      </c>
      <c r="CU32" s="17">
        <f>CT32*VLOOKUP('Données projet'!$B$13,Paramètres!$A$1:$I$89,3,0)*VLOOKUP('Données projet'!$B$13,Paramètres!$A$1:$I$89,5,0)</f>
        <v>106.76951999999997</v>
      </c>
      <c r="CV32" s="13">
        <f t="shared" si="41"/>
        <v>28.568542914630683</v>
      </c>
      <c r="CW32" s="20">
        <f t="shared" si="13"/>
        <v>235.71379290964839</v>
      </c>
      <c r="CX32" s="59">
        <f t="shared" si="14"/>
        <v>527.8249040207595</v>
      </c>
      <c r="CY32" s="59">
        <f ca="1">AVERAGE(OFFSET($CX$3,0,0,'Données projet'!$E$13+1,1))-AVERAGE(OFFSET($H$3,0,0,'Données projet'!$E$13+1,1))</f>
        <v>299.10536994156814</v>
      </c>
      <c r="CZ32" s="59">
        <f t="shared" si="42"/>
        <v>292.57799203101769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4.595812269214024</v>
      </c>
      <c r="DG32" s="21">
        <f>EXP(-LN(2)/25)*DG31+(1-EXP(-LN(2)/25))/(LN(2)/25)*Calculateur!DB32*Calculateur!DD32*VLOOKUP('Données projet'!$B$13,Paramètres!$A$1:$I$89,3,0)*0.475*44/12</f>
        <v>5.7703135536672328</v>
      </c>
      <c r="DH32" s="21">
        <f>EXP(-LN(2)/2)*DH31+(1-EXP(-LN(2)/2))/(LN(2)/2)*DB32*DE32*VLOOKUP('Données projet'!$B$13,Paramètres!$A$1:$I$89,3,0)*0.475*44/12</f>
        <v>3.7717365048674902</v>
      </c>
      <c r="DI32" s="22">
        <f t="shared" si="15"/>
        <v>14.137862327748747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10</v>
      </c>
      <c r="DO32" s="12">
        <f>IF('Données projet'!$A$166&gt;35,DO31+DN32-DW31,IF(A32&lt;'Données projet'!$A$166,$DL$205^A32,IF(A32='Données projet'!$A$166,'Données projet'!$B$166,DO31+DN32-DW31)))</f>
        <v>176</v>
      </c>
      <c r="DP32" s="17">
        <f>DO32*VLOOKUP('Données projet'!$B$14,Paramètres!$A$1:$I$89,3,0)*VLOOKUP('Données projet'!$B$14,Paramètres!$A$1:$I$89,5,0)</f>
        <v>115.3152</v>
      </c>
      <c r="DQ32" s="13">
        <f t="shared" si="43"/>
        <v>30.579827148797317</v>
      </c>
      <c r="DR32" s="20">
        <f t="shared" si="16"/>
        <v>254.10050561748861</v>
      </c>
      <c r="DS32" s="59">
        <f t="shared" si="17"/>
        <v>546.21161672859978</v>
      </c>
      <c r="DT32" s="59">
        <f ca="1">AVERAGE(OFFSET($DS$3,0,0,'Données projet'!$E$14+1,1))-AVERAGE(OFFSET($H$3,0,0,'Données projet'!$E$14+1,1))</f>
        <v>295.92103934364718</v>
      </c>
      <c r="DU32" s="59">
        <f t="shared" si="44"/>
        <v>304.84379909635476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2.071660202210686</v>
      </c>
      <c r="EB32" s="21">
        <f>EXP(-LN(2)/25)*EB31+(1-EXP(-LN(2)/25))/(LN(2)/25)*Calculateur!DW32*Calculateur!DY32*VLOOKUP('Données projet'!$B$14,Paramètres!$A$1:$I$89,3,0)*0.475*44/12</f>
        <v>4.0361860717633293</v>
      </c>
      <c r="EC32" s="21">
        <f>EXP(-LN(2)/2)*EC31+(1-EXP(-LN(2)/2))/(LN(2)/2)*DW32*DZ32*VLOOKUP('Données projet'!$B$14,Paramètres!$A$1:$I$89,3,0)*0.475*44/12</f>
        <v>1.3191269233796556</v>
      </c>
      <c r="ED32" s="22">
        <f t="shared" si="18"/>
        <v>7.4269731973536715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11.666666666666666</v>
      </c>
      <c r="EJ32" s="12">
        <f>IF('Données projet'!$A$192&gt;35,EJ31+EI32-ER31,IF(A32&lt;'Données projet'!$A$192,$EG$205^A32,IF(A32='Données projet'!$A$192,'Données projet'!$B$192,EJ31+EI32-ER31)))</f>
        <v>134.66666666666666</v>
      </c>
      <c r="EK32" s="17">
        <f>EJ32*VLOOKUP('Données projet'!$B$15,Paramètres!$A$1:$I$89,3,0)*VLOOKUP('Données projet'!$B$15,Paramètres!$A$1:$I$89,5,0)</f>
        <v>80.530666666666662</v>
      </c>
      <c r="EL32" s="13">
        <f t="shared" si="45"/>
        <v>22.266884919078866</v>
      </c>
      <c r="EM32" s="20">
        <f t="shared" si="19"/>
        <v>179.0390690118401</v>
      </c>
      <c r="EN32" s="59">
        <f t="shared" si="20"/>
        <v>471.15018012295127</v>
      </c>
      <c r="EO32" s="59">
        <f ca="1">AVERAGE(OFFSET($EN$3,0,0,'Données projet'!$E$15+1,1))-AVERAGE(OFFSET($H$3,0,0,'Données projet'!$E$15+1,1))</f>
        <v>207.2913533618397</v>
      </c>
      <c r="EP32" s="59">
        <f t="shared" si="46"/>
        <v>230.81096055024483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7.0609293701089682</v>
      </c>
      <c r="EW32" s="21">
        <f>EXP(-LN(2)/25)*EW31+(1-EXP(-LN(2)/25))/(LN(2)/25)*Calculateur!ER32*Calculateur!ET32*VLOOKUP('Données projet'!$B$15,Paramètres!$A$1:$I$89,3,0)*0.475*44/12</f>
        <v>6.2007310210308892</v>
      </c>
      <c r="EX32" s="21">
        <f>EXP(-LN(2)/2)*EX31+(1-EXP(-LN(2)/2))/(LN(2)/2)*ER32*EU32*VLOOKUP('Données projet'!$B$15,Paramètres!$A$1:$I$89,3,0)*0.475*44/12</f>
        <v>4.1712336414285751</v>
      </c>
      <c r="EY32" s="22">
        <f t="shared" si="21"/>
        <v>17.432894032568434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210.5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210.49999999999989</v>
      </c>
      <c r="O33" s="13">
        <f>N33*VLOOKUP('Données projet'!$B$9,Paramètres!$A$1:$I$89,3,0)*VLOOKUP('Données projet'!$B$9,Paramètres!$A$1:$I$89,5,0)</f>
        <v>98.513999999999953</v>
      </c>
      <c r="P33" s="13">
        <f t="shared" si="33"/>
        <v>26.607670659193456</v>
      </c>
      <c r="Q33" s="20">
        <f t="shared" si="2"/>
        <v>217.92024306476185</v>
      </c>
      <c r="R33" s="59">
        <f t="shared" si="0"/>
        <v>511.25357639809516</v>
      </c>
      <c r="S33" s="59">
        <f ca="1">AVERAGE(OFFSET($R$3,0,0,'Données projet'!$E$9+1,1))-AVERAGE(OFFSET($H$3,0,0,'Données projet'!$E$9+1,1))</f>
        <v>319.22903094674564</v>
      </c>
      <c r="T33" s="59">
        <f t="shared" si="34"/>
        <v>254.58690973142848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67</v>
      </c>
      <c r="W33" s="16">
        <f>IF(ISNA(VLOOKUP(A33,'Données projet'!$A$35:$I$55,5,0)),0%,VLOOKUP(A33,'Données projet'!$A$35:$I$55,5,0)*VLOOKUP('Données projet'!$B$9,Paramètres!$A$1:$I$89,7,0))</f>
        <v>0.16500000000000001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9.0761671349983928</v>
      </c>
      <c r="AA33" s="21">
        <f>EXP(-LN(2)/25)*AA32+(1-EXP(-LN(2)/25))/(LN(2)/25)*Calculateur!V33*Calculateur!X33*VLOOKUP('Données projet'!$B$9,Paramètres!$A$1:$I$89,3,0)*0.475*44/12</f>
        <v>11.151320216689932</v>
      </c>
      <c r="AB33" s="21">
        <f>EXP(-LN(2)/2)*AB32+(1-EXP(-LN(2)/2))/(LN(2)/2)*V33*Y33*VLOOKUP('Données projet'!$B$9,Paramètres!$A$1:$I$89,3,0)*0.475*44/12</f>
        <v>11.043128643598349</v>
      </c>
      <c r="AC33" s="22">
        <f t="shared" si="3"/>
        <v>31.270615995286676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524</v>
      </c>
      <c r="AG33" s="12">
        <f>VLOOKUP(A33,'Données projet'!$A$61:$I$81,9,0)</f>
        <v>33</v>
      </c>
      <c r="AH33" s="12">
        <f t="array" ref="AH33">INDEX(AG:AG,MIN(IF(ISNUMBER(AG33:AG229),ROW(AG33:AG229),"")))</f>
        <v>33</v>
      </c>
      <c r="AI33" s="13">
        <f>IF('Données projet'!$A$62&gt;35,AI32+AH33-AQ32,IF(A33&lt;'Données projet'!$A$62,$AF$205^A33,IF(A33='Données projet'!$A$62,'Données projet'!$B$62,AI32+AH33-AQ32)))</f>
        <v>524</v>
      </c>
      <c r="AJ33" s="13">
        <f>AI33*VLOOKUP('Données projet'!$B$10,Paramètres!$A$1:$I$89,3,0)*VLOOKUP('Données projet'!$B$10,Paramètres!$A$1:$I$89,5,0)</f>
        <v>292.916</v>
      </c>
      <c r="AK33" s="13">
        <f t="shared" si="35"/>
        <v>69.68932587703776</v>
      </c>
      <c r="AL33" s="20">
        <f t="shared" si="4"/>
        <v>631.53760923584082</v>
      </c>
      <c r="AM33" s="59">
        <f t="shared" si="5"/>
        <v>924.87094256917408</v>
      </c>
      <c r="AN33" s="59">
        <f ca="1">AVERAGE(OFFSET($AM$3,0,0,'Données projet'!$E$10+1,1))-AVERAGE(OFFSET($H$3,0,0,'Données projet'!$E$10+1,1))</f>
        <v>544.48194192356823</v>
      </c>
      <c r="AO33" s="59">
        <f t="shared" si="36"/>
        <v>668.20427590250733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90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0.33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7.3413403528479604</v>
      </c>
      <c r="AV33" s="21">
        <f>EXP(-LN(2)/25)*AV32+(1-EXP(-LN(2)/25))/(LN(2)/25)*Calculateur!AQ33*Calculateur!AS33*VLOOKUP('Données projet'!$B$10,Paramètres!$A$1:$I$89,3,0)*0.475*44/12</f>
        <v>42.612223584554776</v>
      </c>
      <c r="AW33" s="21">
        <f>EXP(-LN(2)/2)*AW32+(1-EXP(-LN(2)/2))/(LN(2)/2)*AQ33*AT33*VLOOKUP('Données projet'!$B$10,Paramètres!$A$1:$I$89,3,0)*0.475*44/12</f>
        <v>14.417957764737636</v>
      </c>
      <c r="AX33" s="21">
        <f t="shared" si="6"/>
        <v>64.37152170214037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121.00000000000003</v>
      </c>
      <c r="BE33" s="13">
        <f>BD33*VLOOKUP('Données projet'!$B$11,Paramètres!$A$1:$I$89,3,0)*VLOOKUP('Données projet'!$B$11,Paramètres!$A$1:$I$89,5,0)</f>
        <v>109.48080000000002</v>
      </c>
      <c r="BF33" s="13">
        <f t="shared" si="37"/>
        <v>29.208623339903898</v>
      </c>
      <c r="BG33" s="20">
        <f t="shared" si="7"/>
        <v>241.55074565033269</v>
      </c>
      <c r="BH33" s="59">
        <f t="shared" si="8"/>
        <v>534.88407898366597</v>
      </c>
      <c r="BI33" s="59">
        <f ca="1">AVERAGE(OFFSET($BH$3,0,0,'Données projet'!$E$11+1,1))-AVERAGE(OFFSET($H$3,0,0,'Données projet'!$E$11+1,1))</f>
        <v>405.7176439604217</v>
      </c>
      <c r="BJ33" s="59">
        <f t="shared" si="38"/>
        <v>278.21741231699929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0.129</v>
      </c>
      <c r="BN33" s="16">
        <f>IF(ISNA(VLOOKUP(A33,'Données projet'!$A$87:$I$107,6,0)),0%,VLOOKUP(A33,'Données projet'!$A$87:$I$107,6,0)*VLOOKUP('Données projet'!$B$11,Paramètres!$A$1:$I$89,7,0))</f>
        <v>0.17200000000000001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7.3084445483320444</v>
      </c>
      <c r="BQ33" s="21">
        <f>EXP(-LN(2)/25)*BQ32+(1-EXP(-LN(2)/25))/(LN(2)/25)*Calculateur!BL33*Calculateur!BN33*VLOOKUP('Données projet'!$B$11,Paramètres!$A$1:$I$89,3,0)*0.475*44/12</f>
        <v>9.3647661275084193</v>
      </c>
      <c r="BR33" s="21">
        <f>EXP(-LN(2)/2)*BR32+(1-EXP(-LN(2)/2))/(LN(2)/2)*BL33*BO33*VLOOKUP('Données projet'!$B$11,Paramètres!$A$1:$I$89,3,0)*0.475*44/12</f>
        <v>8.5348325893377019</v>
      </c>
      <c r="BS33" s="22">
        <f t="shared" si="9"/>
        <v>25.208043265178169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146</v>
      </c>
      <c r="CR33" s="12">
        <f>VLOOKUP(A33,'Données projet'!$A$139:$I$159,9,0)</f>
        <v>11.8</v>
      </c>
      <c r="CS33" s="12">
        <f t="array" ref="CS33">INDEX(CR:CR,MIN(IF(ISNUMBER(CR33:CR229),ROW(CR33:CR229),"")))</f>
        <v>11.8</v>
      </c>
      <c r="CT33" s="12">
        <f>IF('Données projet'!$A$140&gt;35,CT32+CS33-DB32,IF(A33&lt;'Données projet'!$A$140,$CQ$205^A33,IF(A33='Données projet'!$A$140,'Données projet'!$B$140,CT32+CS33-DB32)))</f>
        <v>145.99999999999997</v>
      </c>
      <c r="CU33" s="17">
        <f>CT33*VLOOKUP('Données projet'!$B$13,Paramètres!$A$1:$I$89,3,0)*VLOOKUP('Données projet'!$B$13,Paramètres!$A$1:$I$89,5,0)</f>
        <v>116.15759999999999</v>
      </c>
      <c r="CV33" s="13">
        <f t="shared" si="41"/>
        <v>30.777132266613055</v>
      </c>
      <c r="CW33" s="20">
        <f t="shared" si="13"/>
        <v>255.91132536435109</v>
      </c>
      <c r="CX33" s="59">
        <f t="shared" si="14"/>
        <v>549.24465869768437</v>
      </c>
      <c r="CY33" s="59">
        <f ca="1">AVERAGE(OFFSET($CX$3,0,0,'Données projet'!$E$13+1,1))-AVERAGE(OFFSET($H$3,0,0,'Données projet'!$E$13+1,1))</f>
        <v>299.10536994156814</v>
      </c>
      <c r="CZ33" s="59">
        <f t="shared" si="42"/>
        <v>292.57799203101769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0.159</v>
      </c>
      <c r="DD33" s="16">
        <f>IF(ISNA(VLOOKUP(A33,'Données projet'!$A$139:$I$159,6,0)),0%,VLOOKUP(A33,'Données projet'!$A$139:$I$159,6,0)*VLOOKUP('Données projet'!$B$13,Paramètres!$A$1:$I$89,7,0))</f>
        <v>0.21200000000000002</v>
      </c>
      <c r="DE33" s="16">
        <f>IF(ISNA(VLOOKUP(A33,'Données projet'!$A$139:$I$159,7,0)),0%,VLOOKUP(A33,'Données projet'!$A$139:$I$159,7,0))</f>
        <v>0.3</v>
      </c>
      <c r="DF33" s="21">
        <f>EXP(-LN(2)/35)*DF32+(1-EXP(-LN(2)/35))/(LN(2)/35)*DB33*DC33*VLOOKUP('Données projet'!$B$13,Paramètres!$A$1:$I$89,3,0)*0.475*44/12</f>
        <v>8.421279659357392</v>
      </c>
      <c r="DG33" s="21">
        <f>EXP(-LN(2)/25)*DG32+(1-EXP(-LN(2)/25))/(LN(2)/25)*Calculateur!DB33*Calculateur!DD33*VLOOKUP('Données projet'!$B$13,Paramètres!$A$1:$I$89,3,0)*0.475*44/12</f>
        <v>10.812752428533031</v>
      </c>
      <c r="DH33" s="21">
        <f>EXP(-LN(2)/2)*DH32+(1-EXP(-LN(2)/2))/(LN(2)/2)*DB33*DE33*VLOOKUP('Données projet'!$B$13,Paramètres!$A$1:$I$89,3,0)*0.475*44/12</f>
        <v>8.9726485708250454</v>
      </c>
      <c r="DI33" s="22">
        <f t="shared" si="15"/>
        <v>28.20668065871547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186</v>
      </c>
      <c r="DM33" s="12">
        <f>VLOOKUP(A33,'Données projet'!$A$165:$I$185,9,0)</f>
        <v>10</v>
      </c>
      <c r="DN33" s="12">
        <f t="array" ref="DN33">INDEX(DM:DM,MIN(IF(ISNUMBER(DM33:DM229),ROW(DM33:DM229),"")))</f>
        <v>10</v>
      </c>
      <c r="DO33" s="12">
        <f>IF('Données projet'!$A$166&gt;35,DO32+DN33-DW32,IF(A33&lt;'Données projet'!$A$166,$DL$205^A33,IF(A33='Données projet'!$A$166,'Données projet'!$B$166,DO32+DN33-DW32)))</f>
        <v>186</v>
      </c>
      <c r="DP33" s="17">
        <f>DO33*VLOOKUP('Données projet'!$B$14,Paramètres!$A$1:$I$89,3,0)*VLOOKUP('Données projet'!$B$14,Paramètres!$A$1:$I$89,5,0)</f>
        <v>121.86719999999998</v>
      </c>
      <c r="DQ33" s="13">
        <f t="shared" si="43"/>
        <v>32.110100916567376</v>
      </c>
      <c r="DR33" s="20">
        <f t="shared" si="16"/>
        <v>268.17713242968813</v>
      </c>
      <c r="DS33" s="59">
        <f t="shared" si="17"/>
        <v>561.51046576302144</v>
      </c>
      <c r="DT33" s="59">
        <f ca="1">AVERAGE(OFFSET($DS$3,0,0,'Données projet'!$E$14+1,1))-AVERAGE(OFFSET($H$3,0,0,'Données projet'!$E$14+1,1))</f>
        <v>295.92103934364718</v>
      </c>
      <c r="DU33" s="59">
        <f t="shared" si="44"/>
        <v>304.84379909635476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26</v>
      </c>
      <c r="DX33" s="16">
        <f>IF(ISNA(VLOOKUP(A33,'Données projet'!$A$165:$I$185,5,0)),0%,VLOOKUP(A33,'Données projet'!$A$165:$I$185,5,0)*VLOOKUP('Données projet'!$B$14,Paramètres!$A$1:$I$89,7,0))</f>
        <v>0.129</v>
      </c>
      <c r="DY33" s="16">
        <f>IF(ISNA(VLOOKUP(A33,'Données projet'!$A$165:$I$185,6,0)),0%,VLOOKUP(A33,'Données projet'!$A$165:$I$185,6,0)*VLOOKUP('Données projet'!$B$14,Paramètres!$A$1:$I$89,7,0))</f>
        <v>0.17200000000000001</v>
      </c>
      <c r="DZ33" s="16">
        <f>IF(ISNA(VLOOKUP(A33,'Données projet'!$A$165:$I$185,7,0)),0%,VLOOKUP(A33,'Données projet'!$A$165:$I$185,7,0))</f>
        <v>0.3</v>
      </c>
      <c r="EA33" s="21">
        <f>EXP(-LN(2)/35)*EA32+(1-EXP(-LN(2)/35))/(LN(2)/35)*DW33*DX33*VLOOKUP('Données projet'!$B$14,Paramètres!$A$1:$I$89,3,0)*0.475*44/12</f>
        <v>4.4603524714484317</v>
      </c>
      <c r="EB33" s="21">
        <f>EXP(-LN(2)/25)*EB32+(1-EXP(-LN(2)/25))/(LN(2)/25)*Calculateur!DW33*Calculateur!DY33*VLOOKUP('Données projet'!$B$14,Paramètres!$A$1:$I$89,3,0)*0.475*44/12</f>
        <v>7.1521511759754759</v>
      </c>
      <c r="EC33" s="21">
        <f>EXP(-LN(2)/2)*EC32+(1-EXP(-LN(2)/2))/(LN(2)/2)*DW33*DZ33*VLOOKUP('Données projet'!$B$14,Paramètres!$A$1:$I$89,3,0)*0.475*44/12</f>
        <v>5.7547145014732148</v>
      </c>
      <c r="ED33" s="22">
        <f t="shared" si="18"/>
        <v>17.367218148897123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11.666666666666666</v>
      </c>
      <c r="EJ33" s="12">
        <f>IF('Données projet'!$A$192&gt;35,EJ32+EI33-ER32,IF(A33&lt;'Données projet'!$A$192,$EG$205^A33,IF(A33='Données projet'!$A$192,'Données projet'!$B$192,EJ32+EI33-ER32)))</f>
        <v>146.33333333333331</v>
      </c>
      <c r="EK33" s="17">
        <f>EJ33*VLOOKUP('Données projet'!$B$15,Paramètres!$A$1:$I$89,3,0)*VLOOKUP('Données projet'!$B$15,Paramètres!$A$1:$I$89,5,0)</f>
        <v>87.507333333333335</v>
      </c>
      <c r="EL33" s="13">
        <f t="shared" si="45"/>
        <v>23.963074638099123</v>
      </c>
      <c r="EM33" s="20">
        <f t="shared" si="19"/>
        <v>194.14429388357817</v>
      </c>
      <c r="EN33" s="59">
        <f t="shared" si="20"/>
        <v>487.47762721691151</v>
      </c>
      <c r="EO33" s="59">
        <f ca="1">AVERAGE(OFFSET($EN$3,0,0,'Données projet'!$E$15+1,1))-AVERAGE(OFFSET($H$3,0,0,'Données projet'!$E$15+1,1))</f>
        <v>207.2913533618397</v>
      </c>
      <c r="EP33" s="59">
        <f t="shared" si="46"/>
        <v>230.81096055024483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6.9224688519027913</v>
      </c>
      <c r="EW33" s="21">
        <f>EXP(-LN(2)/25)*EW32+(1-EXP(-LN(2)/25))/(LN(2)/25)*Calculateur!ER33*Calculateur!ET33*VLOOKUP('Données projet'!$B$15,Paramètres!$A$1:$I$89,3,0)*0.475*44/12</f>
        <v>6.0311717051785267</v>
      </c>
      <c r="EX33" s="21">
        <f>EXP(-LN(2)/2)*EX32+(1-EXP(-LN(2)/2))/(LN(2)/2)*ER33*EU33*VLOOKUP('Données projet'!$B$15,Paramètres!$A$1:$I$89,3,0)*0.475*44/12</f>
        <v>2.9495075937676014</v>
      </c>
      <c r="EY33" s="22">
        <f t="shared" si="21"/>
        <v>15.903148150848919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</v>
      </c>
      <c r="N34" s="13">
        <f>IF('Données projet'!$A$36&gt;35,N33+M34-V33,IF(A34&lt;'Données projet'!$A$36,$K$205^A34,IF(A34='Données projet'!$A$36,'Données projet'!$B$36,N33+M34-V33)))</f>
        <v>153.49999999999989</v>
      </c>
      <c r="O34" s="13">
        <f>N34*VLOOKUP('Données projet'!$B$9,Paramètres!$A$1:$I$89,3,0)*VLOOKUP('Données projet'!$B$9,Paramètres!$A$1:$I$89,5,0)</f>
        <v>71.837999999999951</v>
      </c>
      <c r="P34" s="13">
        <f t="shared" si="33"/>
        <v>20.129206956785634</v>
      </c>
      <c r="Q34" s="20">
        <f t="shared" si="2"/>
        <v>160.17621878306821</v>
      </c>
      <c r="R34" s="59">
        <f t="shared" si="0"/>
        <v>453.50955211640155</v>
      </c>
      <c r="S34" s="59">
        <f ca="1">AVERAGE(OFFSET($R$3,0,0,'Données projet'!$E$9+1,1))-AVERAGE(OFFSET($H$3,0,0,'Données projet'!$E$9+1,1))</f>
        <v>319.22903094674564</v>
      </c>
      <c r="T34" s="59">
        <f t="shared" si="34"/>
        <v>254.58690973142848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8.8981890333964007</v>
      </c>
      <c r="AA34" s="21">
        <f>EXP(-LN(2)/25)*AA33+(1-EXP(-LN(2)/25))/(LN(2)/25)*Calculateur!V34*Calculateur!X34*VLOOKUP('Données projet'!$B$9,Paramètres!$A$1:$I$89,3,0)*0.475*44/12</f>
        <v>10.846386778942103</v>
      </c>
      <c r="AB34" s="21">
        <f>EXP(-LN(2)/2)*AB33+(1-EXP(-LN(2)/2))/(LN(2)/2)*V34*Y34*VLOOKUP('Données projet'!$B$9,Paramètres!$A$1:$I$89,3,0)*0.475*44/12</f>
        <v>7.8086711494037937</v>
      </c>
      <c r="AC34" s="22">
        <f t="shared" si="3"/>
        <v>27.553246961742296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28.4</v>
      </c>
      <c r="AI34" s="13">
        <f>IF('Données projet'!$A$62&gt;35,AI33+AH34-AQ33,IF(A34&lt;'Données projet'!$A$62,$AF$205^A34,IF(A34='Données projet'!$A$62,'Données projet'!$B$62,AI33+AH34-AQ33)))</f>
        <v>462.4</v>
      </c>
      <c r="AJ34" s="13">
        <f>AI34*VLOOKUP('Données projet'!$B$10,Paramètres!$A$1:$I$89,3,0)*VLOOKUP('Données projet'!$B$10,Paramètres!$A$1:$I$89,5,0)</f>
        <v>258.48160000000001</v>
      </c>
      <c r="AK34" s="13">
        <f t="shared" si="35"/>
        <v>62.398606187610767</v>
      </c>
      <c r="AL34" s="20">
        <f t="shared" si="4"/>
        <v>558.86635911008875</v>
      </c>
      <c r="AM34" s="59">
        <f t="shared" si="5"/>
        <v>852.19969244342201</v>
      </c>
      <c r="AN34" s="59">
        <f ca="1">AVERAGE(OFFSET($AM$3,0,0,'Données projet'!$E$10+1,1))-AVERAGE(OFFSET($H$3,0,0,'Données projet'!$E$10+1,1))</f>
        <v>544.48194192356823</v>
      </c>
      <c r="AO34" s="59">
        <f t="shared" si="36"/>
        <v>668.20427590250733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7.1973811463040835</v>
      </c>
      <c r="AV34" s="21">
        <f>EXP(-LN(2)/25)*AV33+(1-EXP(-LN(2)/25))/(LN(2)/25)*Calculateur!AQ34*Calculateur!AS34*VLOOKUP('Données projet'!$B$10,Paramètres!$A$1:$I$89,3,0)*0.475*44/12</f>
        <v>41.44699008975568</v>
      </c>
      <c r="AW34" s="21">
        <f>EXP(-LN(2)/2)*AW33+(1-EXP(-LN(2)/2))/(LN(2)/2)*AQ34*AT34*VLOOKUP('Données projet'!$B$10,Paramètres!$A$1:$I$89,3,0)*0.475*44/12</f>
        <v>10.19503570630722</v>
      </c>
      <c r="AX34" s="21">
        <f t="shared" si="6"/>
        <v>58.839406942366978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103.80000000000004</v>
      </c>
      <c r="BE34" s="13">
        <f>BD34*VLOOKUP('Données projet'!$B$11,Paramètres!$A$1:$I$89,3,0)*VLOOKUP('Données projet'!$B$11,Paramètres!$A$1:$I$89,5,0)</f>
        <v>93.91824000000004</v>
      </c>
      <c r="BF34" s="13">
        <f t="shared" si="37"/>
        <v>25.507853654186022</v>
      </c>
      <c r="BG34" s="20">
        <f t="shared" si="7"/>
        <v>208.00044644770739</v>
      </c>
      <c r="BH34" s="59">
        <f t="shared" si="8"/>
        <v>501.33377978104068</v>
      </c>
      <c r="BI34" s="59">
        <f ca="1">AVERAGE(OFFSET($BH$3,0,0,'Données projet'!$E$11+1,1))-AVERAGE(OFFSET($H$3,0,0,'Données projet'!$E$11+1,1))</f>
        <v>405.7176439604217</v>
      </c>
      <c r="BJ34" s="59">
        <f t="shared" si="38"/>
        <v>278.21741231699929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7.1651304084502652</v>
      </c>
      <c r="BQ34" s="21">
        <f>EXP(-LN(2)/25)*BQ33+(1-EXP(-LN(2)/25))/(LN(2)/25)*Calculateur!BL34*Calculateur!BN34*VLOOKUP('Données projet'!$B$11,Paramètres!$A$1:$I$89,3,0)*0.475*44/12</f>
        <v>9.1086861052800536</v>
      </c>
      <c r="BR34" s="21">
        <f>EXP(-LN(2)/2)*BR33+(1-EXP(-LN(2)/2))/(LN(2)/2)*BL34*BO34*VLOOKUP('Données projet'!$B$11,Paramètres!$A$1:$I$89,3,0)*0.475*44/12</f>
        <v>6.03503800021263</v>
      </c>
      <c r="BS34" s="22">
        <f t="shared" si="9"/>
        <v>22.308854513942947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128.79999999999998</v>
      </c>
      <c r="CU34" s="17">
        <f>CT34*VLOOKUP('Données projet'!$B$13,Paramètres!$A$1:$I$89,3,0)*VLOOKUP('Données projet'!$B$13,Paramètres!$A$1:$I$89,5,0)</f>
        <v>102.47327999999999</v>
      </c>
      <c r="CV34" s="13">
        <f t="shared" si="41"/>
        <v>27.550381949314474</v>
      </c>
      <c r="CW34" s="20">
        <f t="shared" si="13"/>
        <v>226.45787789505599</v>
      </c>
      <c r="CX34" s="59">
        <f t="shared" si="14"/>
        <v>519.79121122838933</v>
      </c>
      <c r="CY34" s="59">
        <f ca="1">AVERAGE(OFFSET($CX$3,0,0,'Données projet'!$E$13+1,1))-AVERAGE(OFFSET($H$3,0,0,'Données projet'!$E$13+1,1))</f>
        <v>299.10536994156814</v>
      </c>
      <c r="CZ34" s="59">
        <f t="shared" si="42"/>
        <v>292.57799203101769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8.2561435017108007</v>
      </c>
      <c r="DG34" s="21">
        <f>EXP(-LN(2)/25)*DG33+(1-EXP(-LN(2)/25))/(LN(2)/25)*Calculateur!DB34*Calculateur!DD34*VLOOKUP('Données projet'!$B$13,Paramètres!$A$1:$I$89,3,0)*0.475*44/12</f>
        <v>10.517077144756858</v>
      </c>
      <c r="DH34" s="21">
        <f>EXP(-LN(2)/2)*DH33+(1-EXP(-LN(2)/2))/(LN(2)/2)*DB34*DE34*VLOOKUP('Données projet'!$B$13,Paramètres!$A$1:$I$89,3,0)*0.475*44/12</f>
        <v>6.3446206496341739</v>
      </c>
      <c r="DI34" s="22">
        <f t="shared" si="15"/>
        <v>25.11784129610183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9.6</v>
      </c>
      <c r="DO34" s="12">
        <f>IF('Données projet'!$A$166&gt;35,DO33+DN34-DW33,IF(A34&lt;'Données projet'!$A$166,$DL$205^A34,IF(A34='Données projet'!$A$166,'Données projet'!$B$166,DO33+DN34-DW33)))</f>
        <v>169.6</v>
      </c>
      <c r="DP34" s="17">
        <f>DO34*VLOOKUP('Données projet'!$B$14,Paramètres!$A$1:$I$89,3,0)*VLOOKUP('Données projet'!$B$14,Paramètres!$A$1:$I$89,5,0)</f>
        <v>111.12192</v>
      </c>
      <c r="DQ34" s="13">
        <f t="shared" si="43"/>
        <v>29.595161360044589</v>
      </c>
      <c r="DR34" s="20">
        <f t="shared" si="16"/>
        <v>245.08225003541099</v>
      </c>
      <c r="DS34" s="59">
        <f t="shared" si="17"/>
        <v>538.41558336874436</v>
      </c>
      <c r="DT34" s="59">
        <f ca="1">AVERAGE(OFFSET($DS$3,0,0,'Données projet'!$E$14+1,1))-AVERAGE(OFFSET($H$3,0,0,'Données projet'!$E$14+1,1))</f>
        <v>295.92103934364718</v>
      </c>
      <c r="DU34" s="59">
        <f t="shared" si="44"/>
        <v>304.84379909635476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4.3728876800297041</v>
      </c>
      <c r="EB34" s="21">
        <f>EXP(-LN(2)/25)*EB33+(1-EXP(-LN(2)/25))/(LN(2)/25)*Calculateur!DW34*Calculateur!DY34*VLOOKUP('Données projet'!$B$14,Paramètres!$A$1:$I$89,3,0)*0.475*44/12</f>
        <v>6.9565752259531424</v>
      </c>
      <c r="EC34" s="21">
        <f>EXP(-LN(2)/2)*EC33+(1-EXP(-LN(2)/2))/(LN(2)/2)*DW34*DZ34*VLOOKUP('Données projet'!$B$14,Paramètres!$A$1:$I$89,3,0)*0.475*44/12</f>
        <v>4.0691976477842724</v>
      </c>
      <c r="ED34" s="22">
        <f t="shared" si="18"/>
        <v>15.398660553767119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11.666666666666666</v>
      </c>
      <c r="EJ34" s="12">
        <f>IF('Données projet'!$A$192&gt;35,EJ33+EI34-ER33,IF(A34&lt;'Données projet'!$A$192,$EG$205^A34,IF(A34='Données projet'!$A$192,'Données projet'!$B$192,EJ33+EI34-ER33)))</f>
        <v>157.99999999999997</v>
      </c>
      <c r="EK34" s="17">
        <f>EJ34*VLOOKUP('Données projet'!$B$15,Paramètres!$A$1:$I$89,3,0)*VLOOKUP('Données projet'!$B$15,Paramètres!$A$1:$I$89,5,0)</f>
        <v>94.483999999999995</v>
      </c>
      <c r="EL34" s="13">
        <f t="shared" si="45"/>
        <v>25.643578691511802</v>
      </c>
      <c r="EM34" s="20">
        <f t="shared" si="19"/>
        <v>209.22219955438302</v>
      </c>
      <c r="EN34" s="59">
        <f t="shared" si="20"/>
        <v>502.55553288771637</v>
      </c>
      <c r="EO34" s="59">
        <f ca="1">AVERAGE(OFFSET($EN$3,0,0,'Données projet'!$E$15+1,1))-AVERAGE(OFFSET($H$3,0,0,'Données projet'!$E$15+1,1))</f>
        <v>207.2913533618397</v>
      </c>
      <c r="EP34" s="59">
        <f t="shared" si="46"/>
        <v>230.81096055024483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6.7867234600060611</v>
      </c>
      <c r="EW34" s="21">
        <f>EXP(-LN(2)/25)*EW33+(1-EXP(-LN(2)/25))/(LN(2)/25)*Calculateur!ER34*Calculateur!ET34*VLOOKUP('Données projet'!$B$15,Paramètres!$A$1:$I$89,3,0)*0.475*44/12</f>
        <v>5.8662489977348846</v>
      </c>
      <c r="EX34" s="21">
        <f>EXP(-LN(2)/2)*EX33+(1-EXP(-LN(2)/2))/(LN(2)/2)*ER34*EU34*VLOOKUP('Données projet'!$B$15,Paramètres!$A$1:$I$89,3,0)*0.475*44/12</f>
        <v>2.0856168207142876</v>
      </c>
      <c r="EY34" s="22">
        <f t="shared" si="21"/>
        <v>14.738589278455233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</v>
      </c>
      <c r="N35" s="13">
        <f>IF('Données projet'!$A$36&gt;35,N34+M35-V34,IF(A35&lt;'Données projet'!$A$36,$K$205^A35,IF(A35='Données projet'!$A$36,'Données projet'!$B$36,N34+M35-V34)))</f>
        <v>163.49999999999989</v>
      </c>
      <c r="O35" s="13">
        <f>N35*VLOOKUP('Données projet'!$B$9,Paramètres!$A$1:$I$89,3,0)*VLOOKUP('Données projet'!$B$9,Paramètres!$A$1:$I$89,5,0)</f>
        <v>76.517999999999944</v>
      </c>
      <c r="P35" s="13">
        <f t="shared" si="33"/>
        <v>21.283624623620089</v>
      </c>
      <c r="Q35" s="20">
        <f t="shared" ref="Q35:Q66" si="53">(O35+P35)*0.475*44/12</f>
        <v>170.33782955280489</v>
      </c>
      <c r="R35" s="59">
        <f t="shared" si="0"/>
        <v>463.67116288613818</v>
      </c>
      <c r="S35" s="59">
        <f ca="1">AVERAGE(OFFSET($R$3,0,0,'Données projet'!$E$9+1,1))-AVERAGE(OFFSET($H$3,0,0,'Données projet'!$E$9+1,1))</f>
        <v>319.22903094674564</v>
      </c>
      <c r="T35" s="59">
        <f t="shared" si="34"/>
        <v>254.58690973142848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8.7237009738109013</v>
      </c>
      <c r="AA35" s="21">
        <f>EXP(-LN(2)/25)*AA34+(1-EXP(-LN(2)/25))/(LN(2)/25)*Calculateur!V35*Calculateur!X35*VLOOKUP('Données projet'!$B$9,Paramètres!$A$1:$I$89,3,0)*0.475*44/12</f>
        <v>10.54979176208524</v>
      </c>
      <c r="AB35" s="21">
        <f>EXP(-LN(2)/2)*AB34+(1-EXP(-LN(2)/2))/(LN(2)/2)*V35*Y35*VLOOKUP('Données projet'!$B$9,Paramètres!$A$1:$I$89,3,0)*0.475*44/12</f>
        <v>5.5215643217991754</v>
      </c>
      <c r="AC35" s="22">
        <f t="shared" si="3"/>
        <v>24.795057057695317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28.4</v>
      </c>
      <c r="AI35" s="13">
        <f>IF('Données projet'!$A$62&gt;35,AI34+AH35-AQ34,IF(A35&lt;'Données projet'!$A$62,$AF$205^A35,IF(A35='Données projet'!$A$62,'Données projet'!$B$62,AI34+AH35-AQ34)))</f>
        <v>490.79999999999995</v>
      </c>
      <c r="AJ35" s="13">
        <f>AI35*VLOOKUP('Données projet'!$B$10,Paramètres!$A$1:$I$89,3,0)*VLOOKUP('Données projet'!$B$10,Paramètres!$A$1:$I$89,5,0)</f>
        <v>274.35719999999998</v>
      </c>
      <c r="AK35" s="13">
        <f t="shared" si="35"/>
        <v>65.773113764972635</v>
      </c>
      <c r="AL35" s="20">
        <f t="shared" si="4"/>
        <v>592.39362980732722</v>
      </c>
      <c r="AM35" s="59">
        <f t="shared" si="5"/>
        <v>885.72696314066047</v>
      </c>
      <c r="AN35" s="59">
        <f ca="1">AVERAGE(OFFSET($AM$3,0,0,'Données projet'!$E$10+1,1))-AVERAGE(OFFSET($H$3,0,0,'Données projet'!$E$10+1,1))</f>
        <v>544.48194192356823</v>
      </c>
      <c r="AO35" s="59">
        <f t="shared" si="36"/>
        <v>668.20427590250733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7.0562448919940861</v>
      </c>
      <c r="AV35" s="21">
        <f>EXP(-LN(2)/25)*AV34+(1-EXP(-LN(2)/25))/(LN(2)/25)*Calculateur!AQ35*Calculateur!AS35*VLOOKUP('Données projet'!$B$10,Paramètres!$A$1:$I$89,3,0)*0.475*44/12</f>
        <v>40.313619966148828</v>
      </c>
      <c r="AW35" s="21">
        <f>EXP(-LN(2)/2)*AW34+(1-EXP(-LN(2)/2))/(LN(2)/2)*AQ35*AT35*VLOOKUP('Données projet'!$B$10,Paramètres!$A$1:$I$89,3,0)*0.475*44/12</f>
        <v>7.208978882368819</v>
      </c>
      <c r="AX35" s="21">
        <f t="shared" si="6"/>
        <v>54.578843740511729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114.60000000000004</v>
      </c>
      <c r="BE35" s="13">
        <f>BD35*VLOOKUP('Données projet'!$B$11,Paramètres!$A$1:$I$89,3,0)*VLOOKUP('Données projet'!$B$11,Paramètres!$A$1:$I$89,5,0)</f>
        <v>103.69008000000004</v>
      </c>
      <c r="BF35" s="13">
        <f t="shared" si="37"/>
        <v>27.83924565319537</v>
      </c>
      <c r="BG35" s="20">
        <f t="shared" si="7"/>
        <v>229.08024217931529</v>
      </c>
      <c r="BH35" s="59">
        <f t="shared" si="8"/>
        <v>522.41357551264855</v>
      </c>
      <c r="BI35" s="59">
        <f ca="1">AVERAGE(OFFSET($BH$3,0,0,'Données projet'!$E$11+1,1))-AVERAGE(OFFSET($H$3,0,0,'Données projet'!$E$11+1,1))</f>
        <v>405.7176439604217</v>
      </c>
      <c r="BJ35" s="59">
        <f t="shared" si="38"/>
        <v>278.21741231699929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7.0246265714385734</v>
      </c>
      <c r="BQ35" s="21">
        <f>EXP(-LN(2)/25)*BQ34+(1-EXP(-LN(2)/25))/(LN(2)/25)*Calculateur!BL35*Calculateur!BN35*VLOOKUP('Données projet'!$B$11,Paramètres!$A$1:$I$89,3,0)*0.475*44/12</f>
        <v>8.8596086047261871</v>
      </c>
      <c r="BR35" s="21">
        <f>EXP(-LN(2)/2)*BR34+(1-EXP(-LN(2)/2))/(LN(2)/2)*BL35*BO35*VLOOKUP('Données projet'!$B$11,Paramètres!$A$1:$I$89,3,0)*0.475*44/12</f>
        <v>4.2674162946688519</v>
      </c>
      <c r="BS35" s="22">
        <f t="shared" si="9"/>
        <v>20.151651470833613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139.6</v>
      </c>
      <c r="CU35" s="17">
        <f>CT35*VLOOKUP('Données projet'!$B$13,Paramètres!$A$1:$I$89,3,0)*VLOOKUP('Données projet'!$B$13,Paramètres!$A$1:$I$89,5,0)</f>
        <v>111.06576</v>
      </c>
      <c r="CV35" s="13">
        <f t="shared" si="41"/>
        <v>29.581944857062648</v>
      </c>
      <c r="CW35" s="20">
        <f t="shared" si="13"/>
        <v>244.96141929271744</v>
      </c>
      <c r="CX35" s="59">
        <f t="shared" si="14"/>
        <v>538.29475262605069</v>
      </c>
      <c r="CY35" s="59">
        <f ca="1">AVERAGE(OFFSET($CX$3,0,0,'Données projet'!$E$13+1,1))-AVERAGE(OFFSET($H$3,0,0,'Données projet'!$E$13+1,1))</f>
        <v>299.10536994156814</v>
      </c>
      <c r="CZ35" s="59">
        <f t="shared" si="42"/>
        <v>292.57799203101769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8.0942455633925494</v>
      </c>
      <c r="DG35" s="21">
        <f>EXP(-LN(2)/25)*DG34+(1-EXP(-LN(2)/25))/(LN(2)/25)*Calculateur!DB35*Calculateur!DD35*VLOOKUP('Données projet'!$B$13,Paramètres!$A$1:$I$89,3,0)*0.475*44/12</f>
        <v>10.229487117164432</v>
      </c>
      <c r="DH35" s="21">
        <f>EXP(-LN(2)/2)*DH34+(1-EXP(-LN(2)/2))/(LN(2)/2)*DB35*DE35*VLOOKUP('Données projet'!$B$13,Paramètres!$A$1:$I$89,3,0)*0.475*44/12</f>
        <v>4.4863242854125227</v>
      </c>
      <c r="DI35" s="22">
        <f t="shared" si="15"/>
        <v>22.810056965969501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9.6</v>
      </c>
      <c r="DO35" s="12">
        <f>IF('Données projet'!$A$166&gt;35,DO34+DN35-DW34,IF(A35&lt;'Données projet'!$A$166,$DL$205^A35,IF(A35='Données projet'!$A$166,'Données projet'!$B$166,DO34+DN35-DW34)))</f>
        <v>179.2</v>
      </c>
      <c r="DP35" s="17">
        <f>DO35*VLOOKUP('Données projet'!$B$14,Paramètres!$A$1:$I$89,3,0)*VLOOKUP('Données projet'!$B$14,Paramètres!$A$1:$I$89,5,0)</f>
        <v>117.41184</v>
      </c>
      <c r="DQ35" s="13">
        <f t="shared" si="43"/>
        <v>31.070589593507073</v>
      </c>
      <c r="DR35" s="20">
        <f t="shared" si="16"/>
        <v>258.60689820869146</v>
      </c>
      <c r="DS35" s="59">
        <f t="shared" si="17"/>
        <v>551.94023154202478</v>
      </c>
      <c r="DT35" s="59">
        <f ca="1">AVERAGE(OFFSET($DS$3,0,0,'Données projet'!$E$14+1,1))-AVERAGE(OFFSET($H$3,0,0,'Données projet'!$E$14+1,1))</f>
        <v>295.92103934364718</v>
      </c>
      <c r="DU35" s="59">
        <f t="shared" si="44"/>
        <v>304.84379909635476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4.287138019822442</v>
      </c>
      <c r="EB35" s="21">
        <f>EXP(-LN(2)/25)*EB34+(1-EXP(-LN(2)/25))/(LN(2)/25)*Calculateur!DW35*Calculateur!DY35*VLOOKUP('Données projet'!$B$14,Paramètres!$A$1:$I$89,3,0)*0.475*44/12</f>
        <v>6.7663473105690617</v>
      </c>
      <c r="EC35" s="21">
        <f>EXP(-LN(2)/2)*EC34+(1-EXP(-LN(2)/2))/(LN(2)/2)*DW35*DZ35*VLOOKUP('Données projet'!$B$14,Paramètres!$A$1:$I$89,3,0)*0.475*44/12</f>
        <v>2.8773572507366074</v>
      </c>
      <c r="ED35" s="22">
        <f t="shared" si="18"/>
        <v>13.930842581128111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11.666666666666666</v>
      </c>
      <c r="EJ35" s="12">
        <f>IF('Données projet'!$A$192&gt;35,EJ34+EI35-ER34,IF(A35&lt;'Données projet'!$A$192,$EG$205^A35,IF(A35='Données projet'!$A$192,'Données projet'!$B$192,EJ34+EI35-ER34)))</f>
        <v>169.66666666666663</v>
      </c>
      <c r="EK35" s="17">
        <f>EJ35*VLOOKUP('Données projet'!$B$15,Paramètres!$A$1:$I$89,3,0)*VLOOKUP('Données projet'!$B$15,Paramètres!$A$1:$I$89,5,0)</f>
        <v>101.46066666666665</v>
      </c>
      <c r="EL35" s="13">
        <f t="shared" si="45"/>
        <v>27.309687011536219</v>
      </c>
      <c r="EM35" s="20">
        <f t="shared" si="19"/>
        <v>224.27503265620331</v>
      </c>
      <c r="EN35" s="59">
        <f t="shared" si="20"/>
        <v>517.60836598953665</v>
      </c>
      <c r="EO35" s="59">
        <f ca="1">AVERAGE(OFFSET($EN$3,0,0,'Données projet'!$E$15+1,1))-AVERAGE(OFFSET($H$3,0,0,'Données projet'!$E$15+1,1))</f>
        <v>207.2913533618397</v>
      </c>
      <c r="EP35" s="59">
        <f t="shared" si="46"/>
        <v>230.81096055024483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6.6536399524479117</v>
      </c>
      <c r="EW35" s="21">
        <f>EXP(-LN(2)/25)*EW34+(1-EXP(-LN(2)/25))/(LN(2)/25)*Calculateur!ER35*Calculateur!ET35*VLOOKUP('Données projet'!$B$15,Paramètres!$A$1:$I$89,3,0)*0.475*44/12</f>
        <v>5.705836110399197</v>
      </c>
      <c r="EX35" s="21">
        <f>EXP(-LN(2)/2)*EX34+(1-EXP(-LN(2)/2))/(LN(2)/2)*ER35*EU35*VLOOKUP('Données projet'!$B$15,Paramètres!$A$1:$I$89,3,0)*0.475*44/12</f>
        <v>1.4747537968838007</v>
      </c>
      <c r="EY35" s="22">
        <f t="shared" si="21"/>
        <v>13.834229859730909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</v>
      </c>
      <c r="N36" s="13">
        <f>IF('Données projet'!$A$36&gt;35,N35+M36-V35,IF(A36&lt;'Données projet'!$A$36,$K$205^A36,IF(A36='Données projet'!$A$36,'Données projet'!$B$36,N35+M36-V35)))</f>
        <v>173.49999999999989</v>
      </c>
      <c r="O36" s="13">
        <f>N36*VLOOKUP('Données projet'!$B$9,Paramètres!$A$1:$I$89,3,0)*VLOOKUP('Données projet'!$B$9,Paramètres!$A$1:$I$89,5,0)</f>
        <v>81.197999999999951</v>
      </c>
      <c r="P36" s="13">
        <f t="shared" si="33"/>
        <v>22.429847477648512</v>
      </c>
      <c r="Q36" s="20">
        <f t="shared" si="53"/>
        <v>180.48516769023772</v>
      </c>
      <c r="R36" s="59">
        <f t="shared" si="0"/>
        <v>473.818501023571</v>
      </c>
      <c r="S36" s="59">
        <f ca="1">AVERAGE(OFFSET($R$3,0,0,'Données projet'!$E$9+1,1))-AVERAGE(OFFSET($H$3,0,0,'Données projet'!$E$9+1,1))</f>
        <v>319.22903094674564</v>
      </c>
      <c r="T36" s="59">
        <f t="shared" si="34"/>
        <v>254.58690973142848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8.5526345186466646</v>
      </c>
      <c r="AA36" s="21">
        <f>EXP(-LN(2)/25)*AA35+(1-EXP(-LN(2)/25))/(LN(2)/25)*Calculateur!V36*Calculateur!X36*VLOOKUP('Données projet'!$B$9,Paramètres!$A$1:$I$89,3,0)*0.475*44/12</f>
        <v>10.261307151561583</v>
      </c>
      <c r="AB36" s="21">
        <f>EXP(-LN(2)/2)*AB35+(1-EXP(-LN(2)/2))/(LN(2)/2)*V36*Y36*VLOOKUP('Données projet'!$B$9,Paramètres!$A$1:$I$89,3,0)*0.475*44/12</f>
        <v>3.9043355747018973</v>
      </c>
      <c r="AC36" s="22">
        <f t="shared" si="3"/>
        <v>22.718277244910144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28.4</v>
      </c>
      <c r="AI36" s="13">
        <f>IF('Données projet'!$A$62&gt;35,AI35+AH36-AQ35,IF(A36&lt;'Données projet'!$A$62,$AF$205^A36,IF(A36='Données projet'!$A$62,'Données projet'!$B$62,AI35+AH36-AQ35)))</f>
        <v>519.19999999999993</v>
      </c>
      <c r="AJ36" s="13">
        <f>AI36*VLOOKUP('Données projet'!$B$10,Paramètres!$A$1:$I$89,3,0)*VLOOKUP('Données projet'!$B$10,Paramètres!$A$1:$I$89,5,0)</f>
        <v>290.2328</v>
      </c>
      <c r="AK36" s="13">
        <f t="shared" si="35"/>
        <v>69.124955529636495</v>
      </c>
      <c r="AL36" s="20">
        <f t="shared" si="4"/>
        <v>625.88142421411692</v>
      </c>
      <c r="AM36" s="59">
        <f t="shared" si="5"/>
        <v>919.21475754745029</v>
      </c>
      <c r="AN36" s="59">
        <f ca="1">AVERAGE(OFFSET($AM$3,0,0,'Données projet'!$E$10+1,1))-AVERAGE(OFFSET($H$3,0,0,'Données projet'!$E$10+1,1))</f>
        <v>544.48194192356823</v>
      </c>
      <c r="AO36" s="59">
        <f t="shared" si="36"/>
        <v>668.20427590250733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6.9178762335464929</v>
      </c>
      <c r="AV36" s="21">
        <f>EXP(-LN(2)/25)*AV35+(1-EXP(-LN(2)/25))/(LN(2)/25)*Calculateur!AQ36*Calculateur!AS36*VLOOKUP('Données projet'!$B$10,Paramètres!$A$1:$I$89,3,0)*0.475*44/12</f>
        <v>39.211241908173349</v>
      </c>
      <c r="AW36" s="21">
        <f>EXP(-LN(2)/2)*AW35+(1-EXP(-LN(2)/2))/(LN(2)/2)*AQ36*AT36*VLOOKUP('Données projet'!$B$10,Paramètres!$A$1:$I$89,3,0)*0.475*44/12</f>
        <v>5.0975178531536107</v>
      </c>
      <c r="AX36" s="21">
        <f t="shared" si="6"/>
        <v>51.226635994873455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125.40000000000003</v>
      </c>
      <c r="BE36" s="13">
        <f>BD36*VLOOKUP('Données projet'!$B$11,Paramètres!$A$1:$I$89,3,0)*VLOOKUP('Données projet'!$B$11,Paramètres!$A$1:$I$89,5,0)</f>
        <v>113.46192000000002</v>
      </c>
      <c r="BF36" s="13">
        <f t="shared" si="37"/>
        <v>30.145163126535493</v>
      </c>
      <c r="BG36" s="20">
        <f t="shared" si="7"/>
        <v>250.11566977871598</v>
      </c>
      <c r="BH36" s="59">
        <f t="shared" si="8"/>
        <v>543.44900311204924</v>
      </c>
      <c r="BI36" s="59">
        <f ca="1">AVERAGE(OFFSET($BH$3,0,0,'Données projet'!$E$11+1,1))-AVERAGE(OFFSET($H$3,0,0,'Données projet'!$E$11+1,1))</f>
        <v>405.7176439604217</v>
      </c>
      <c r="BJ36" s="59">
        <f t="shared" si="38"/>
        <v>278.21741231699929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6.8868779289718027</v>
      </c>
      <c r="BQ36" s="21">
        <f>EXP(-LN(2)/25)*BQ35+(1-EXP(-LN(2)/25))/(LN(2)/25)*Calculateur!BL36*Calculateur!BN36*VLOOKUP('Données projet'!$B$11,Paramètres!$A$1:$I$89,3,0)*0.475*44/12</f>
        <v>8.6173421415233822</v>
      </c>
      <c r="BR36" s="21">
        <f>EXP(-LN(2)/2)*BR35+(1-EXP(-LN(2)/2))/(LN(2)/2)*BL36*BO36*VLOOKUP('Données projet'!$B$11,Paramètres!$A$1:$I$89,3,0)*0.475*44/12</f>
        <v>3.0175190001063155</v>
      </c>
      <c r="BS36" s="22">
        <f t="shared" si="9"/>
        <v>18.521739070601502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150.4</v>
      </c>
      <c r="CU36" s="17">
        <f>CT36*VLOOKUP('Données projet'!$B$13,Paramètres!$A$1:$I$89,3,0)*VLOOKUP('Données projet'!$B$13,Paramètres!$A$1:$I$89,5,0)</f>
        <v>119.65824000000002</v>
      </c>
      <c r="CV36" s="13">
        <f t="shared" si="41"/>
        <v>31.595276160231336</v>
      </c>
      <c r="CW36" s="20">
        <f t="shared" si="13"/>
        <v>263.43320731240294</v>
      </c>
      <c r="CX36" s="59">
        <f t="shared" si="14"/>
        <v>556.76654064573631</v>
      </c>
      <c r="CY36" s="59">
        <f ca="1">AVERAGE(OFFSET($CX$3,0,0,'Données projet'!$E$13+1,1))-AVERAGE(OFFSET($H$3,0,0,'Données projet'!$E$13+1,1))</f>
        <v>299.10536994156814</v>
      </c>
      <c r="CZ36" s="59">
        <f t="shared" si="42"/>
        <v>292.57799203101769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7.9355223448967269</v>
      </c>
      <c r="DG36" s="21">
        <f>EXP(-LN(2)/25)*DG35+(1-EXP(-LN(2)/25))/(LN(2)/25)*Calculateur!DB36*Calculateur!DD36*VLOOKUP('Données projet'!$B$13,Paramètres!$A$1:$I$89,3,0)*0.475*44/12</f>
        <v>9.9497612540002223</v>
      </c>
      <c r="DH36" s="21">
        <f>EXP(-LN(2)/2)*DH35+(1-EXP(-LN(2)/2))/(LN(2)/2)*DB36*DE36*VLOOKUP('Données projet'!$B$13,Paramètres!$A$1:$I$89,3,0)*0.475*44/12</f>
        <v>3.172310324817087</v>
      </c>
      <c r="DI36" s="22">
        <f t="shared" si="15"/>
        <v>21.057593923714034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9.6</v>
      </c>
      <c r="DO36" s="12">
        <f>IF('Données projet'!$A$166&gt;35,DO35+DN36-DW35,IF(A36&lt;'Données projet'!$A$166,$DL$205^A36,IF(A36='Données projet'!$A$166,'Données projet'!$B$166,DO35+DN36-DW35)))</f>
        <v>188.79999999999998</v>
      </c>
      <c r="DP36" s="17">
        <f>DO36*VLOOKUP('Données projet'!$B$14,Paramètres!$A$1:$I$89,3,0)*VLOOKUP('Données projet'!$B$14,Paramètres!$A$1:$I$89,5,0)</f>
        <v>123.70175999999999</v>
      </c>
      <c r="DQ36" s="13">
        <f t="shared" si="43"/>
        <v>32.536841470486884</v>
      </c>
      <c r="DR36" s="20">
        <f t="shared" si="16"/>
        <v>272.11556422776465</v>
      </c>
      <c r="DS36" s="59">
        <f t="shared" si="17"/>
        <v>565.44889756109797</v>
      </c>
      <c r="DT36" s="59">
        <f ca="1">AVERAGE(OFFSET($DS$3,0,0,'Données projet'!$E$14+1,1))-AVERAGE(OFFSET($H$3,0,0,'Données projet'!$E$14+1,1))</f>
        <v>295.92103934364718</v>
      </c>
      <c r="DU36" s="59">
        <f t="shared" si="44"/>
        <v>304.84379909635476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4.2030698581497168</v>
      </c>
      <c r="EB36" s="21">
        <f>EXP(-LN(2)/25)*EB35+(1-EXP(-LN(2)/25))/(LN(2)/25)*Calculateur!DW36*Calculateur!DY36*VLOOKUP('Données projet'!$B$14,Paramètres!$A$1:$I$89,3,0)*0.475*44/12</f>
        <v>6.5813211875348108</v>
      </c>
      <c r="EC36" s="21">
        <f>EXP(-LN(2)/2)*EC35+(1-EXP(-LN(2)/2))/(LN(2)/2)*DW36*DZ36*VLOOKUP('Données projet'!$B$14,Paramètres!$A$1:$I$89,3,0)*0.475*44/12</f>
        <v>2.0345988238921362</v>
      </c>
      <c r="ED36" s="22">
        <f t="shared" si="18"/>
        <v>12.818989869576663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11.666666666666666</v>
      </c>
      <c r="EJ36" s="12">
        <f>IF('Données projet'!$A$192&gt;35,EJ35+EI36-ER35,IF(A36&lt;'Données projet'!$A$192,$EG$205^A36,IF(A36='Données projet'!$A$192,'Données projet'!$B$192,EJ35+EI36-ER35)))</f>
        <v>181.33333333333329</v>
      </c>
      <c r="EK36" s="17">
        <f>EJ36*VLOOKUP('Données projet'!$B$15,Paramètres!$A$1:$I$89,3,0)*VLOOKUP('Données projet'!$B$15,Paramètres!$A$1:$I$89,5,0)</f>
        <v>108.43733333333331</v>
      </c>
      <c r="EL36" s="13">
        <f t="shared" si="45"/>
        <v>28.962502090468035</v>
      </c>
      <c r="EM36" s="20">
        <f t="shared" si="19"/>
        <v>239.30471336312061</v>
      </c>
      <c r="EN36" s="59">
        <f t="shared" si="20"/>
        <v>532.6380466964539</v>
      </c>
      <c r="EO36" s="59">
        <f ca="1">AVERAGE(OFFSET($EN$3,0,0,'Données projet'!$E$15+1,1))-AVERAGE(OFFSET($H$3,0,0,'Données projet'!$E$15+1,1))</f>
        <v>207.2913533618397</v>
      </c>
      <c r="EP36" s="59">
        <f t="shared" si="46"/>
        <v>230.81096055024483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6.5231661313000533</v>
      </c>
      <c r="EW36" s="21">
        <f>EXP(-LN(2)/25)*EW35+(1-EXP(-LN(2)/25))/(LN(2)/25)*Calculateur!ER36*Calculateur!ET36*VLOOKUP('Données projet'!$B$15,Paramètres!$A$1:$I$89,3,0)*0.475*44/12</f>
        <v>5.5498097219034506</v>
      </c>
      <c r="EX36" s="21">
        <f>EXP(-LN(2)/2)*EX35+(1-EXP(-LN(2)/2))/(LN(2)/2)*ER36*EU36*VLOOKUP('Données projet'!$B$15,Paramètres!$A$1:$I$89,3,0)*0.475*44/12</f>
        <v>1.0428084103571438</v>
      </c>
      <c r="EY36" s="22">
        <f t="shared" si="21"/>
        <v>13.115784263560649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</v>
      </c>
      <c r="N37" s="13">
        <f>IF('Données projet'!$A$36&gt;35,N36+M37-V36,IF(A37&lt;'Données projet'!$A$36,$K$205^A37,IF(A37='Données projet'!$A$36,'Données projet'!$B$36,N36+M37-V36)))</f>
        <v>183.49999999999989</v>
      </c>
      <c r="O37" s="13">
        <f>N37*VLOOKUP('Données projet'!$B$9,Paramètres!$A$1:$I$89,3,0)*VLOOKUP('Données projet'!$B$9,Paramètres!$A$1:$I$89,5,0)</f>
        <v>85.877999999999957</v>
      </c>
      <c r="P37" s="13">
        <f t="shared" si="33"/>
        <v>23.56840165498652</v>
      </c>
      <c r="Q37" s="20">
        <f t="shared" si="53"/>
        <v>190.61914954910142</v>
      </c>
      <c r="R37" s="59">
        <f t="shared" si="0"/>
        <v>483.95248288243477</v>
      </c>
      <c r="S37" s="59">
        <f ca="1">AVERAGE(OFFSET($R$3,0,0,'Données projet'!$E$9+1,1))-AVERAGE(OFFSET($H$3,0,0,'Données projet'!$E$9+1,1))</f>
        <v>319.22903094674564</v>
      </c>
      <c r="T37" s="59">
        <f t="shared" si="34"/>
        <v>254.58690973142848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8.3849225723279641</v>
      </c>
      <c r="AA37" s="21">
        <f>EXP(-LN(2)/25)*AA36+(1-EXP(-LN(2)/25))/(LN(2)/25)*Calculateur!V37*Calculateur!X37*VLOOKUP('Données projet'!$B$9,Paramètres!$A$1:$I$89,3,0)*0.475*44/12</f>
        <v>9.9807111678834417</v>
      </c>
      <c r="AB37" s="21">
        <f>EXP(-LN(2)/2)*AB36+(1-EXP(-LN(2)/2))/(LN(2)/2)*V37*Y37*VLOOKUP('Données projet'!$B$9,Paramètres!$A$1:$I$89,3,0)*0.475*44/12</f>
        <v>2.7607821608995882</v>
      </c>
      <c r="AC37" s="22">
        <f t="shared" si="3"/>
        <v>21.126415901110995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28.4</v>
      </c>
      <c r="AI37" s="13">
        <f>IF('Données projet'!$A$62&gt;35,AI36+AH37-AQ36,IF(A37&lt;'Données projet'!$A$62,$AF$205^A37,IF(A37='Données projet'!$A$62,'Données projet'!$B$62,AI36+AH37-AQ36)))</f>
        <v>547.59999999999991</v>
      </c>
      <c r="AJ37" s="13">
        <f>AI37*VLOOKUP('Données projet'!$B$10,Paramètres!$A$1:$I$89,3,0)*VLOOKUP('Données projet'!$B$10,Paramètres!$A$1:$I$89,5,0)</f>
        <v>306.10839999999996</v>
      </c>
      <c r="AK37" s="13">
        <f t="shared" si="35"/>
        <v>72.455512621968097</v>
      </c>
      <c r="AL37" s="20">
        <f t="shared" si="4"/>
        <v>659.33214781659433</v>
      </c>
      <c r="AM37" s="59">
        <f t="shared" si="5"/>
        <v>952.6654811499277</v>
      </c>
      <c r="AN37" s="59">
        <f ca="1">AVERAGE(OFFSET($AM$3,0,0,'Données projet'!$E$10+1,1))-AVERAGE(OFFSET($H$3,0,0,'Données projet'!$E$10+1,1))</f>
        <v>544.48194192356823</v>
      </c>
      <c r="AO37" s="59">
        <f t="shared" si="36"/>
        <v>668.20427590250733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6.7822209000945088</v>
      </c>
      <c r="AV37" s="21">
        <f>EXP(-LN(2)/25)*AV36+(1-EXP(-LN(2)/25))/(LN(2)/25)*Calculateur!AQ37*Calculateur!AS37*VLOOKUP('Données projet'!$B$10,Paramètres!$A$1:$I$89,3,0)*0.475*44/12</f>
        <v>38.139008436164758</v>
      </c>
      <c r="AW37" s="21">
        <f>EXP(-LN(2)/2)*AW36+(1-EXP(-LN(2)/2))/(LN(2)/2)*AQ37*AT37*VLOOKUP('Données projet'!$B$10,Paramètres!$A$1:$I$89,3,0)*0.475*44/12</f>
        <v>3.6044894411844099</v>
      </c>
      <c r="AX37" s="21">
        <f t="shared" si="6"/>
        <v>48.525718777443679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136.20000000000005</v>
      </c>
      <c r="BE37" s="13">
        <f>BD37*VLOOKUP('Données projet'!$B$11,Paramètres!$A$1:$I$89,3,0)*VLOOKUP('Données projet'!$B$11,Paramètres!$A$1:$I$89,5,0)</f>
        <v>123.23376000000005</v>
      </c>
      <c r="BF37" s="13">
        <f t="shared" si="37"/>
        <v>32.428049504876491</v>
      </c>
      <c r="BG37" s="20">
        <f t="shared" si="7"/>
        <v>271.11098488765998</v>
      </c>
      <c r="BH37" s="59">
        <f t="shared" si="8"/>
        <v>564.4443182209933</v>
      </c>
      <c r="BI37" s="59">
        <f ca="1">AVERAGE(OFFSET($BH$3,0,0,'Données projet'!$E$11+1,1))-AVERAGE(OFFSET($H$3,0,0,'Données projet'!$E$11+1,1))</f>
        <v>405.7176439604217</v>
      </c>
      <c r="BJ37" s="59">
        <f t="shared" si="38"/>
        <v>278.21741231699929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6.7518304533654296</v>
      </c>
      <c r="BQ37" s="21">
        <f>EXP(-LN(2)/25)*BQ36+(1-EXP(-LN(2)/25))/(LN(2)/25)*Calculateur!BL37*Calculateur!BN37*VLOOKUP('Données projet'!$B$11,Paramètres!$A$1:$I$89,3,0)*0.475*44/12</f>
        <v>8.3817004674970974</v>
      </c>
      <c r="BR37" s="21">
        <f>EXP(-LN(2)/2)*BR36+(1-EXP(-LN(2)/2))/(LN(2)/2)*BL37*BO37*VLOOKUP('Données projet'!$B$11,Paramètres!$A$1:$I$89,3,0)*0.475*44/12</f>
        <v>2.1337081473344264</v>
      </c>
      <c r="BS37" s="22">
        <f t="shared" si="9"/>
        <v>17.267239068196954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161.20000000000002</v>
      </c>
      <c r="CU37" s="17">
        <f>CT37*VLOOKUP('Données projet'!$B$13,Paramètres!$A$1:$I$89,3,0)*VLOOKUP('Données projet'!$B$13,Paramètres!$A$1:$I$89,5,0)</f>
        <v>128.25072</v>
      </c>
      <c r="CV37" s="13">
        <f t="shared" si="41"/>
        <v>33.591833937449593</v>
      </c>
      <c r="CW37" s="20">
        <f t="shared" si="13"/>
        <v>281.875781441058</v>
      </c>
      <c r="CX37" s="59">
        <f t="shared" si="14"/>
        <v>575.20911477439131</v>
      </c>
      <c r="CY37" s="59">
        <f ca="1">AVERAGE(OFFSET($CX$3,0,0,'Données projet'!$E$13+1,1))-AVERAGE(OFFSET($H$3,0,0,'Données projet'!$E$13+1,1))</f>
        <v>299.10536994156814</v>
      </c>
      <c r="CZ37" s="59">
        <f t="shared" si="42"/>
        <v>292.57799203101769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7.7799115919040034</v>
      </c>
      <c r="DG37" s="21">
        <f>EXP(-LN(2)/25)*DG36+(1-EXP(-LN(2)/25))/(LN(2)/25)*Calculateur!DB37*Calculateur!DD37*VLOOKUP('Données projet'!$B$13,Paramètres!$A$1:$I$89,3,0)*0.475*44/12</f>
        <v>9.677684509274382</v>
      </c>
      <c r="DH37" s="21">
        <f>EXP(-LN(2)/2)*DH36+(1-EXP(-LN(2)/2))/(LN(2)/2)*DB37*DE37*VLOOKUP('Données projet'!$B$13,Paramètres!$A$1:$I$89,3,0)*0.475*44/12</f>
        <v>2.2431621427062614</v>
      </c>
      <c r="DI37" s="22">
        <f t="shared" si="15"/>
        <v>19.700758243884646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9.6</v>
      </c>
      <c r="DO37" s="12">
        <f>IF('Données projet'!$A$166&gt;35,DO36+DN37-DW36,IF(A37&lt;'Données projet'!$A$166,$DL$205^A37,IF(A37='Données projet'!$A$166,'Données projet'!$B$166,DO36+DN37-DW36)))</f>
        <v>198.39999999999998</v>
      </c>
      <c r="DP37" s="17">
        <f>DO37*VLOOKUP('Données projet'!$B$14,Paramètres!$A$1:$I$89,3,0)*VLOOKUP('Données projet'!$B$14,Paramètres!$A$1:$I$89,5,0)</f>
        <v>129.99167999999997</v>
      </c>
      <c r="DQ37" s="13">
        <f t="shared" si="43"/>
        <v>33.994436817469854</v>
      </c>
      <c r="DR37" s="20">
        <f t="shared" si="16"/>
        <v>285.60915345709321</v>
      </c>
      <c r="DS37" s="59">
        <f t="shared" si="17"/>
        <v>578.94248679042653</v>
      </c>
      <c r="DT37" s="59">
        <f ca="1">AVERAGE(OFFSET($DS$3,0,0,'Données projet'!$E$14+1,1))-AVERAGE(OFFSET($H$3,0,0,'Données projet'!$E$14+1,1))</f>
        <v>295.92103934364718</v>
      </c>
      <c r="DU37" s="59">
        <f t="shared" si="44"/>
        <v>304.84379909635476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4.1206502218508776</v>
      </c>
      <c r="EB37" s="21">
        <f>EXP(-LN(2)/25)*EB36+(1-EXP(-LN(2)/25))/(LN(2)/25)*Calculateur!DW37*Calculateur!DY37*VLOOKUP('Données projet'!$B$14,Paramètres!$A$1:$I$89,3,0)*0.475*44/12</f>
        <v>6.4013546135650321</v>
      </c>
      <c r="EC37" s="21">
        <f>EXP(-LN(2)/2)*EC36+(1-EXP(-LN(2)/2))/(LN(2)/2)*DW37*DZ37*VLOOKUP('Données projet'!$B$14,Paramètres!$A$1:$I$89,3,0)*0.475*44/12</f>
        <v>1.4386786253683037</v>
      </c>
      <c r="ED37" s="22">
        <f t="shared" si="18"/>
        <v>11.960683460784214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>
        <f>VLOOKUP(A37,'Données projet'!$A$191:$I$211,2,0)</f>
        <v>193</v>
      </c>
      <c r="EH37" s="12">
        <f>VLOOKUP(A37,'Données projet'!$A$191:$I$211,9,0)</f>
        <v>11.666666666666666</v>
      </c>
      <c r="EI37" s="12">
        <f t="array" ref="EI37">INDEX(EH:EH,MIN(IF(ISNUMBER(EH37:EH233),ROW(EH37:EH233),"")))</f>
        <v>11.666666666666666</v>
      </c>
      <c r="EJ37" s="12">
        <f>IF('Données projet'!$A$192&gt;35,EJ36+EI37-ER36,IF(A37&lt;'Données projet'!$A$192,$EG$205^A37,IF(A37='Données projet'!$A$192,'Données projet'!$B$192,EJ36+EI37-ER36)))</f>
        <v>192.99999999999994</v>
      </c>
      <c r="EK37" s="17">
        <f>EJ37*VLOOKUP('Données projet'!$B$15,Paramètres!$A$1:$I$89,3,0)*VLOOKUP('Données projet'!$B$15,Paramètres!$A$1:$I$89,5,0)</f>
        <v>115.41399999999997</v>
      </c>
      <c r="EL37" s="13">
        <f t="shared" si="45"/>
        <v>30.602976534547519</v>
      </c>
      <c r="EM37" s="20">
        <f t="shared" si="19"/>
        <v>254.31290079767018</v>
      </c>
      <c r="EN37" s="59">
        <f t="shared" si="20"/>
        <v>547.64623413100344</v>
      </c>
      <c r="EO37" s="59">
        <f ca="1">AVERAGE(OFFSET($EN$3,0,0,'Données projet'!$E$15+1,1))-AVERAGE(OFFSET($H$3,0,0,'Données projet'!$E$15+1,1))</f>
        <v>207.2913533618397</v>
      </c>
      <c r="EP37" s="59">
        <f t="shared" si="46"/>
        <v>230.81096055024483</v>
      </c>
      <c r="EQ37" s="15">
        <f>IF(ISNA(VLOOKUP(A37,'Données projet'!$A$191:$I$211,3,0)),0,VLOOKUP(A37,'Données projet'!$A$191:$I$211,3,0))</f>
        <v>5</v>
      </c>
      <c r="ER37" s="15">
        <f>IF(ISNA(VLOOKUP(A37,'Données projet'!$A$191:$I$211,4,0)),0,VLOOKUP(A37,'Données projet'!$A$191:$I$211,4,0))</f>
        <v>38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6.3952508222037316</v>
      </c>
      <c r="EW37" s="21">
        <f>EXP(-LN(2)/25)*EW36+(1-EXP(-LN(2)/25))/(LN(2)/25)*Calculateur!ER37*Calculateur!ET37*VLOOKUP('Données projet'!$B$15,Paramètres!$A$1:$I$89,3,0)*0.475*44/12</f>
        <v>5.3980498832061921</v>
      </c>
      <c r="EX37" s="21">
        <f>EXP(-LN(2)/2)*EX36+(1-EXP(-LN(2)/2))/(LN(2)/2)*ER37*EU37*VLOOKUP('Données projet'!$B$15,Paramètres!$A$1:$I$89,3,0)*0.475*44/12</f>
        <v>0.73737689844190035</v>
      </c>
      <c r="EY37" s="22">
        <f t="shared" si="21"/>
        <v>12.530677603851823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193.49999999999989</v>
      </c>
      <c r="O38" s="13">
        <f>N38*VLOOKUP('Données projet'!$B$9,Paramètres!$A$1:$I$89,3,0)*VLOOKUP('Données projet'!$B$9,Paramètres!$A$1:$I$89,5,0)</f>
        <v>90.55799999999995</v>
      </c>
      <c r="P38" s="13">
        <f t="shared" si="33"/>
        <v>24.699752708509138</v>
      </c>
      <c r="Q38" s="20">
        <f t="shared" si="53"/>
        <v>200.74058596732002</v>
      </c>
      <c r="R38" s="59">
        <f t="shared" si="0"/>
        <v>494.0739193006533</v>
      </c>
      <c r="S38" s="59">
        <f ca="1">AVERAGE(OFFSET($R$3,0,0,'Données projet'!$E$9+1,1))-AVERAGE(OFFSET($H$3,0,0,'Données projet'!$E$9+1,1))</f>
        <v>319.22903094674564</v>
      </c>
      <c r="T38" s="59">
        <f t="shared" si="34"/>
        <v>254.58690973142848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8.2204993549823868</v>
      </c>
      <c r="AA38" s="21">
        <f>EXP(-LN(2)/25)*AA37+(1-EXP(-LN(2)/25))/(LN(2)/25)*Calculateur!V38*Calculateur!X38*VLOOKUP('Données projet'!$B$9,Paramètres!$A$1:$I$89,3,0)*0.475*44/12</f>
        <v>9.7077880961348804</v>
      </c>
      <c r="AB38" s="21">
        <f>EXP(-LN(2)/2)*AB37+(1-EXP(-LN(2)/2))/(LN(2)/2)*V38*Y38*VLOOKUP('Données projet'!$B$9,Paramètres!$A$1:$I$89,3,0)*0.475*44/12</f>
        <v>1.9521677873509491</v>
      </c>
      <c r="AC38" s="22">
        <f t="shared" si="3"/>
        <v>19.880455238468215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576</v>
      </c>
      <c r="AG38" s="12">
        <f>VLOOKUP(A38,'Données projet'!$A$61:$I$81,9,0)</f>
        <v>28.4</v>
      </c>
      <c r="AH38" s="12">
        <f t="array" ref="AH38">INDEX(AG:AG,MIN(IF(ISNUMBER(AG38:AG234),ROW(AG38:AG234),"")))</f>
        <v>28.4</v>
      </c>
      <c r="AI38" s="13">
        <f>IF('Données projet'!$A$62&gt;35,AI37+AH38-AQ37,IF(A38&lt;'Données projet'!$A$62,$AF$205^A38,IF(A38='Données projet'!$A$62,'Données projet'!$B$62,AI37+AH38-AQ37)))</f>
        <v>575.99999999999989</v>
      </c>
      <c r="AJ38" s="13">
        <f>AI38*VLOOKUP('Données projet'!$B$10,Paramètres!$A$1:$I$89,3,0)*VLOOKUP('Données projet'!$B$10,Paramètres!$A$1:$I$89,5,0)</f>
        <v>321.98399999999992</v>
      </c>
      <c r="AK38" s="13">
        <f t="shared" si="35"/>
        <v>75.76601483154208</v>
      </c>
      <c r="AL38" s="20">
        <f t="shared" si="4"/>
        <v>692.74794249826891</v>
      </c>
      <c r="AM38" s="59">
        <f t="shared" si="5"/>
        <v>986.08127583160217</v>
      </c>
      <c r="AN38" s="59">
        <f ca="1">AVERAGE(OFFSET($AM$3,0,0,'Données projet'!$E$10+1,1))-AVERAGE(OFFSET($H$3,0,0,'Données projet'!$E$10+1,1))</f>
        <v>544.48194192356823</v>
      </c>
      <c r="AO38" s="59">
        <f t="shared" si="36"/>
        <v>668.20427590250733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72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6.6492256849899345</v>
      </c>
      <c r="AV38" s="21">
        <f>EXP(-LN(2)/25)*AV37+(1-EXP(-LN(2)/25))/(LN(2)/25)*Calculateur!AQ38*Calculateur!AS38*VLOOKUP('Données projet'!$B$10,Paramètres!$A$1:$I$89,3,0)*0.475*44/12</f>
        <v>37.096095244834544</v>
      </c>
      <c r="AW38" s="21">
        <f>EXP(-LN(2)/2)*AW37+(1-EXP(-LN(2)/2))/(LN(2)/2)*AQ38*AT38*VLOOKUP('Données projet'!$B$10,Paramètres!$A$1:$I$89,3,0)*0.475*44/12</f>
        <v>2.5487589265768058</v>
      </c>
      <c r="AX38" s="21">
        <f t="shared" si="6"/>
        <v>46.294079856401282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147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147.00000000000006</v>
      </c>
      <c r="BE38" s="13">
        <f>BD38*VLOOKUP('Données projet'!$B$11,Paramètres!$A$1:$I$89,3,0)*VLOOKUP('Données projet'!$B$11,Paramètres!$A$1:$I$89,5,0)</f>
        <v>133.00560000000004</v>
      </c>
      <c r="BF38" s="13">
        <f t="shared" si="37"/>
        <v>34.689938673073549</v>
      </c>
      <c r="BG38" s="20">
        <f t="shared" si="7"/>
        <v>292.06972985560316</v>
      </c>
      <c r="BH38" s="59">
        <f t="shared" si="8"/>
        <v>585.40306318893647</v>
      </c>
      <c r="BI38" s="59">
        <f ca="1">AVERAGE(OFFSET($BH$3,0,0,'Données projet'!$E$11+1,1))-AVERAGE(OFFSET($H$3,0,0,'Données projet'!$E$11+1,1))</f>
        <v>405.7176439604217</v>
      </c>
      <c r="BJ38" s="59">
        <f t="shared" si="38"/>
        <v>278.21741231699929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6.6194311763848708</v>
      </c>
      <c r="BQ38" s="21">
        <f>EXP(-LN(2)/25)*BQ37+(1-EXP(-LN(2)/25))/(LN(2)/25)*Calculateur!BL38*Calculateur!BN38*VLOOKUP('Données projet'!$B$11,Paramètres!$A$1:$I$89,3,0)*0.475*44/12</f>
        <v>8.1525024274389182</v>
      </c>
      <c r="BR38" s="21">
        <f>EXP(-LN(2)/2)*BR37+(1-EXP(-LN(2)/2))/(LN(2)/2)*BL38*BO38*VLOOKUP('Données projet'!$B$11,Paramètres!$A$1:$I$89,3,0)*0.475*44/12</f>
        <v>1.508759500053158</v>
      </c>
      <c r="BS38" s="22">
        <f t="shared" si="9"/>
        <v>16.280693103876949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172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172.00000000000003</v>
      </c>
      <c r="CU38" s="17">
        <f>CT38*VLOOKUP('Données projet'!$B$13,Paramètres!$A$1:$I$89,3,0)*VLOOKUP('Données projet'!$B$13,Paramètres!$A$1:$I$89,5,0)</f>
        <v>136.84320000000002</v>
      </c>
      <c r="CV38" s="13">
        <f t="shared" si="41"/>
        <v>35.572869837729648</v>
      </c>
      <c r="CW38" s="20">
        <f t="shared" si="13"/>
        <v>300.2913216340458</v>
      </c>
      <c r="CX38" s="59">
        <f t="shared" si="14"/>
        <v>593.62465496737912</v>
      </c>
      <c r="CY38" s="59">
        <f ca="1">AVERAGE(OFFSET($CX$3,0,0,'Données projet'!$E$13+1,1))-AVERAGE(OFFSET($H$3,0,0,'Données projet'!$E$13+1,1))</f>
        <v>299.10536994156814</v>
      </c>
      <c r="CZ38" s="59">
        <f t="shared" si="42"/>
        <v>292.57799203101769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7.6273522708642796</v>
      </c>
      <c r="DG38" s="21">
        <f>EXP(-LN(2)/25)*DG37+(1-EXP(-LN(2)/25))/(LN(2)/25)*Calculateur!DB38*Calculateur!DD38*VLOOKUP('Données projet'!$B$13,Paramètres!$A$1:$I$89,3,0)*0.475*44/12</f>
        <v>9.4130477174409641</v>
      </c>
      <c r="DH38" s="21">
        <f>EXP(-LN(2)/2)*DH37+(1-EXP(-LN(2)/2))/(LN(2)/2)*DB38*DE38*VLOOKUP('Données projet'!$B$13,Paramètres!$A$1:$I$89,3,0)*0.475*44/12</f>
        <v>1.5861551624085435</v>
      </c>
      <c r="DI38" s="22">
        <f t="shared" si="15"/>
        <v>18.626555150713788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208</v>
      </c>
      <c r="DM38" s="12">
        <f>VLOOKUP(A38,'Données projet'!$A$165:$I$185,9,0)</f>
        <v>9.6</v>
      </c>
      <c r="DN38" s="12">
        <f t="array" ref="DN38">INDEX(DM:DM,MIN(IF(ISNUMBER(DM38:DM234),ROW(DM38:DM234),"")))</f>
        <v>9.6</v>
      </c>
      <c r="DO38" s="12">
        <f>IF('Données projet'!$A$166&gt;35,DO37+DN38-DW37,IF(A38&lt;'Données projet'!$A$166,$DL$205^A38,IF(A38='Données projet'!$A$166,'Données projet'!$B$166,DO37+DN38-DW37)))</f>
        <v>207.99999999999997</v>
      </c>
      <c r="DP38" s="17">
        <f>DO38*VLOOKUP('Données projet'!$B$14,Paramètres!$A$1:$I$89,3,0)*VLOOKUP('Données projet'!$B$14,Paramètres!$A$1:$I$89,5,0)</f>
        <v>136.28159999999997</v>
      </c>
      <c r="DQ38" s="13">
        <f t="shared" si="43"/>
        <v>35.443842312892279</v>
      </c>
      <c r="DR38" s="20">
        <f t="shared" si="16"/>
        <v>299.08847869495401</v>
      </c>
      <c r="DS38" s="59">
        <f t="shared" si="17"/>
        <v>592.42181202828738</v>
      </c>
      <c r="DT38" s="59">
        <f ca="1">AVERAGE(OFFSET($DS$3,0,0,'Données projet'!$E$14+1,1))-AVERAGE(OFFSET($H$3,0,0,'Données projet'!$E$14+1,1))</f>
        <v>295.92103934364718</v>
      </c>
      <c r="DU38" s="59">
        <f t="shared" si="44"/>
        <v>304.84379909635476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4.0398467843488444</v>
      </c>
      <c r="EB38" s="21">
        <f>EXP(-LN(2)/25)*EB37+(1-EXP(-LN(2)/25))/(LN(2)/25)*Calculateur!DW38*Calculateur!DY38*VLOOKUP('Données projet'!$B$14,Paramètres!$A$1:$I$89,3,0)*0.475*44/12</f>
        <v>6.2263092350244875</v>
      </c>
      <c r="EC38" s="21">
        <f>EXP(-LN(2)/2)*EC37+(1-EXP(-LN(2)/2))/(LN(2)/2)*DW38*DZ38*VLOOKUP('Données projet'!$B$14,Paramètres!$A$1:$I$89,3,0)*0.475*44/12</f>
        <v>1.0172994119460681</v>
      </c>
      <c r="ED38" s="22">
        <f t="shared" si="18"/>
        <v>11.2834554313194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10</v>
      </c>
      <c r="EJ38" s="12">
        <f>IF('Données projet'!$A$192&gt;35,EJ37+EI38-ER37,IF(A38&lt;'Données projet'!$A$192,$EG$205^A38,IF(A38='Données projet'!$A$192,'Données projet'!$B$192,EJ37+EI38-ER37)))</f>
        <v>164.99999999999994</v>
      </c>
      <c r="EK38" s="17">
        <f>EJ38*VLOOKUP('Données projet'!$B$15,Paramètres!$A$1:$I$89,3,0)*VLOOKUP('Données projet'!$B$15,Paramètres!$A$1:$I$89,5,0)</f>
        <v>98.669999999999973</v>
      </c>
      <c r="EL38" s="13">
        <f t="shared" si="45"/>
        <v>26.644896901954066</v>
      </c>
      <c r="EM38" s="20">
        <f t="shared" si="19"/>
        <v>218.25677877090325</v>
      </c>
      <c r="EN38" s="59">
        <f t="shared" si="20"/>
        <v>511.5901121042366</v>
      </c>
      <c r="EO38" s="59">
        <f ca="1">AVERAGE(OFFSET($EN$3,0,0,'Données projet'!$E$15+1,1))-AVERAGE(OFFSET($H$3,0,0,'Données projet'!$E$15+1,1))</f>
        <v>207.2913533618397</v>
      </c>
      <c r="EP38" s="59">
        <f t="shared" si="46"/>
        <v>230.81096055024483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6.2698438542981538</v>
      </c>
      <c r="EW38" s="21">
        <f>EXP(-LN(2)/25)*EW37+(1-EXP(-LN(2)/25))/(LN(2)/25)*Calculateur!ER38*Calculateur!ET38*VLOOKUP('Données projet'!$B$15,Paramètres!$A$1:$I$89,3,0)*0.475*44/12</f>
        <v>5.2504399252788128</v>
      </c>
      <c r="EX38" s="21">
        <f>EXP(-LN(2)/2)*EX37+(1-EXP(-LN(2)/2))/(LN(2)/2)*ER38*EU38*VLOOKUP('Données projet'!$B$15,Paramètres!$A$1:$I$89,3,0)*0.475*44/12</f>
        <v>0.52140420517857189</v>
      </c>
      <c r="EY38" s="22">
        <f t="shared" si="21"/>
        <v>12.041687984755539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203.49999999999989</v>
      </c>
      <c r="O39" s="13">
        <f>N39*VLOOKUP('Données projet'!$B$9,Paramètres!$A$1:$I$89,3,0)*VLOOKUP('Données projet'!$B$9,Paramètres!$A$1:$I$89,5,0)</f>
        <v>95.237999999999957</v>
      </c>
      <c r="P39" s="13">
        <f t="shared" si="33"/>
        <v>25.824315354051119</v>
      </c>
      <c r="Q39" s="20">
        <f t="shared" si="53"/>
        <v>210.85019924163896</v>
      </c>
      <c r="R39" s="59">
        <f t="shared" si="0"/>
        <v>504.18353257497228</v>
      </c>
      <c r="S39" s="59">
        <f ca="1">AVERAGE(OFFSET($R$3,0,0,'Données projet'!$E$9+1,1))-AVERAGE(OFFSET($H$3,0,0,'Données projet'!$E$9+1,1))</f>
        <v>319.22903094674564</v>
      </c>
      <c r="T39" s="59">
        <f t="shared" si="34"/>
        <v>254.58690973142848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8.0593003766406959</v>
      </c>
      <c r="AA39" s="21">
        <f>EXP(-LN(2)/25)*AA38+(1-EXP(-LN(2)/25))/(LN(2)/25)*Calculateur!V39*Calculateur!X39*VLOOKUP('Données projet'!$B$9,Paramètres!$A$1:$I$89,3,0)*0.475*44/12</f>
        <v>9.4423281201356843</v>
      </c>
      <c r="AB39" s="21">
        <f>EXP(-LN(2)/2)*AB38+(1-EXP(-LN(2)/2))/(LN(2)/2)*V39*Y39*VLOOKUP('Données projet'!$B$9,Paramètres!$A$1:$I$89,3,0)*0.475*44/12</f>
        <v>1.3803910804497943</v>
      </c>
      <c r="AC39" s="22">
        <f t="shared" si="3"/>
        <v>18.882019577226174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27</v>
      </c>
      <c r="AI39" s="13">
        <f>IF('Données projet'!$A$62&gt;35,AI38+AH39-AQ38,IF(A39&lt;'Données projet'!$A$62,$AF$205^A39,IF(A39='Données projet'!$A$62,'Données projet'!$B$62,AI38+AH39-AQ38)))</f>
        <v>530.99999999999989</v>
      </c>
      <c r="AJ39" s="13">
        <f>AI39*VLOOKUP('Données projet'!$B$10,Paramètres!$A$1:$I$89,3,0)*VLOOKUP('Données projet'!$B$10,Paramètres!$A$1:$I$89,5,0)</f>
        <v>296.82899999999995</v>
      </c>
      <c r="AK39" s="13">
        <f t="shared" si="35"/>
        <v>70.511289513454344</v>
      </c>
      <c r="AL39" s="20">
        <f t="shared" si="4"/>
        <v>639.78433756926631</v>
      </c>
      <c r="AM39" s="59">
        <f t="shared" si="5"/>
        <v>933.11767090259968</v>
      </c>
      <c r="AN39" s="59">
        <f ca="1">AVERAGE(OFFSET($AM$3,0,0,'Données projet'!$E$10+1,1))-AVERAGE(OFFSET($H$3,0,0,'Données projet'!$E$10+1,1))</f>
        <v>544.48194192356823</v>
      </c>
      <c r="AO39" s="59">
        <f t="shared" si="36"/>
        <v>668.20427590250733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6.51883842493449</v>
      </c>
      <c r="AV39" s="21">
        <f>EXP(-LN(2)/25)*AV38+(1-EXP(-LN(2)/25))/(LN(2)/25)*Calculateur!AQ39*Calculateur!AS39*VLOOKUP('Données projet'!$B$10,Paramètres!$A$1:$I$89,3,0)*0.475*44/12</f>
        <v>36.081700569565676</v>
      </c>
      <c r="AW39" s="21">
        <f>EXP(-LN(2)/2)*AW38+(1-EXP(-LN(2)/2))/(LN(2)/2)*AQ39*AT39*VLOOKUP('Données projet'!$B$10,Paramètres!$A$1:$I$89,3,0)*0.475*44/12</f>
        <v>1.8022447205922052</v>
      </c>
      <c r="AX39" s="21">
        <f t="shared" si="6"/>
        <v>44.402783715092376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11.2</v>
      </c>
      <c r="BD39" s="12">
        <f>IF('Données projet'!$A$88&gt;35,BD38+BC39-BL38,IF(A39&lt;'Données projet'!$A$88,$BA$205^A39,IF(A39='Données projet'!$A$88,'Données projet'!$B$88,BD38+BC39-BL38)))</f>
        <v>130.20000000000005</v>
      </c>
      <c r="BE39" s="13">
        <f>BD39*VLOOKUP('Données projet'!$B$11,Paramètres!$A$1:$I$89,3,0)*VLOOKUP('Données projet'!$B$11,Paramètres!$A$1:$I$89,5,0)</f>
        <v>117.80496000000004</v>
      </c>
      <c r="BF39" s="13">
        <f t="shared" si="37"/>
        <v>31.162493487829593</v>
      </c>
      <c r="BG39" s="20">
        <f t="shared" si="7"/>
        <v>259.45164815796994</v>
      </c>
      <c r="BH39" s="59">
        <f t="shared" si="8"/>
        <v>552.78498149130326</v>
      </c>
      <c r="BI39" s="59">
        <f ca="1">AVERAGE(OFFSET($BH$3,0,0,'Données projet'!$E$11+1,1))-AVERAGE(OFFSET($H$3,0,0,'Données projet'!$E$11+1,1))</f>
        <v>405.7176439604217</v>
      </c>
      <c r="BJ39" s="59">
        <f t="shared" si="38"/>
        <v>278.21741231699929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6.4896281684703157</v>
      </c>
      <c r="BQ39" s="21">
        <f>EXP(-LN(2)/25)*BQ38+(1-EXP(-LN(2)/25))/(LN(2)/25)*Calculateur!BL39*Calculateur!BN39*VLOOKUP('Données projet'!$B$11,Paramètres!$A$1:$I$89,3,0)*0.475*44/12</f>
        <v>7.929571819839131</v>
      </c>
      <c r="BR39" s="21">
        <f>EXP(-LN(2)/2)*BR38+(1-EXP(-LN(2)/2))/(LN(2)/2)*BL39*BO39*VLOOKUP('Données projet'!$B$11,Paramètres!$A$1:$I$89,3,0)*0.475*44/12</f>
        <v>1.0668540736672132</v>
      </c>
      <c r="BS39" s="22">
        <f t="shared" si="9"/>
        <v>15.486054061976661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9.6</v>
      </c>
      <c r="CT39" s="12">
        <f>IF('Données projet'!$A$140&gt;35,CT38+CS39-DB38,IF(A39&lt;'Données projet'!$A$140,$CQ$205^A39,IF(A39='Données projet'!$A$140,'Données projet'!$B$140,CT38+CS39-DB38)))</f>
        <v>153.60000000000002</v>
      </c>
      <c r="CU39" s="17">
        <f>CT39*VLOOKUP('Données projet'!$B$13,Paramètres!$A$1:$I$89,3,0)*VLOOKUP('Données projet'!$B$13,Paramètres!$A$1:$I$89,5,0)</f>
        <v>122.20416000000003</v>
      </c>
      <c r="CV39" s="13">
        <f t="shared" si="41"/>
        <v>32.188537573102472</v>
      </c>
      <c r="CW39" s="20">
        <f t="shared" si="13"/>
        <v>268.90061493982017</v>
      </c>
      <c r="CX39" s="59">
        <f t="shared" si="14"/>
        <v>562.23394827315349</v>
      </c>
      <c r="CY39" s="59">
        <f ca="1">AVERAGE(OFFSET($CX$3,0,0,'Données projet'!$E$13+1,1))-AVERAGE(OFFSET($H$3,0,0,'Données projet'!$E$13+1,1))</f>
        <v>299.10536994156814</v>
      </c>
      <c r="CZ39" s="59">
        <f t="shared" si="42"/>
        <v>292.57799203101769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7.4777845450581468</v>
      </c>
      <c r="DG39" s="21">
        <f>EXP(-LN(2)/25)*DG38+(1-EXP(-LN(2)/25))/(LN(2)/25)*Calculateur!DB39*Calculateur!DD39*VLOOKUP('Données projet'!$B$13,Paramètres!$A$1:$I$89,3,0)*0.475*44/12</f>
        <v>9.1556474325968757</v>
      </c>
      <c r="DH39" s="21">
        <f>EXP(-LN(2)/2)*DH38+(1-EXP(-LN(2)/2))/(LN(2)/2)*DB39*DE39*VLOOKUP('Données projet'!$B$13,Paramètres!$A$1:$I$89,3,0)*0.475*44/12</f>
        <v>1.1215810713531307</v>
      </c>
      <c r="DI39" s="22">
        <f t="shared" si="15"/>
        <v>17.755013049008152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8.8000000000000007</v>
      </c>
      <c r="DO39" s="12">
        <f>IF('Données projet'!$A$166&gt;35,DO38+DN39-DW38,IF(A39&lt;'Données projet'!$A$166,$DL$205^A39,IF(A39='Données projet'!$A$166,'Données projet'!$B$166,DO38+DN39-DW38)))</f>
        <v>188.79999999999998</v>
      </c>
      <c r="DP39" s="17">
        <f>DO39*VLOOKUP('Données projet'!$B$14,Paramètres!$A$1:$I$89,3,0)*VLOOKUP('Données projet'!$B$14,Paramètres!$A$1:$I$89,5,0)</f>
        <v>123.70175999999999</v>
      </c>
      <c r="DQ39" s="13">
        <f t="shared" si="43"/>
        <v>32.536841470486884</v>
      </c>
      <c r="DR39" s="20">
        <f t="shared" si="16"/>
        <v>272.11556422776465</v>
      </c>
      <c r="DS39" s="59">
        <f t="shared" si="17"/>
        <v>565.44889756109797</v>
      </c>
      <c r="DT39" s="59">
        <f ca="1">AVERAGE(OFFSET($DS$3,0,0,'Données projet'!$E$14+1,1))-AVERAGE(OFFSET($H$3,0,0,'Données projet'!$E$14+1,1))</f>
        <v>295.92103934364718</v>
      </c>
      <c r="DU39" s="59">
        <f t="shared" si="44"/>
        <v>304.84379909635476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3.9606278529709957</v>
      </c>
      <c r="EB39" s="21">
        <f>EXP(-LN(2)/25)*EB38+(1-EXP(-LN(2)/25))/(LN(2)/25)*Calculateur!DW39*Calculateur!DY39*VLOOKUP('Données projet'!$B$14,Paramètres!$A$1:$I$89,3,0)*0.475*44/12</f>
        <v>6.0560504815653706</v>
      </c>
      <c r="EC39" s="21">
        <f>EXP(-LN(2)/2)*EC38+(1-EXP(-LN(2)/2))/(LN(2)/2)*DW39*DZ39*VLOOKUP('Données projet'!$B$14,Paramètres!$A$1:$I$89,3,0)*0.475*44/12</f>
        <v>0.71933931268415185</v>
      </c>
      <c r="ED39" s="22">
        <f t="shared" si="18"/>
        <v>10.736017647220518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10</v>
      </c>
      <c r="EJ39" s="12">
        <f>IF('Données projet'!$A$192&gt;35,EJ38+EI39-ER38,IF(A39&lt;'Données projet'!$A$192,$EG$205^A39,IF(A39='Données projet'!$A$192,'Données projet'!$B$192,EJ38+EI39-ER38)))</f>
        <v>174.99999999999994</v>
      </c>
      <c r="EK39" s="17">
        <f>EJ39*VLOOKUP('Données projet'!$B$15,Paramètres!$A$1:$I$89,3,0)*VLOOKUP('Données projet'!$B$15,Paramètres!$A$1:$I$89,5,0)</f>
        <v>104.64999999999996</v>
      </c>
      <c r="EL39" s="13">
        <f t="shared" si="45"/>
        <v>28.066848529735861</v>
      </c>
      <c r="EM39" s="20">
        <f t="shared" si="19"/>
        <v>231.14851118928985</v>
      </c>
      <c r="EN39" s="59">
        <f t="shared" si="20"/>
        <v>524.48184452262319</v>
      </c>
      <c r="EO39" s="59">
        <f ca="1">AVERAGE(OFFSET($EN$3,0,0,'Données projet'!$E$15+1,1))-AVERAGE(OFFSET($H$3,0,0,'Données projet'!$E$15+1,1))</f>
        <v>207.2913533618397</v>
      </c>
      <c r="EP39" s="59">
        <f t="shared" si="46"/>
        <v>230.81096055024483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6.146896040542507</v>
      </c>
      <c r="EW39" s="21">
        <f>EXP(-LN(2)/25)*EW38+(1-EXP(-LN(2)/25))/(LN(2)/25)*Calculateur!ER39*Calculateur!ET39*VLOOKUP('Données projet'!$B$15,Paramètres!$A$1:$I$89,3,0)*0.475*44/12</f>
        <v>5.106866369413428</v>
      </c>
      <c r="EX39" s="21">
        <f>EXP(-LN(2)/2)*EX38+(1-EXP(-LN(2)/2))/(LN(2)/2)*ER39*EU39*VLOOKUP('Données projet'!$B$15,Paramètres!$A$1:$I$89,3,0)*0.475*44/12</f>
        <v>0.36868844922095018</v>
      </c>
      <c r="EY39" s="22">
        <f t="shared" si="21"/>
        <v>11.622450859176887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213.49999999999989</v>
      </c>
      <c r="O40" s="13">
        <f>N40*VLOOKUP('Données projet'!$B$9,Paramètres!$A$1:$I$89,3,0)*VLOOKUP('Données projet'!$B$9,Paramètres!$A$1:$I$89,5,0)</f>
        <v>99.91799999999995</v>
      </c>
      <c r="P40" s="13">
        <f t="shared" si="33"/>
        <v>26.942461246512746</v>
      </c>
      <c r="Q40" s="20">
        <f t="shared" si="53"/>
        <v>220.94863667100961</v>
      </c>
      <c r="R40" s="59">
        <f t="shared" si="0"/>
        <v>514.28197000434295</v>
      </c>
      <c r="S40" s="59">
        <f ca="1">AVERAGE(OFFSET($R$3,0,0,'Données projet'!$E$9+1,1))-AVERAGE(OFFSET($H$3,0,0,'Données projet'!$E$9+1,1))</f>
        <v>319.22903094674564</v>
      </c>
      <c r="T40" s="59">
        <f t="shared" si="34"/>
        <v>254.58690973142848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7.9012624119426178</v>
      </c>
      <c r="AA40" s="21">
        <f>EXP(-LN(2)/25)*AA39+(1-EXP(-LN(2)/25))/(LN(2)/25)*Calculateur!V40*Calculateur!X40*VLOOKUP('Données projet'!$B$9,Paramètres!$A$1:$I$89,3,0)*0.475*44/12</f>
        <v>9.1841271611401183</v>
      </c>
      <c r="AB40" s="21">
        <f>EXP(-LN(2)/2)*AB39+(1-EXP(-LN(2)/2))/(LN(2)/2)*V40*Y40*VLOOKUP('Données projet'!$B$9,Paramètres!$A$1:$I$89,3,0)*0.475*44/12</f>
        <v>0.97608389367547466</v>
      </c>
      <c r="AC40" s="22">
        <f t="shared" si="3"/>
        <v>18.061473466758212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27</v>
      </c>
      <c r="AI40" s="13">
        <f>IF('Données projet'!$A$62&gt;35,AI39+AH40-AQ39,IF(A40&lt;'Données projet'!$A$62,$AF$205^A40,IF(A40='Données projet'!$A$62,'Données projet'!$B$62,AI39+AH40-AQ39)))</f>
        <v>557.99999999999989</v>
      </c>
      <c r="AJ40" s="13">
        <f>AI40*VLOOKUP('Données projet'!$B$10,Paramètres!$A$1:$I$89,3,0)*VLOOKUP('Données projet'!$B$10,Paramètres!$A$1:$I$89,5,0)</f>
        <v>311.92199999999991</v>
      </c>
      <c r="AK40" s="13">
        <f t="shared" si="35"/>
        <v>73.670075764965745</v>
      </c>
      <c r="AL40" s="20">
        <f t="shared" si="4"/>
        <v>671.57286529064845</v>
      </c>
      <c r="AM40" s="59">
        <f t="shared" si="5"/>
        <v>964.90619862398171</v>
      </c>
      <c r="AN40" s="59">
        <f ca="1">AVERAGE(OFFSET($AM$3,0,0,'Données projet'!$E$10+1,1))-AVERAGE(OFFSET($H$3,0,0,'Données projet'!$E$10+1,1))</f>
        <v>544.48194192356823</v>
      </c>
      <c r="AO40" s="59">
        <f t="shared" si="36"/>
        <v>668.20427590250733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6.3910079795203565</v>
      </c>
      <c r="AV40" s="21">
        <f>EXP(-LN(2)/25)*AV39+(1-EXP(-LN(2)/25))/(LN(2)/25)*Calculateur!AQ40*Calculateur!AS40*VLOOKUP('Données projet'!$B$10,Paramètres!$A$1:$I$89,3,0)*0.475*44/12</f>
        <v>35.095044570036734</v>
      </c>
      <c r="AW40" s="21">
        <f>EXP(-LN(2)/2)*AW39+(1-EXP(-LN(2)/2))/(LN(2)/2)*AQ40*AT40*VLOOKUP('Données projet'!$B$10,Paramètres!$A$1:$I$89,3,0)*0.475*44/12</f>
        <v>1.2743794632884029</v>
      </c>
      <c r="AX40" s="21">
        <f t="shared" si="6"/>
        <v>42.760432012845492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11.2</v>
      </c>
      <c r="BD40" s="12">
        <f>IF('Données projet'!$A$88&gt;35,BD39+BC40-BL39,IF(A40&lt;'Données projet'!$A$88,$BA$205^A40,IF(A40='Données projet'!$A$88,'Données projet'!$B$88,BD39+BC40-BL39)))</f>
        <v>141.40000000000003</v>
      </c>
      <c r="BE40" s="13">
        <f>BD40*VLOOKUP('Données projet'!$B$11,Paramètres!$A$1:$I$89,3,0)*VLOOKUP('Données projet'!$B$11,Paramètres!$A$1:$I$89,5,0)</f>
        <v>127.93872000000003</v>
      </c>
      <c r="BF40" s="13">
        <f t="shared" si="37"/>
        <v>33.519615889545641</v>
      </c>
      <c r="BG40" s="20">
        <f t="shared" si="7"/>
        <v>281.20660167429202</v>
      </c>
      <c r="BH40" s="59">
        <f t="shared" si="8"/>
        <v>574.53993500762533</v>
      </c>
      <c r="BI40" s="59">
        <f ca="1">AVERAGE(OFFSET($BH$3,0,0,'Données projet'!$E$11+1,1))-AVERAGE(OFFSET($H$3,0,0,'Données projet'!$E$11+1,1))</f>
        <v>405.7176439604217</v>
      </c>
      <c r="BJ40" s="59">
        <f t="shared" si="38"/>
        <v>278.21741231699929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6.3623705183689472</v>
      </c>
      <c r="BQ40" s="21">
        <f>EXP(-LN(2)/25)*BQ39+(1-EXP(-LN(2)/25))/(LN(2)/25)*Calculateur!BL40*Calculateur!BN40*VLOOKUP('Données projet'!$B$11,Paramètres!$A$1:$I$89,3,0)*0.475*44/12</f>
        <v>7.7127372614275709</v>
      </c>
      <c r="BR40" s="21">
        <f>EXP(-LN(2)/2)*BR39+(1-EXP(-LN(2)/2))/(LN(2)/2)*BL40*BO40*VLOOKUP('Données projet'!$B$11,Paramètres!$A$1:$I$89,3,0)*0.475*44/12</f>
        <v>0.75437975002657898</v>
      </c>
      <c r="BS40" s="22">
        <f t="shared" si="9"/>
        <v>14.829487529823098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9.6</v>
      </c>
      <c r="CT40" s="12">
        <f>IF('Données projet'!$A$140&gt;35,CT39+CS40-DB39,IF(A40&lt;'Données projet'!$A$140,$CQ$205^A40,IF(A40='Données projet'!$A$140,'Données projet'!$B$140,CT39+CS40-DB39)))</f>
        <v>163.20000000000002</v>
      </c>
      <c r="CU40" s="17">
        <f>CT40*VLOOKUP('Données projet'!$B$13,Paramètres!$A$1:$I$89,3,0)*VLOOKUP('Données projet'!$B$13,Paramètres!$A$1:$I$89,5,0)</f>
        <v>129.84192000000002</v>
      </c>
      <c r="CV40" s="13">
        <f t="shared" si="41"/>
        <v>33.959829099416851</v>
      </c>
      <c r="CW40" s="20">
        <f t="shared" si="13"/>
        <v>285.288046348151</v>
      </c>
      <c r="CX40" s="59">
        <f t="shared" si="14"/>
        <v>578.62137968148431</v>
      </c>
      <c r="CY40" s="59">
        <f ca="1">AVERAGE(OFFSET($CX$3,0,0,'Données projet'!$E$13+1,1))-AVERAGE(OFFSET($H$3,0,0,'Données projet'!$E$13+1,1))</f>
        <v>299.10536994156814</v>
      </c>
      <c r="CZ40" s="59">
        <f t="shared" si="42"/>
        <v>292.57799203101769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7.3311497511277679</v>
      </c>
      <c r="DG40" s="21">
        <f>EXP(-LN(2)/25)*DG39+(1-EXP(-LN(2)/25))/(LN(2)/25)*Calculateur!DB40*Calculateur!DD40*VLOOKUP('Données projet'!$B$13,Paramètres!$A$1:$I$89,3,0)*0.475*44/12</f>
        <v>8.9052857720779404</v>
      </c>
      <c r="DH40" s="21">
        <f>EXP(-LN(2)/2)*DH39+(1-EXP(-LN(2)/2))/(LN(2)/2)*DB40*DE40*VLOOKUP('Données projet'!$B$13,Paramètres!$A$1:$I$89,3,0)*0.475*44/12</f>
        <v>0.79307758120427174</v>
      </c>
      <c r="DI40" s="22">
        <f t="shared" si="15"/>
        <v>17.029513104409979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8.8000000000000007</v>
      </c>
      <c r="DO40" s="12">
        <f>IF('Données projet'!$A$166&gt;35,DO39+DN40-DW39,IF(A40&lt;'Données projet'!$A$166,$DL$205^A40,IF(A40='Données projet'!$A$166,'Données projet'!$B$166,DO39+DN40-DW39)))</f>
        <v>197.6</v>
      </c>
      <c r="DP40" s="17">
        <f>DO40*VLOOKUP('Données projet'!$B$14,Paramètres!$A$1:$I$89,3,0)*VLOOKUP('Données projet'!$B$14,Paramètres!$A$1:$I$89,5,0)</f>
        <v>129.46751999999998</v>
      </c>
      <c r="DQ40" s="13">
        <f t="shared" si="43"/>
        <v>33.873289462262882</v>
      </c>
      <c r="DR40" s="20">
        <f t="shared" si="16"/>
        <v>284.48524314677445</v>
      </c>
      <c r="DS40" s="59">
        <f t="shared" si="17"/>
        <v>577.81857648010782</v>
      </c>
      <c r="DT40" s="59">
        <f ca="1">AVERAGE(OFFSET($DS$3,0,0,'Données projet'!$E$14+1,1))-AVERAGE(OFFSET($H$3,0,0,'Données projet'!$E$14+1,1))</f>
        <v>295.92103934364718</v>
      </c>
      <c r="DU40" s="59">
        <f t="shared" si="44"/>
        <v>304.84379909635476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3.8829623565186897</v>
      </c>
      <c r="EB40" s="21">
        <f>EXP(-LN(2)/25)*EB39+(1-EXP(-LN(2)/25))/(LN(2)/25)*Calculateur!DW40*Calculateur!DY40*VLOOKUP('Données projet'!$B$14,Paramètres!$A$1:$I$89,3,0)*0.475*44/12</f>
        <v>5.8904474626731123</v>
      </c>
      <c r="EC40" s="21">
        <f>EXP(-LN(2)/2)*EC39+(1-EXP(-LN(2)/2))/(LN(2)/2)*DW40*DZ40*VLOOKUP('Données projet'!$B$14,Paramètres!$A$1:$I$89,3,0)*0.475*44/12</f>
        <v>0.50864970597303405</v>
      </c>
      <c r="ED40" s="22">
        <f t="shared" si="18"/>
        <v>10.282059525164836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10</v>
      </c>
      <c r="EJ40" s="12">
        <f>IF('Données projet'!$A$192&gt;35,EJ39+EI40-ER39,IF(A40&lt;'Données projet'!$A$192,$EG$205^A40,IF(A40='Données projet'!$A$192,'Données projet'!$B$192,EJ39+EI40-ER39)))</f>
        <v>184.99999999999994</v>
      </c>
      <c r="EK40" s="17">
        <f>EJ40*VLOOKUP('Données projet'!$B$15,Paramètres!$A$1:$I$89,3,0)*VLOOKUP('Données projet'!$B$15,Paramètres!$A$1:$I$89,5,0)</f>
        <v>110.62999999999998</v>
      </c>
      <c r="EL40" s="13">
        <f t="shared" si="45"/>
        <v>29.479368114771006</v>
      </c>
      <c r="EM40" s="20">
        <f t="shared" si="19"/>
        <v>244.02381613322609</v>
      </c>
      <c r="EN40" s="59">
        <f t="shared" si="20"/>
        <v>537.35714946655935</v>
      </c>
      <c r="EO40" s="59">
        <f ca="1">AVERAGE(OFFSET($EN$3,0,0,'Données projet'!$E$15+1,1))-AVERAGE(OFFSET($H$3,0,0,'Données projet'!$E$15+1,1))</f>
        <v>207.2913533618397</v>
      </c>
      <c r="EP40" s="59">
        <f t="shared" si="46"/>
        <v>230.81096055024483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6.0263591584238467</v>
      </c>
      <c r="EW40" s="21">
        <f>EXP(-LN(2)/25)*EW39+(1-EXP(-LN(2)/25))/(LN(2)/25)*Calculateur!ER40*Calculateur!ET40*VLOOKUP('Données projet'!$B$15,Paramètres!$A$1:$I$89,3,0)*0.475*44/12</f>
        <v>4.9672188399833876</v>
      </c>
      <c r="EX40" s="21">
        <f>EXP(-LN(2)/2)*EX39+(1-EXP(-LN(2)/2))/(LN(2)/2)*ER40*EU40*VLOOKUP('Données projet'!$B$15,Paramètres!$A$1:$I$89,3,0)*0.475*44/12</f>
        <v>0.26070210258928594</v>
      </c>
      <c r="EY40" s="22">
        <f t="shared" si="21"/>
        <v>11.254280100996521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223.49999999999989</v>
      </c>
      <c r="O41" s="13">
        <f>N41*VLOOKUP('Données projet'!$B$9,Paramètres!$A$1:$I$89,3,0)*VLOOKUP('Données projet'!$B$9,Paramètres!$A$1:$I$89,5,0)</f>
        <v>104.59799999999994</v>
      </c>
      <c r="P41" s="13">
        <f t="shared" si="33"/>
        <v>28.054525257841597</v>
      </c>
      <c r="Q41" s="20">
        <f t="shared" si="53"/>
        <v>231.03648149074067</v>
      </c>
      <c r="R41" s="59">
        <f t="shared" si="0"/>
        <v>524.36981482407396</v>
      </c>
      <c r="S41" s="59">
        <f ca="1">AVERAGE(OFFSET($R$3,0,0,'Données projet'!$E$9+1,1))-AVERAGE(OFFSET($H$3,0,0,'Données projet'!$E$9+1,1))</f>
        <v>319.22903094674564</v>
      </c>
      <c r="T41" s="59">
        <f t="shared" si="34"/>
        <v>254.58690973142848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7.7463234753386283</v>
      </c>
      <c r="AA41" s="21">
        <f>EXP(-LN(2)/25)*AA40+(1-EXP(-LN(2)/25))/(LN(2)/25)*Calculateur!V41*Calculateur!X41*VLOOKUP('Données projet'!$B$9,Paramètres!$A$1:$I$89,3,0)*0.475*44/12</f>
        <v>8.9329867209464844</v>
      </c>
      <c r="AB41" s="21">
        <f>EXP(-LN(2)/2)*AB40+(1-EXP(-LN(2)/2))/(LN(2)/2)*V41*Y41*VLOOKUP('Données projet'!$B$9,Paramètres!$A$1:$I$89,3,0)*0.475*44/12</f>
        <v>0.69019554022489726</v>
      </c>
      <c r="AC41" s="22">
        <f t="shared" si="3"/>
        <v>17.369505736510011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27</v>
      </c>
      <c r="AI41" s="13">
        <f>IF('Données projet'!$A$62&gt;35,AI40+AH41-AQ40,IF(A41&lt;'Données projet'!$A$62,$AF$205^A41,IF(A41='Données projet'!$A$62,'Données projet'!$B$62,AI40+AH41-AQ40)))</f>
        <v>584.99999999999989</v>
      </c>
      <c r="AJ41" s="13">
        <f>AI41*VLOOKUP('Données projet'!$B$10,Paramètres!$A$1:$I$89,3,0)*VLOOKUP('Données projet'!$B$10,Paramètres!$A$1:$I$89,5,0)</f>
        <v>327.01499999999993</v>
      </c>
      <c r="AK41" s="13">
        <f t="shared" si="35"/>
        <v>76.811113612871907</v>
      </c>
      <c r="AL41" s="20">
        <f t="shared" si="4"/>
        <v>703.33048120908506</v>
      </c>
      <c r="AM41" s="59">
        <f t="shared" si="5"/>
        <v>996.66381454241832</v>
      </c>
      <c r="AN41" s="59">
        <f ca="1">AVERAGE(OFFSET($AM$3,0,0,'Données projet'!$E$10+1,1))-AVERAGE(OFFSET($H$3,0,0,'Données projet'!$E$10+1,1))</f>
        <v>544.48194192356823</v>
      </c>
      <c r="AO41" s="59">
        <f t="shared" si="36"/>
        <v>668.20427590250733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6.2656842111719211</v>
      </c>
      <c r="AV41" s="21">
        <f>EXP(-LN(2)/25)*AV40+(1-EXP(-LN(2)/25))/(LN(2)/25)*Calculateur!AQ41*Calculateur!AS41*VLOOKUP('Données projet'!$B$10,Paramètres!$A$1:$I$89,3,0)*0.475*44/12</f>
        <v>34.135368730700897</v>
      </c>
      <c r="AW41" s="21">
        <f>EXP(-LN(2)/2)*AW40+(1-EXP(-LN(2)/2))/(LN(2)/2)*AQ41*AT41*VLOOKUP('Données projet'!$B$10,Paramètres!$A$1:$I$89,3,0)*0.475*44/12</f>
        <v>0.9011223602961026</v>
      </c>
      <c r="AX41" s="21">
        <f t="shared" si="6"/>
        <v>41.302175302168919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11.2</v>
      </c>
      <c r="BD41" s="12">
        <f>IF('Données projet'!$A$88&gt;35,BD40+BC41-BL40,IF(A41&lt;'Données projet'!$A$88,$BA$205^A41,IF(A41='Données projet'!$A$88,'Données projet'!$B$88,BD40+BC41-BL40)))</f>
        <v>152.60000000000002</v>
      </c>
      <c r="BE41" s="13">
        <f>BD41*VLOOKUP('Données projet'!$B$11,Paramètres!$A$1:$I$89,3,0)*VLOOKUP('Données projet'!$B$11,Paramètres!$A$1:$I$89,5,0)</f>
        <v>138.07248000000001</v>
      </c>
      <c r="BF41" s="13">
        <f t="shared" si="37"/>
        <v>35.85508207677799</v>
      </c>
      <c r="BG41" s="20">
        <f t="shared" si="7"/>
        <v>302.9238372837217</v>
      </c>
      <c r="BH41" s="59">
        <f t="shared" si="8"/>
        <v>596.25717061705495</v>
      </c>
      <c r="BI41" s="59">
        <f ca="1">AVERAGE(OFFSET($BH$3,0,0,'Données projet'!$E$11+1,1))-AVERAGE(OFFSET($H$3,0,0,'Données projet'!$E$11+1,1))</f>
        <v>405.7176439604217</v>
      </c>
      <c r="BJ41" s="59">
        <f t="shared" si="38"/>
        <v>278.21741231699929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6.2376083131665645</v>
      </c>
      <c r="BQ41" s="21">
        <f>EXP(-LN(2)/25)*BQ40+(1-EXP(-LN(2)/25))/(LN(2)/25)*Calculateur!BL41*Calculateur!BN41*VLOOKUP('Données projet'!$B$11,Paramètres!$A$1:$I$89,3,0)*0.475*44/12</f>
        <v>7.5018320554186086</v>
      </c>
      <c r="BR41" s="21">
        <f>EXP(-LN(2)/2)*BR40+(1-EXP(-LN(2)/2))/(LN(2)/2)*BL41*BO41*VLOOKUP('Données projet'!$B$11,Paramètres!$A$1:$I$89,3,0)*0.475*44/12</f>
        <v>0.53342703683360659</v>
      </c>
      <c r="BS41" s="22">
        <f t="shared" si="9"/>
        <v>14.272867405418779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9.6</v>
      </c>
      <c r="CT41" s="12">
        <f>IF('Données projet'!$A$140&gt;35,CT40+CS41-DB40,IF(A41&lt;'Données projet'!$A$140,$CQ$205^A41,IF(A41='Données projet'!$A$140,'Données projet'!$B$140,CT40+CS41-DB40)))</f>
        <v>172.8</v>
      </c>
      <c r="CU41" s="17">
        <f>CT41*VLOOKUP('Données projet'!$B$13,Paramètres!$A$1:$I$89,3,0)*VLOOKUP('Données projet'!$B$13,Paramètres!$A$1:$I$89,5,0)</f>
        <v>137.47968000000003</v>
      </c>
      <c r="CV41" s="13">
        <f t="shared" si="41"/>
        <v>35.719026553355249</v>
      </c>
      <c r="CW41" s="20">
        <f t="shared" si="13"/>
        <v>301.65441391376049</v>
      </c>
      <c r="CX41" s="59">
        <f t="shared" si="14"/>
        <v>594.98774724709381</v>
      </c>
      <c r="CY41" s="59">
        <f ca="1">AVERAGE(OFFSET($CX$3,0,0,'Données projet'!$E$13+1,1))-AVERAGE(OFFSET($H$3,0,0,'Données projet'!$E$13+1,1))</f>
        <v>299.10536994156814</v>
      </c>
      <c r="CZ41" s="59">
        <f t="shared" si="42"/>
        <v>292.57799203101769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7.1873903760679703</v>
      </c>
      <c r="DG41" s="21">
        <f>EXP(-LN(2)/25)*DG40+(1-EXP(-LN(2)/25))/(LN(2)/25)*Calculateur!DB41*Calculateur!DD41*VLOOKUP('Données projet'!$B$13,Paramètres!$A$1:$I$89,3,0)*0.475*44/12</f>
        <v>8.6617702643318442</v>
      </c>
      <c r="DH41" s="21">
        <f>EXP(-LN(2)/2)*DH40+(1-EXP(-LN(2)/2))/(LN(2)/2)*DB41*DE41*VLOOKUP('Données projet'!$B$13,Paramètres!$A$1:$I$89,3,0)*0.475*44/12</f>
        <v>0.56079053567656534</v>
      </c>
      <c r="DI41" s="22">
        <f t="shared" si="15"/>
        <v>16.40995117607638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8.8000000000000007</v>
      </c>
      <c r="DO41" s="12">
        <f>IF('Données projet'!$A$166&gt;35,DO40+DN41-DW40,IF(A41&lt;'Données projet'!$A$166,$DL$205^A41,IF(A41='Données projet'!$A$166,'Données projet'!$B$166,DO40+DN41-DW40)))</f>
        <v>206.4</v>
      </c>
      <c r="DP41" s="17">
        <f>DO41*VLOOKUP('Données projet'!$B$14,Paramètres!$A$1:$I$89,3,0)*VLOOKUP('Données projet'!$B$14,Paramètres!$A$1:$I$89,5,0)</f>
        <v>135.23328000000001</v>
      </c>
      <c r="DQ41" s="13">
        <f t="shared" si="43"/>
        <v>35.202825080004438</v>
      </c>
      <c r="DR41" s="20">
        <f t="shared" si="16"/>
        <v>296.842883014341</v>
      </c>
      <c r="DS41" s="59">
        <f t="shared" si="17"/>
        <v>590.17621634767431</v>
      </c>
      <c r="DT41" s="59">
        <f ca="1">AVERAGE(OFFSET($DS$3,0,0,'Données projet'!$E$14+1,1))-AVERAGE(OFFSET($H$3,0,0,'Données projet'!$E$14+1,1))</f>
        <v>295.92103934364718</v>
      </c>
      <c r="DU41" s="59">
        <f t="shared" si="44"/>
        <v>304.84379909635476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3.8068198330805383</v>
      </c>
      <c r="EB41" s="21">
        <f>EXP(-LN(2)/25)*EB40+(1-EXP(-LN(2)/25))/(LN(2)/25)*Calculateur!DW41*Calculateur!DY41*VLOOKUP('Données projet'!$B$14,Paramètres!$A$1:$I$89,3,0)*0.475*44/12</f>
        <v>5.729372867041147</v>
      </c>
      <c r="EC41" s="21">
        <f>EXP(-LN(2)/2)*EC40+(1-EXP(-LN(2)/2))/(LN(2)/2)*DW41*DZ41*VLOOKUP('Données projet'!$B$14,Paramètres!$A$1:$I$89,3,0)*0.475*44/12</f>
        <v>0.35966965634207593</v>
      </c>
      <c r="ED41" s="22">
        <f t="shared" si="18"/>
        <v>9.8958623564637609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10</v>
      </c>
      <c r="EJ41" s="12">
        <f>IF('Données projet'!$A$192&gt;35,EJ40+EI41-ER40,IF(A41&lt;'Données projet'!$A$192,$EG$205^A41,IF(A41='Données projet'!$A$192,'Données projet'!$B$192,EJ40+EI41-ER40)))</f>
        <v>194.99999999999994</v>
      </c>
      <c r="EK41" s="17">
        <f>EJ41*VLOOKUP('Données projet'!$B$15,Paramètres!$A$1:$I$89,3,0)*VLOOKUP('Données projet'!$B$15,Paramètres!$A$1:$I$89,5,0)</f>
        <v>116.60999999999997</v>
      </c>
      <c r="EL41" s="13">
        <f t="shared" si="45"/>
        <v>30.883023623410974</v>
      </c>
      <c r="EM41" s="20">
        <f t="shared" si="19"/>
        <v>256.88368281077408</v>
      </c>
      <c r="EN41" s="59">
        <f t="shared" si="20"/>
        <v>550.21701614410745</v>
      </c>
      <c r="EO41" s="59">
        <f ca="1">AVERAGE(OFFSET($EN$3,0,0,'Données projet'!$E$15+1,1))-AVERAGE(OFFSET($H$3,0,0,'Données projet'!$E$15+1,1))</f>
        <v>207.2913533618397</v>
      </c>
      <c r="EP41" s="59">
        <f t="shared" si="46"/>
        <v>230.81096055024483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5.9081859310432945</v>
      </c>
      <c r="EW41" s="21">
        <f>EXP(-LN(2)/25)*EW40+(1-EXP(-LN(2)/25))/(LN(2)/25)*Calculateur!ER41*Calculateur!ET41*VLOOKUP('Données projet'!$B$15,Paramètres!$A$1:$I$89,3,0)*0.475*44/12</f>
        <v>4.831389979589356</v>
      </c>
      <c r="EX41" s="21">
        <f>EXP(-LN(2)/2)*EX40+(1-EXP(-LN(2)/2))/(LN(2)/2)*ER41*EU41*VLOOKUP('Données projet'!$B$15,Paramètres!$A$1:$I$89,3,0)*0.475*44/12</f>
        <v>0.18434422461047509</v>
      </c>
      <c r="EY41" s="22">
        <f t="shared" si="21"/>
        <v>10.923920135243126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233.49999999999989</v>
      </c>
      <c r="O42" s="13">
        <f>N42*VLOOKUP('Données projet'!$B$9,Paramètres!$A$1:$I$89,3,0)*VLOOKUP('Données projet'!$B$9,Paramètres!$A$1:$I$89,5,0)</f>
        <v>109.27799999999995</v>
      </c>
      <c r="P42" s="13">
        <f t="shared" si="33"/>
        <v>29.160810599699261</v>
      </c>
      <c r="Q42" s="20">
        <f t="shared" si="53"/>
        <v>241.11426179447608</v>
      </c>
      <c r="R42" s="59">
        <f t="shared" si="0"/>
        <v>534.44759512780934</v>
      </c>
      <c r="S42" s="59">
        <f ca="1">AVERAGE(OFFSET($R$3,0,0,'Données projet'!$E$9+1,1))-AVERAGE(OFFSET($H$3,0,0,'Données projet'!$E$9+1,1))</f>
        <v>319.22903094674564</v>
      </c>
      <c r="T42" s="59">
        <f t="shared" si="34"/>
        <v>254.58690973142848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7.5944227967780238</v>
      </c>
      <c r="AA42" s="21">
        <f>EXP(-LN(2)/25)*AA41+(1-EXP(-LN(2)/25))/(LN(2)/25)*Calculateur!V42*Calculateur!X42*VLOOKUP('Données projet'!$B$9,Paramètres!$A$1:$I$89,3,0)*0.475*44/12</f>
        <v>8.6887137292968486</v>
      </c>
      <c r="AB42" s="21">
        <f>EXP(-LN(2)/2)*AB41+(1-EXP(-LN(2)/2))/(LN(2)/2)*V42*Y42*VLOOKUP('Données projet'!$B$9,Paramètres!$A$1:$I$89,3,0)*0.475*44/12</f>
        <v>0.48804194683773744</v>
      </c>
      <c r="AC42" s="22">
        <f t="shared" si="3"/>
        <v>16.771178472912609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27</v>
      </c>
      <c r="AI42" s="13">
        <f>IF('Données projet'!$A$62&gt;35,AI41+AH42-AQ41,IF(A42&lt;'Données projet'!$A$62,$AF$205^A42,IF(A42='Données projet'!$A$62,'Données projet'!$B$62,AI41+AH42-AQ41)))</f>
        <v>611.99999999999989</v>
      </c>
      <c r="AJ42" s="13">
        <f>AI42*VLOOKUP('Données projet'!$B$10,Paramètres!$A$1:$I$89,3,0)*VLOOKUP('Données projet'!$B$10,Paramètres!$A$1:$I$89,5,0)</f>
        <v>342.10799999999995</v>
      </c>
      <c r="AK42" s="13">
        <f t="shared" si="35"/>
        <v>79.935315774430151</v>
      </c>
      <c r="AL42" s="20">
        <f t="shared" si="4"/>
        <v>735.0587749737989</v>
      </c>
      <c r="AM42" s="59">
        <f t="shared" si="5"/>
        <v>1028.3921083071323</v>
      </c>
      <c r="AN42" s="59">
        <f ca="1">AVERAGE(OFFSET($AM$3,0,0,'Données projet'!$E$10+1,1))-AVERAGE(OFFSET($H$3,0,0,'Données projet'!$E$10+1,1))</f>
        <v>544.48194192356823</v>
      </c>
      <c r="AO42" s="59">
        <f t="shared" si="36"/>
        <v>668.20427590250733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6.1428179654808481</v>
      </c>
      <c r="AV42" s="21">
        <f>EXP(-LN(2)/25)*AV41+(1-EXP(-LN(2)/25))/(LN(2)/25)*Calculateur!AQ42*Calculateur!AS42*VLOOKUP('Données projet'!$B$10,Paramètres!$A$1:$I$89,3,0)*0.475*44/12</f>
        <v>33.201935277658855</v>
      </c>
      <c r="AW42" s="21">
        <f>EXP(-LN(2)/2)*AW41+(1-EXP(-LN(2)/2))/(LN(2)/2)*AQ42*AT42*VLOOKUP('Données projet'!$B$10,Paramètres!$A$1:$I$89,3,0)*0.475*44/12</f>
        <v>0.63718973164420145</v>
      </c>
      <c r="AX42" s="21">
        <f t="shared" si="6"/>
        <v>39.981942974783905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11.2</v>
      </c>
      <c r="BD42" s="12">
        <f>IF('Données projet'!$A$88&gt;35,BD41+BC42-BL41,IF(A42&lt;'Données projet'!$A$88,$BA$205^A42,IF(A42='Données projet'!$A$88,'Données projet'!$B$88,BD41+BC42-BL41)))</f>
        <v>163.80000000000001</v>
      </c>
      <c r="BE42" s="13">
        <f>BD42*VLOOKUP('Données projet'!$B$11,Paramètres!$A$1:$I$89,3,0)*VLOOKUP('Données projet'!$B$11,Paramètres!$A$1:$I$89,5,0)</f>
        <v>148.20624000000001</v>
      </c>
      <c r="BF42" s="13">
        <f t="shared" si="37"/>
        <v>38.170662245893794</v>
      </c>
      <c r="BG42" s="20">
        <f t="shared" si="7"/>
        <v>324.60643807826506</v>
      </c>
      <c r="BH42" s="59">
        <f t="shared" si="8"/>
        <v>617.93977141159837</v>
      </c>
      <c r="BI42" s="59">
        <f ca="1">AVERAGE(OFFSET($BH$3,0,0,'Données projet'!$E$11+1,1))-AVERAGE(OFFSET($H$3,0,0,'Données projet'!$E$11+1,1))</f>
        <v>405.7176439604217</v>
      </c>
      <c r="BJ42" s="59">
        <f t="shared" si="38"/>
        <v>278.21741231699929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6.1152926187107699</v>
      </c>
      <c r="BQ42" s="21">
        <f>EXP(-LN(2)/25)*BQ41+(1-EXP(-LN(2)/25))/(LN(2)/25)*Calculateur!BL42*Calculateur!BN42*VLOOKUP('Données projet'!$B$11,Paramètres!$A$1:$I$89,3,0)*0.475*44/12</f>
        <v>7.2966940633589843</v>
      </c>
      <c r="BR42" s="21">
        <f>EXP(-LN(2)/2)*BR41+(1-EXP(-LN(2)/2))/(LN(2)/2)*BL42*BO42*VLOOKUP('Données projet'!$B$11,Paramètres!$A$1:$I$89,3,0)*0.475*44/12</f>
        <v>0.37718987501328949</v>
      </c>
      <c r="BS42" s="22">
        <f t="shared" si="9"/>
        <v>13.789176557083044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9.6</v>
      </c>
      <c r="CT42" s="12">
        <f>IF('Données projet'!$A$140&gt;35,CT41+CS42-DB41,IF(A42&lt;'Données projet'!$A$140,$CQ$205^A42,IF(A42='Données projet'!$A$140,'Données projet'!$B$140,CT41+CS42-DB41)))</f>
        <v>182.4</v>
      </c>
      <c r="CU42" s="17">
        <f>CT42*VLOOKUP('Données projet'!$B$13,Paramètres!$A$1:$I$89,3,0)*VLOOKUP('Données projet'!$B$13,Paramètres!$A$1:$I$89,5,0)</f>
        <v>145.11744000000002</v>
      </c>
      <c r="CV42" s="13">
        <f t="shared" si="41"/>
        <v>37.466878406916173</v>
      </c>
      <c r="CW42" s="20">
        <f t="shared" si="13"/>
        <v>318.00102122537902</v>
      </c>
      <c r="CX42" s="59">
        <f t="shared" si="14"/>
        <v>611.33435455871233</v>
      </c>
      <c r="CY42" s="59">
        <f ca="1">AVERAGE(OFFSET($CX$3,0,0,'Données projet'!$E$13+1,1))-AVERAGE(OFFSET($H$3,0,0,'Données projet'!$E$13+1,1))</f>
        <v>299.10536994156814</v>
      </c>
      <c r="CZ42" s="59">
        <f t="shared" si="42"/>
        <v>292.57799203101769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7.0464500346685348</v>
      </c>
      <c r="DG42" s="21">
        <f>EXP(-LN(2)/25)*DG41+(1-EXP(-LN(2)/25))/(LN(2)/25)*Calculateur!DB42*Calculateur!DD42*VLOOKUP('Données projet'!$B$13,Paramètres!$A$1:$I$89,3,0)*0.475*44/12</f>
        <v>8.424913700950988</v>
      </c>
      <c r="DH42" s="21">
        <f>EXP(-LN(2)/2)*DH41+(1-EXP(-LN(2)/2))/(LN(2)/2)*DB42*DE42*VLOOKUP('Données projet'!$B$13,Paramètres!$A$1:$I$89,3,0)*0.475*44/12</f>
        <v>0.39653879060213587</v>
      </c>
      <c r="DI42" s="22">
        <f t="shared" si="15"/>
        <v>15.867902526221659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8.8000000000000007</v>
      </c>
      <c r="DO42" s="12">
        <f>IF('Données projet'!$A$166&gt;35,DO41+DN42-DW41,IF(A42&lt;'Données projet'!$A$166,$DL$205^A42,IF(A42='Données projet'!$A$166,'Données projet'!$B$166,DO41+DN42-DW41)))</f>
        <v>215.20000000000002</v>
      </c>
      <c r="DP42" s="17">
        <f>DO42*VLOOKUP('Données projet'!$B$14,Paramètres!$A$1:$I$89,3,0)*VLOOKUP('Données projet'!$B$14,Paramètres!$A$1:$I$89,5,0)</f>
        <v>140.99904000000001</v>
      </c>
      <c r="DQ42" s="13">
        <f t="shared" si="43"/>
        <v>36.525776729948824</v>
      </c>
      <c r="DR42" s="20">
        <f t="shared" si="16"/>
        <v>309.18905580466088</v>
      </c>
      <c r="DS42" s="59">
        <f t="shared" si="17"/>
        <v>602.5223891379942</v>
      </c>
      <c r="DT42" s="59">
        <f ca="1">AVERAGE(OFFSET($DS$3,0,0,'Données projet'!$E$14+1,1))-AVERAGE(OFFSET($H$3,0,0,'Données projet'!$E$14+1,1))</f>
        <v>295.92103934364718</v>
      </c>
      <c r="DU42" s="59">
        <f t="shared" si="44"/>
        <v>304.84379909635476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3.7321704180846553</v>
      </c>
      <c r="EB42" s="21">
        <f>EXP(-LN(2)/25)*EB41+(1-EXP(-LN(2)/25))/(LN(2)/25)*Calculateur!DW42*Calculateur!DY42*VLOOKUP('Données projet'!$B$14,Paramètres!$A$1:$I$89,3,0)*0.475*44/12</f>
        <v>5.5727028646972823</v>
      </c>
      <c r="EC42" s="21">
        <f>EXP(-LN(2)/2)*EC41+(1-EXP(-LN(2)/2))/(LN(2)/2)*DW42*DZ42*VLOOKUP('Données projet'!$B$14,Paramètres!$A$1:$I$89,3,0)*0.475*44/12</f>
        <v>0.25432485298651702</v>
      </c>
      <c r="ED42" s="22">
        <f t="shared" si="18"/>
        <v>9.5591981357684546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10</v>
      </c>
      <c r="EJ42" s="12">
        <f>IF('Données projet'!$A$192&gt;35,EJ41+EI42-ER41,IF(A42&lt;'Données projet'!$A$192,$EG$205^A42,IF(A42='Données projet'!$A$192,'Données projet'!$B$192,EJ41+EI42-ER41)))</f>
        <v>204.99999999999994</v>
      </c>
      <c r="EK42" s="17">
        <f>EJ42*VLOOKUP('Données projet'!$B$15,Paramètres!$A$1:$I$89,3,0)*VLOOKUP('Données projet'!$B$15,Paramètres!$A$1:$I$89,5,0)</f>
        <v>122.58999999999997</v>
      </c>
      <c r="EL42" s="13">
        <f t="shared" si="45"/>
        <v>32.278321478706822</v>
      </c>
      <c r="EM42" s="20">
        <f t="shared" si="19"/>
        <v>269.728993242081</v>
      </c>
      <c r="EN42" s="59">
        <f t="shared" si="20"/>
        <v>563.06232657541432</v>
      </c>
      <c r="EO42" s="59">
        <f ca="1">AVERAGE(OFFSET($EN$3,0,0,'Données projet'!$E$15+1,1))-AVERAGE(OFFSET($H$3,0,0,'Données projet'!$E$15+1,1))</f>
        <v>207.2913533618397</v>
      </c>
      <c r="EP42" s="59">
        <f t="shared" si="46"/>
        <v>230.81096055024483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5.7923300085731242</v>
      </c>
      <c r="EW42" s="21">
        <f>EXP(-LN(2)/25)*EW41+(1-EXP(-LN(2)/25))/(LN(2)/25)*Calculateur!ER42*Calculateur!ET42*VLOOKUP('Données projet'!$B$15,Paramètres!$A$1:$I$89,3,0)*0.475*44/12</f>
        <v>4.6992753665257281</v>
      </c>
      <c r="EX42" s="21">
        <f>EXP(-LN(2)/2)*EX41+(1-EXP(-LN(2)/2))/(LN(2)/2)*ER42*EU42*VLOOKUP('Données projet'!$B$15,Paramètres!$A$1:$I$89,3,0)*0.475*44/12</f>
        <v>0.13035105129464297</v>
      </c>
      <c r="EY42" s="22">
        <f t="shared" si="21"/>
        <v>10.621956426393496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243.5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243.49999999999989</v>
      </c>
      <c r="O43" s="13">
        <f>N43*VLOOKUP('Données projet'!$B$9,Paramètres!$A$1:$I$89,3,0)*VLOOKUP('Données projet'!$B$9,Paramètres!$A$1:$I$89,5,0)</f>
        <v>113.95799999999994</v>
      </c>
      <c r="P43" s="13">
        <f t="shared" si="33"/>
        <v>30.261593043834445</v>
      </c>
      <c r="Q43" s="20">
        <f t="shared" si="53"/>
        <v>251.1824578846782</v>
      </c>
      <c r="R43" s="59">
        <f t="shared" si="0"/>
        <v>544.51579121801149</v>
      </c>
      <c r="S43" s="59">
        <f ca="1">AVERAGE(OFFSET($R$3,0,0,'Données projet'!$E$9+1,1))-AVERAGE(OFFSET($H$3,0,0,'Données projet'!$E$9+1,1))</f>
        <v>319.22903094674564</v>
      </c>
      <c r="T43" s="59">
        <f t="shared" si="34"/>
        <v>254.58690973142848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7.4455007978737271</v>
      </c>
      <c r="AA43" s="21">
        <f>EXP(-LN(2)/25)*AA42+(1-EXP(-LN(2)/25))/(LN(2)/25)*Calculateur!V43*Calculateur!X43*VLOOKUP('Données projet'!$B$9,Paramètres!$A$1:$I$89,3,0)*0.475*44/12</f>
        <v>8.4511203954496299</v>
      </c>
      <c r="AB43" s="21">
        <f>EXP(-LN(2)/2)*AB42+(1-EXP(-LN(2)/2))/(LN(2)/2)*V43*Y43*VLOOKUP('Données projet'!$B$9,Paramètres!$A$1:$I$89,3,0)*0.475*44/12</f>
        <v>0.34509777011244869</v>
      </c>
      <c r="AC43" s="22">
        <f t="shared" si="3"/>
        <v>16.241718963435805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639</v>
      </c>
      <c r="AG43" s="12">
        <f>VLOOKUP(A43,'Données projet'!$A$61:$I$81,9,0)</f>
        <v>27</v>
      </c>
      <c r="AH43" s="12">
        <f t="array" ref="AH43">INDEX(AG:AG,MIN(IF(ISNUMBER(AG43:AG239),ROW(AG43:AG239),"")))</f>
        <v>27</v>
      </c>
      <c r="AI43" s="13">
        <f>IF('Données projet'!$A$62&gt;35,AI42+AH43-AQ42,IF(A43&lt;'Données projet'!$A$62,$AF$205^A43,IF(A43='Données projet'!$A$62,'Données projet'!$B$62,AI42+AH43-AQ42)))</f>
        <v>638.99999999999989</v>
      </c>
      <c r="AJ43" s="13">
        <f>AI43*VLOOKUP('Données projet'!$B$10,Paramètres!$A$1:$I$89,3,0)*VLOOKUP('Données projet'!$B$10,Paramètres!$A$1:$I$89,5,0)</f>
        <v>357.20099999999991</v>
      </c>
      <c r="AK43" s="13">
        <f t="shared" si="35"/>
        <v>83.043509879488369</v>
      </c>
      <c r="AL43" s="20">
        <f t="shared" si="4"/>
        <v>766.75918804010871</v>
      </c>
      <c r="AM43" s="59">
        <f t="shared" si="5"/>
        <v>1060.092521373442</v>
      </c>
      <c r="AN43" s="59">
        <f ca="1">AVERAGE(OFFSET($AM$3,0,0,'Données projet'!$E$10+1,1))-AVERAGE(OFFSET($H$3,0,0,'Données projet'!$E$10+1,1))</f>
        <v>544.48194192356823</v>
      </c>
      <c r="AO43" s="59">
        <f t="shared" si="36"/>
        <v>668.20427590250733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77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6.022361051926767</v>
      </c>
      <c r="AV43" s="21">
        <f>EXP(-LN(2)/25)*AV42+(1-EXP(-LN(2)/25))/(LN(2)/25)*Calculateur!AQ43*Calculateur!AS43*VLOOKUP('Données projet'!$B$10,Paramètres!$A$1:$I$89,3,0)*0.475*44/12</f>
        <v>32.294026611477378</v>
      </c>
      <c r="AW43" s="21">
        <f>EXP(-LN(2)/2)*AW42+(1-EXP(-LN(2)/2))/(LN(2)/2)*AQ43*AT43*VLOOKUP('Données projet'!$B$10,Paramètres!$A$1:$I$89,3,0)*0.475*44/12</f>
        <v>0.4505611801480513</v>
      </c>
      <c r="AX43" s="21">
        <f t="shared" si="6"/>
        <v>38.766948843552193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175</v>
      </c>
      <c r="BB43" s="12">
        <f>VLOOKUP(A43,'Données projet'!$A$87:$I$107,9,0)</f>
        <v>11.2</v>
      </c>
      <c r="BC43" s="12">
        <f t="array" ref="BC43">INDEX(BB:BB,MIN(IF(ISNUMBER(BB43:BB239),ROW(BB43:BB239),"")))</f>
        <v>11.2</v>
      </c>
      <c r="BD43" s="12">
        <f>IF('Données projet'!$A$88&gt;35,BD42+BC43-BL42,IF(A43&lt;'Données projet'!$A$88,$BA$205^A43,IF(A43='Données projet'!$A$88,'Données projet'!$B$88,BD42+BC43-BL42)))</f>
        <v>175</v>
      </c>
      <c r="BE43" s="13">
        <f>BD43*VLOOKUP('Données projet'!$B$11,Paramètres!$A$1:$I$89,3,0)*VLOOKUP('Données projet'!$B$11,Paramètres!$A$1:$I$89,5,0)</f>
        <v>158.34</v>
      </c>
      <c r="BF43" s="13">
        <f t="shared" si="37"/>
        <v>40.467870812652819</v>
      </c>
      <c r="BG43" s="20">
        <f t="shared" si="7"/>
        <v>346.25704166537031</v>
      </c>
      <c r="BH43" s="59">
        <f t="shared" si="8"/>
        <v>639.59037499870362</v>
      </c>
      <c r="BI43" s="59">
        <f ca="1">AVERAGE(OFFSET($BH$3,0,0,'Données projet'!$E$11+1,1))-AVERAGE(OFFSET($H$3,0,0,'Données projet'!$E$11+1,1))</f>
        <v>405.7176439604217</v>
      </c>
      <c r="BJ43" s="59">
        <f t="shared" si="38"/>
        <v>278.21741231699929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5.995375460418046</v>
      </c>
      <c r="BQ43" s="21">
        <f>EXP(-LN(2)/25)*BQ42+(1-EXP(-LN(2)/25))/(LN(2)/25)*Calculateur!BL43*Calculateur!BN43*VLOOKUP('Données projet'!$B$11,Paramètres!$A$1:$I$89,3,0)*0.475*44/12</f>
        <v>7.0971655804799685</v>
      </c>
      <c r="BR43" s="21">
        <f>EXP(-LN(2)/2)*BR42+(1-EXP(-LN(2)/2))/(LN(2)/2)*BL43*BO43*VLOOKUP('Données projet'!$B$11,Paramètres!$A$1:$I$89,3,0)*0.475*44/12</f>
        <v>0.2667135184168033</v>
      </c>
      <c r="BS43" s="22">
        <f t="shared" si="9"/>
        <v>13.359254559314818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192</v>
      </c>
      <c r="CR43" s="12">
        <f>VLOOKUP(A43,'Données projet'!$A$139:$I$159,9,0)</f>
        <v>9.6</v>
      </c>
      <c r="CS43" s="12">
        <f t="array" ref="CS43">INDEX(CR:CR,MIN(IF(ISNUMBER(CR43:CR239),ROW(CR43:CR239),"")))</f>
        <v>9.6</v>
      </c>
      <c r="CT43" s="12">
        <f>IF('Données projet'!$A$140&gt;35,CT42+CS43-DB42,IF(A43&lt;'Données projet'!$A$140,$CQ$205^A43,IF(A43='Données projet'!$A$140,'Données projet'!$B$140,CT42+CS43-DB42)))</f>
        <v>192</v>
      </c>
      <c r="CU43" s="17">
        <f>CT43*VLOOKUP('Données projet'!$B$13,Paramètres!$A$1:$I$89,3,0)*VLOOKUP('Données projet'!$B$13,Paramètres!$A$1:$I$89,5,0)</f>
        <v>152.7552</v>
      </c>
      <c r="CV43" s="13">
        <f t="shared" si="41"/>
        <v>39.204049895729561</v>
      </c>
      <c r="CW43" s="20">
        <f t="shared" si="13"/>
        <v>334.32902690172892</v>
      </c>
      <c r="CX43" s="59">
        <f t="shared" si="14"/>
        <v>627.66236023506224</v>
      </c>
      <c r="CY43" s="59">
        <f ca="1">AVERAGE(OFFSET($CX$3,0,0,'Données projet'!$E$13+1,1))-AVERAGE(OFFSET($H$3,0,0,'Données projet'!$E$13+1,1))</f>
        <v>299.10536994156814</v>
      </c>
      <c r="CZ43" s="59">
        <f t="shared" si="42"/>
        <v>292.57799203101769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6.9082734473988223</v>
      </c>
      <c r="DG43" s="21">
        <f>EXP(-LN(2)/25)*DG42+(1-EXP(-LN(2)/25))/(LN(2)/25)*Calculateur!DB43*Calculateur!DD43*VLOOKUP('Données projet'!$B$13,Paramètres!$A$1:$I$89,3,0)*0.475*44/12</f>
        <v>8.1945339927515271</v>
      </c>
      <c r="DH43" s="21">
        <f>EXP(-LN(2)/2)*DH42+(1-EXP(-LN(2)/2))/(LN(2)/2)*DB43*DE43*VLOOKUP('Données projet'!$B$13,Paramètres!$A$1:$I$89,3,0)*0.475*44/12</f>
        <v>0.28039526783828267</v>
      </c>
      <c r="DI43" s="22">
        <f t="shared" si="15"/>
        <v>15.383202707988634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224</v>
      </c>
      <c r="DM43" s="12">
        <f>VLOOKUP(A43,'Données projet'!$A$165:$I$185,9,0)</f>
        <v>8.8000000000000007</v>
      </c>
      <c r="DN43" s="12">
        <f t="array" ref="DN43">INDEX(DM:DM,MIN(IF(ISNUMBER(DM43:DM239),ROW(DM43:DM239),"")))</f>
        <v>8.8000000000000007</v>
      </c>
      <c r="DO43" s="12">
        <f>IF('Données projet'!$A$166&gt;35,DO42+DN43-DW42,IF(A43&lt;'Données projet'!$A$166,$DL$205^A43,IF(A43='Données projet'!$A$166,'Données projet'!$B$166,DO42+DN43-DW42)))</f>
        <v>224.00000000000003</v>
      </c>
      <c r="DP43" s="17">
        <f>DO43*VLOOKUP('Données projet'!$B$14,Paramètres!$A$1:$I$89,3,0)*VLOOKUP('Données projet'!$B$14,Paramètres!$A$1:$I$89,5,0)</f>
        <v>146.76480000000004</v>
      </c>
      <c r="DQ43" s="13">
        <f t="shared" si="43"/>
        <v>37.842444439956665</v>
      </c>
      <c r="DR43" s="20">
        <f t="shared" si="16"/>
        <v>321.52428406625791</v>
      </c>
      <c r="DS43" s="59">
        <f t="shared" si="17"/>
        <v>614.85761739959116</v>
      </c>
      <c r="DT43" s="59">
        <f ca="1">AVERAGE(OFFSET($DS$3,0,0,'Données projet'!$E$14+1,1))-AVERAGE(OFFSET($H$3,0,0,'Données projet'!$E$14+1,1))</f>
        <v>295.92103934364718</v>
      </c>
      <c r="DU43" s="59">
        <f t="shared" si="44"/>
        <v>304.84379909635476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3.6589848325851944</v>
      </c>
      <c r="EB43" s="21">
        <f>EXP(-LN(2)/25)*EB42+(1-EXP(-LN(2)/25))/(LN(2)/25)*Calculateur!DW43*Calculateur!DY43*VLOOKUP('Données projet'!$B$14,Paramètres!$A$1:$I$89,3,0)*0.475*44/12</f>
        <v>5.4203170118064277</v>
      </c>
      <c r="EC43" s="21">
        <f>EXP(-LN(2)/2)*EC42+(1-EXP(-LN(2)/2))/(LN(2)/2)*DW43*DZ43*VLOOKUP('Données projet'!$B$14,Paramètres!$A$1:$I$89,3,0)*0.475*44/12</f>
        <v>0.17983482817103796</v>
      </c>
      <c r="ED43" s="22">
        <f t="shared" si="18"/>
        <v>9.2591366725626596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215</v>
      </c>
      <c r="EH43" s="12">
        <f>VLOOKUP(A43,'Données projet'!$A$191:$I$211,9,0)</f>
        <v>10</v>
      </c>
      <c r="EI43" s="12">
        <f t="array" ref="EI43">INDEX(EH:EH,MIN(IF(ISNUMBER(EH43:EH239),ROW(EH43:EH239),"")))</f>
        <v>10</v>
      </c>
      <c r="EJ43" s="12">
        <f>IF('Données projet'!$A$192&gt;35,EJ42+EI43-ER42,IF(A43&lt;'Données projet'!$A$192,$EG$205^A43,IF(A43='Données projet'!$A$192,'Données projet'!$B$192,EJ42+EI43-ER42)))</f>
        <v>214.99999999999994</v>
      </c>
      <c r="EK43" s="17">
        <f>EJ43*VLOOKUP('Données projet'!$B$15,Paramètres!$A$1:$I$89,3,0)*VLOOKUP('Données projet'!$B$15,Paramètres!$A$1:$I$89,5,0)</f>
        <v>128.56999999999996</v>
      </c>
      <c r="EL43" s="13">
        <f t="shared" si="45"/>
        <v>33.665715905233249</v>
      </c>
      <c r="EM43" s="20">
        <f t="shared" si="19"/>
        <v>282.5605385349478</v>
      </c>
      <c r="EN43" s="59">
        <f t="shared" si="20"/>
        <v>575.89387186828117</v>
      </c>
      <c r="EO43" s="59">
        <f ca="1">AVERAGE(OFFSET($EN$3,0,0,'Données projet'!$E$15+1,1))-AVERAGE(OFFSET($H$3,0,0,'Données projet'!$E$15+1,1))</f>
        <v>207.2913533618397</v>
      </c>
      <c r="EP43" s="59">
        <f t="shared" si="46"/>
        <v>230.81096055024483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31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5.6787459500774586</v>
      </c>
      <c r="EW43" s="21">
        <f>EXP(-LN(2)/25)*EW42+(1-EXP(-LN(2)/25))/(LN(2)/25)*Calculateur!ER43*Calculateur!ET43*VLOOKUP('Données projet'!$B$15,Paramètres!$A$1:$I$89,3,0)*0.475*44/12</f>
        <v>4.5707734345039306</v>
      </c>
      <c r="EX43" s="21">
        <f>EXP(-LN(2)/2)*EX42+(1-EXP(-LN(2)/2))/(LN(2)/2)*ER43*EU43*VLOOKUP('Données projet'!$B$15,Paramètres!$A$1:$I$89,3,0)*0.475*44/12</f>
        <v>9.2172112305237544E-2</v>
      </c>
      <c r="EY43" s="22">
        <f t="shared" si="21"/>
        <v>10.341691496886627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184.99999999999989</v>
      </c>
      <c r="O44" s="13">
        <f>N44*VLOOKUP('Données projet'!$B$9,Paramètres!$A$1:$I$89,3,0)*VLOOKUP('Données projet'!$B$9,Paramètres!$A$1:$I$89,5,0)</f>
        <v>86.579999999999941</v>
      </c>
      <c r="P44" s="13">
        <f t="shared" si="33"/>
        <v>23.738552844733956</v>
      </c>
      <c r="Q44" s="20">
        <f t="shared" si="53"/>
        <v>192.13814620457819</v>
      </c>
      <c r="R44" s="59">
        <f t="shared" si="0"/>
        <v>485.47147953791148</v>
      </c>
      <c r="S44" s="59">
        <f ca="1">AVERAGE(OFFSET($R$3,0,0,'Données projet'!$E$9+1,1))-AVERAGE(OFFSET($H$3,0,0,'Données projet'!$E$9+1,1))</f>
        <v>319.22903094674564</v>
      </c>
      <c r="T44" s="59">
        <f t="shared" si="34"/>
        <v>254.58690973142848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7.2994990685344936</v>
      </c>
      <c r="AA44" s="21">
        <f>EXP(-LN(2)/25)*AA43+(1-EXP(-LN(2)/25))/(LN(2)/25)*Calculateur!V44*Calculateur!X44*VLOOKUP('Données projet'!$B$9,Paramètres!$A$1:$I$89,3,0)*0.475*44/12</f>
        <v>8.2200240638109534</v>
      </c>
      <c r="AB44" s="21">
        <f>EXP(-LN(2)/2)*AB43+(1-EXP(-LN(2)/2))/(LN(2)/2)*V44*Y44*VLOOKUP('Données projet'!$B$9,Paramètres!$A$1:$I$89,3,0)*0.475*44/12</f>
        <v>0.24402097341886875</v>
      </c>
      <c r="AC44" s="22">
        <f t="shared" si="3"/>
        <v>15.763544105764316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24.8</v>
      </c>
      <c r="AI44" s="13">
        <f>IF('Données projet'!$A$62&gt;35,AI43+AH44-AQ43,IF(A44&lt;'Données projet'!$A$62,$AF$205^A44,IF(A44='Données projet'!$A$62,'Données projet'!$B$62,AI43+AH44-AQ43)))</f>
        <v>586.79999999999984</v>
      </c>
      <c r="AJ44" s="13">
        <f>AI44*VLOOKUP('Données projet'!$B$10,Paramètres!$A$1:$I$89,3,0)*VLOOKUP('Données projet'!$B$10,Paramètres!$A$1:$I$89,5,0)</f>
        <v>328.02119999999991</v>
      </c>
      <c r="AK44" s="13">
        <f t="shared" si="35"/>
        <v>77.019907950957702</v>
      </c>
      <c r="AL44" s="20">
        <f t="shared" si="4"/>
        <v>705.44659634791776</v>
      </c>
      <c r="AM44" s="59">
        <f t="shared" si="5"/>
        <v>998.77992968125113</v>
      </c>
      <c r="AN44" s="59">
        <f ca="1">AVERAGE(OFFSET($AM$3,0,0,'Données projet'!$E$10+1,1))-AVERAGE(OFFSET($H$3,0,0,'Données projet'!$E$10+1,1))</f>
        <v>544.48194192356823</v>
      </c>
      <c r="AO44" s="59">
        <f t="shared" si="36"/>
        <v>668.20427590250733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5.9042662249760189</v>
      </c>
      <c r="AV44" s="21">
        <f>EXP(-LN(2)/25)*AV43+(1-EXP(-LN(2)/25))/(LN(2)/25)*Calculateur!AQ44*Calculateur!AS44*VLOOKUP('Données projet'!$B$10,Paramètres!$A$1:$I$89,3,0)*0.475*44/12</f>
        <v>31.410944755517477</v>
      </c>
      <c r="AW44" s="21">
        <f>EXP(-LN(2)/2)*AW43+(1-EXP(-LN(2)/2))/(LN(2)/2)*AQ44*AT44*VLOOKUP('Données projet'!$B$10,Paramètres!$A$1:$I$89,3,0)*0.475*44/12</f>
        <v>0.31859486582210073</v>
      </c>
      <c r="AX44" s="21">
        <f t="shared" si="6"/>
        <v>37.633805846315596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158.4</v>
      </c>
      <c r="BE44" s="13">
        <f>BD44*VLOOKUP('Données projet'!$B$11,Paramètres!$A$1:$I$89,3,0)*VLOOKUP('Données projet'!$B$11,Paramètres!$A$1:$I$89,5,0)</f>
        <v>143.32032000000001</v>
      </c>
      <c r="BF44" s="13">
        <f t="shared" si="37"/>
        <v>37.056603420232349</v>
      </c>
      <c r="BG44" s="20">
        <f t="shared" si="7"/>
        <v>314.15647495690467</v>
      </c>
      <c r="BH44" s="59">
        <f t="shared" si="8"/>
        <v>607.48980829023799</v>
      </c>
      <c r="BI44" s="59">
        <f ca="1">AVERAGE(OFFSET($BH$3,0,0,'Données projet'!$E$11+1,1))-AVERAGE(OFFSET($H$3,0,0,'Données projet'!$E$11+1,1))</f>
        <v>405.7176439604217</v>
      </c>
      <c r="BJ44" s="59">
        <f t="shared" si="38"/>
        <v>278.21741231699929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5.8778098044571978</v>
      </c>
      <c r="BQ44" s="21">
        <f>EXP(-LN(2)/25)*BQ43+(1-EXP(-LN(2)/25))/(LN(2)/25)*Calculateur!BL44*Calculateur!BN44*VLOOKUP('Données projet'!$B$11,Paramètres!$A$1:$I$89,3,0)*0.475*44/12</f>
        <v>6.9030932144580266</v>
      </c>
      <c r="BR44" s="21">
        <f>EXP(-LN(2)/2)*BR43+(1-EXP(-LN(2)/2))/(LN(2)/2)*BL44*BO44*VLOOKUP('Données projet'!$B$11,Paramètres!$A$1:$I$89,3,0)*0.475*44/12</f>
        <v>0.18859493750664474</v>
      </c>
      <c r="BS44" s="22">
        <f t="shared" si="9"/>
        <v>12.96949795642187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8.1999999999999993</v>
      </c>
      <c r="CT44" s="12">
        <f>IF('Données projet'!$A$140&gt;35,CT43+CS44-DB43,IF(A44&lt;'Données projet'!$A$140,$CQ$205^A44,IF(A44='Données projet'!$A$140,'Données projet'!$B$140,CT43+CS44-DB43)))</f>
        <v>172.2</v>
      </c>
      <c r="CU44" s="17">
        <f>CT44*VLOOKUP('Données projet'!$B$13,Paramètres!$A$1:$I$89,3,0)*VLOOKUP('Données projet'!$B$13,Paramètres!$A$1:$I$89,5,0)</f>
        <v>137.00232</v>
      </c>
      <c r="CV44" s="13">
        <f t="shared" si="41"/>
        <v>35.609416420931346</v>
      </c>
      <c r="CW44" s="20">
        <f t="shared" si="13"/>
        <v>300.63210759978875</v>
      </c>
      <c r="CX44" s="59">
        <f t="shared" si="14"/>
        <v>593.96544093312207</v>
      </c>
      <c r="CY44" s="59">
        <f ca="1">AVERAGE(OFFSET($CX$3,0,0,'Données projet'!$E$13+1,1))-AVERAGE(OFFSET($H$3,0,0,'Données projet'!$E$13+1,1))</f>
        <v>299.10536994156814</v>
      </c>
      <c r="CZ44" s="59">
        <f t="shared" si="42"/>
        <v>292.57799203101769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6.7728064187260726</v>
      </c>
      <c r="DG44" s="21">
        <f>EXP(-LN(2)/25)*DG43+(1-EXP(-LN(2)/25))/(LN(2)/25)*Calculateur!DB44*Calculateur!DD44*VLOOKUP('Données projet'!$B$13,Paramètres!$A$1:$I$89,3,0)*0.475*44/12</f>
        <v>7.9704540297879225</v>
      </c>
      <c r="DH44" s="21">
        <f>EXP(-LN(2)/2)*DH43+(1-EXP(-LN(2)/2))/(LN(2)/2)*DB44*DE44*VLOOKUP('Données projet'!$B$13,Paramètres!$A$1:$I$89,3,0)*0.475*44/12</f>
        <v>0.19826939530106794</v>
      </c>
      <c r="DI44" s="22">
        <f t="shared" si="15"/>
        <v>14.941529843815063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204.20000000000002</v>
      </c>
      <c r="DP44" s="17">
        <f>DO44*VLOOKUP('Données projet'!$B$14,Paramètres!$A$1:$I$89,3,0)*VLOOKUP('Données projet'!$B$14,Paramètres!$A$1:$I$89,5,0)</f>
        <v>133.79184000000001</v>
      </c>
      <c r="DQ44" s="13">
        <f t="shared" si="43"/>
        <v>34.87107073670542</v>
      </c>
      <c r="DR44" s="20">
        <f t="shared" si="16"/>
        <v>293.75456953309532</v>
      </c>
      <c r="DS44" s="59">
        <f t="shared" si="17"/>
        <v>587.08790286642864</v>
      </c>
      <c r="DT44" s="59">
        <f ca="1">AVERAGE(OFFSET($DS$3,0,0,'Données projet'!$E$14+1,1))-AVERAGE(OFFSET($H$3,0,0,'Données projet'!$E$14+1,1))</f>
        <v>295.92103934364718</v>
      </c>
      <c r="DU44" s="59">
        <f t="shared" si="44"/>
        <v>304.84379909635476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3.5872343717785786</v>
      </c>
      <c r="EB44" s="21">
        <f>EXP(-LN(2)/25)*EB43+(1-EXP(-LN(2)/25))/(LN(2)/25)*Calculateur!DW44*Calculateur!DY44*VLOOKUP('Données projet'!$B$14,Paramètres!$A$1:$I$89,3,0)*0.475*44/12</f>
        <v>5.2720981580764974</v>
      </c>
      <c r="EC44" s="21">
        <f>EXP(-LN(2)/2)*EC43+(1-EXP(-LN(2)/2))/(LN(2)/2)*DW44*DZ44*VLOOKUP('Données projet'!$B$14,Paramètres!$A$1:$I$89,3,0)*0.475*44/12</f>
        <v>0.12716242649325851</v>
      </c>
      <c r="ED44" s="22">
        <f t="shared" si="18"/>
        <v>8.9864949563483343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7.333333333333333</v>
      </c>
      <c r="EJ44" s="12">
        <f>IF('Données projet'!$A$192&gt;35,EJ43+EI44-ER43,IF(A44&lt;'Données projet'!$A$192,$EG$205^A44,IF(A44='Données projet'!$A$192,'Données projet'!$B$192,EJ43+EI44-ER43)))</f>
        <v>191.33333333333329</v>
      </c>
      <c r="EK44" s="17">
        <f>EJ44*VLOOKUP('Données projet'!$B$15,Paramètres!$A$1:$I$89,3,0)*VLOOKUP('Données projet'!$B$15,Paramètres!$A$1:$I$89,5,0)</f>
        <v>114.41733333333332</v>
      </c>
      <c r="EL44" s="13">
        <f t="shared" si="45"/>
        <v>30.36934592669316</v>
      </c>
      <c r="EM44" s="20">
        <f t="shared" si="19"/>
        <v>252.17013304454611</v>
      </c>
      <c r="EN44" s="59">
        <f t="shared" si="20"/>
        <v>545.50346637787948</v>
      </c>
      <c r="EO44" s="59">
        <f ca="1">AVERAGE(OFFSET($EN$3,0,0,'Données projet'!$E$15+1,1))-AVERAGE(OFFSET($H$3,0,0,'Données projet'!$E$15+1,1))</f>
        <v>207.2913533618397</v>
      </c>
      <c r="EP44" s="59">
        <f t="shared" si="46"/>
        <v>230.81096055024483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5.5673892056894578</v>
      </c>
      <c r="EW44" s="21">
        <f>EXP(-LN(2)/25)*EW43+(1-EXP(-LN(2)/25))/(LN(2)/25)*Calculateur!ER44*Calculateur!ET44*VLOOKUP('Données projet'!$B$15,Paramètres!$A$1:$I$89,3,0)*0.475*44/12</f>
        <v>4.4457853945708923</v>
      </c>
      <c r="EX44" s="21">
        <f>EXP(-LN(2)/2)*EX43+(1-EXP(-LN(2)/2))/(LN(2)/2)*ER44*EU44*VLOOKUP('Données projet'!$B$15,Paramètres!$A$1:$I$89,3,0)*0.475*44/12</f>
        <v>6.5175525647321486E-2</v>
      </c>
      <c r="EY44" s="22">
        <f t="shared" si="21"/>
        <v>10.07835012590767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196.49999999999989</v>
      </c>
      <c r="O45" s="13">
        <f>N45*VLOOKUP('Données projet'!$B$9,Paramètres!$A$1:$I$89,3,0)*VLOOKUP('Données projet'!$B$9,Paramètres!$A$1:$I$89,5,0)</f>
        <v>91.961999999999946</v>
      </c>
      <c r="P45" s="13">
        <f t="shared" si="33"/>
        <v>25.037816603121904</v>
      </c>
      <c r="Q45" s="20">
        <f t="shared" si="53"/>
        <v>203.77468058377053</v>
      </c>
      <c r="R45" s="59">
        <f t="shared" si="0"/>
        <v>497.10801391710385</v>
      </c>
      <c r="S45" s="59">
        <f ca="1">AVERAGE(OFFSET($R$3,0,0,'Données projet'!$E$9+1,1))-AVERAGE(OFFSET($H$3,0,0,'Données projet'!$E$9+1,1))</f>
        <v>319.22903094674564</v>
      </c>
      <c r="T45" s="59">
        <f t="shared" si="34"/>
        <v>254.58690973142848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7.1563603440553401</v>
      </c>
      <c r="AA45" s="21">
        <f>EXP(-LN(2)/25)*AA44+(1-EXP(-LN(2)/25))/(LN(2)/25)*Calculateur!V45*Calculateur!X45*VLOOKUP('Données projet'!$B$9,Paramètres!$A$1:$I$89,3,0)*0.475*44/12</f>
        <v>7.9952470735137648</v>
      </c>
      <c r="AB45" s="21">
        <f>EXP(-LN(2)/2)*AB44+(1-EXP(-LN(2)/2))/(LN(2)/2)*V45*Y45*VLOOKUP('Données projet'!$B$9,Paramètres!$A$1:$I$89,3,0)*0.475*44/12</f>
        <v>0.17254888505622437</v>
      </c>
      <c r="AC45" s="22">
        <f t="shared" si="3"/>
        <v>15.32415630262533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24.8</v>
      </c>
      <c r="AI45" s="13">
        <f>IF('Données projet'!$A$62&gt;35,AI44+AH45-AQ44,IF(A45&lt;'Données projet'!$A$62,$AF$205^A45,IF(A45='Données projet'!$A$62,'Données projet'!$B$62,AI44+AH45-AQ44)))</f>
        <v>611.5999999999998</v>
      </c>
      <c r="AJ45" s="13">
        <f>AI45*VLOOKUP('Données projet'!$B$10,Paramètres!$A$1:$I$89,3,0)*VLOOKUP('Données projet'!$B$10,Paramètres!$A$1:$I$89,5,0)</f>
        <v>341.88439999999986</v>
      </c>
      <c r="AK45" s="13">
        <f t="shared" si="35"/>
        <v>79.889150066970018</v>
      </c>
      <c r="AL45" s="20">
        <f t="shared" si="4"/>
        <v>734.58893303330581</v>
      </c>
      <c r="AM45" s="59">
        <f t="shared" si="5"/>
        <v>1027.9222663666392</v>
      </c>
      <c r="AN45" s="59">
        <f ca="1">AVERAGE(OFFSET($AM$3,0,0,'Données projet'!$E$10+1,1))-AVERAGE(OFFSET($H$3,0,0,'Données projet'!$E$10+1,1))</f>
        <v>544.48194192356823</v>
      </c>
      <c r="AO45" s="59">
        <f t="shared" si="36"/>
        <v>668.20427590250733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5.788487165551043</v>
      </c>
      <c r="AV45" s="21">
        <f>EXP(-LN(2)/25)*AV44+(1-EXP(-LN(2)/25))/(LN(2)/25)*Calculateur!AQ45*Calculateur!AS45*VLOOKUP('Données projet'!$B$10,Paramètres!$A$1:$I$89,3,0)*0.475*44/12</f>
        <v>30.552010819348059</v>
      </c>
      <c r="AW45" s="21">
        <f>EXP(-LN(2)/2)*AW44+(1-EXP(-LN(2)/2))/(LN(2)/2)*AQ45*AT45*VLOOKUP('Données projet'!$B$10,Paramètres!$A$1:$I$89,3,0)*0.475*44/12</f>
        <v>0.22528059007402565</v>
      </c>
      <c r="AX45" s="21">
        <f t="shared" si="6"/>
        <v>36.56577857497313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169.8</v>
      </c>
      <c r="BE45" s="13">
        <f>BD45*VLOOKUP('Données projet'!$B$11,Paramètres!$A$1:$I$89,3,0)*VLOOKUP('Données projet'!$B$11,Paramètres!$A$1:$I$89,5,0)</f>
        <v>153.63504</v>
      </c>
      <c r="BF45" s="13">
        <f t="shared" si="37"/>
        <v>39.403506785222667</v>
      </c>
      <c r="BG45" s="20">
        <f t="shared" si="7"/>
        <v>336.20880231759617</v>
      </c>
      <c r="BH45" s="59">
        <f t="shared" si="8"/>
        <v>629.54213565092948</v>
      </c>
      <c r="BI45" s="59">
        <f ca="1">AVERAGE(OFFSET($BH$3,0,0,'Données projet'!$E$11+1,1))-AVERAGE(OFFSET($H$3,0,0,'Données projet'!$E$11+1,1))</f>
        <v>405.7176439604217</v>
      </c>
      <c r="BJ45" s="59">
        <f t="shared" si="38"/>
        <v>278.21741231699929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5.7625495393017729</v>
      </c>
      <c r="BQ45" s="21">
        <f>EXP(-LN(2)/25)*BQ44+(1-EXP(-LN(2)/25))/(LN(2)/25)*Calculateur!BL45*Calculateur!BN45*VLOOKUP('Données projet'!$B$11,Paramètres!$A$1:$I$89,3,0)*0.475*44/12</f>
        <v>6.7143277674907766</v>
      </c>
      <c r="BR45" s="21">
        <f>EXP(-LN(2)/2)*BR44+(1-EXP(-LN(2)/2))/(LN(2)/2)*BL45*BO45*VLOOKUP('Données projet'!$B$11,Paramètres!$A$1:$I$89,3,0)*0.475*44/12</f>
        <v>0.13335675920840165</v>
      </c>
      <c r="BS45" s="22">
        <f t="shared" si="9"/>
        <v>12.610234066000951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8.1999999999999993</v>
      </c>
      <c r="CT45" s="12">
        <f>IF('Données projet'!$A$140&gt;35,CT44+CS45-DB44,IF(A45&lt;'Données projet'!$A$140,$CQ$205^A45,IF(A45='Données projet'!$A$140,'Données projet'!$B$140,CT44+CS45-DB44)))</f>
        <v>180.39999999999998</v>
      </c>
      <c r="CU45" s="17">
        <f>CT45*VLOOKUP('Données projet'!$B$13,Paramètres!$A$1:$I$89,3,0)*VLOOKUP('Données projet'!$B$13,Paramètres!$A$1:$I$89,5,0)</f>
        <v>143.52624</v>
      </c>
      <c r="CV45" s="13">
        <f t="shared" si="41"/>
        <v>37.103644337236275</v>
      </c>
      <c r="CW45" s="20">
        <f t="shared" si="13"/>
        <v>314.59704855401981</v>
      </c>
      <c r="CX45" s="59">
        <f t="shared" si="14"/>
        <v>607.93038188735318</v>
      </c>
      <c r="CY45" s="59">
        <f ca="1">AVERAGE(OFFSET($CX$3,0,0,'Données projet'!$E$13+1,1))-AVERAGE(OFFSET($H$3,0,0,'Données projet'!$E$13+1,1))</f>
        <v>299.10536994156814</v>
      </c>
      <c r="CZ45" s="59">
        <f t="shared" si="42"/>
        <v>292.57799203101769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6.6399958158588666</v>
      </c>
      <c r="DG45" s="21">
        <f>EXP(-LN(2)/25)*DG44+(1-EXP(-LN(2)/25))/(LN(2)/25)*Calculateur!DB45*Calculateur!DD45*VLOOKUP('Données projet'!$B$13,Paramètres!$A$1:$I$89,3,0)*0.475*44/12</f>
        <v>7.7525015451954111</v>
      </c>
      <c r="DH45" s="21">
        <f>EXP(-LN(2)/2)*DH44+(1-EXP(-LN(2)/2))/(LN(2)/2)*DB45*DE45*VLOOKUP('Données projet'!$B$13,Paramètres!$A$1:$I$89,3,0)*0.475*44/12</f>
        <v>0.14019763391914133</v>
      </c>
      <c r="DI45" s="22">
        <f t="shared" si="15"/>
        <v>14.53269499497342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212.4</v>
      </c>
      <c r="DP45" s="17">
        <f>DO45*VLOOKUP('Données projet'!$B$14,Paramètres!$A$1:$I$89,3,0)*VLOOKUP('Données projet'!$B$14,Paramètres!$A$1:$I$89,5,0)</f>
        <v>139.16448</v>
      </c>
      <c r="DQ45" s="13">
        <f t="shared" si="43"/>
        <v>36.105532965181432</v>
      </c>
      <c r="DR45" s="20">
        <f t="shared" si="16"/>
        <v>305.26193924769092</v>
      </c>
      <c r="DS45" s="59">
        <f t="shared" si="17"/>
        <v>598.59527258102423</v>
      </c>
      <c r="DT45" s="59">
        <f ca="1">AVERAGE(OFFSET($DS$3,0,0,'Données projet'!$E$14+1,1))-AVERAGE(OFFSET($H$3,0,0,'Données projet'!$E$14+1,1))</f>
        <v>295.92103934364718</v>
      </c>
      <c r="DU45" s="59">
        <f t="shared" si="44"/>
        <v>304.84379909635476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3.5168908937449208</v>
      </c>
      <c r="EB45" s="21">
        <f>EXP(-LN(2)/25)*EB44+(1-EXP(-LN(2)/25))/(LN(2)/25)*Calculateur!DW45*Calculateur!DY45*VLOOKUP('Données projet'!$B$14,Paramètres!$A$1:$I$89,3,0)*0.475*44/12</f>
        <v>5.1279323566963031</v>
      </c>
      <c r="EC45" s="21">
        <f>EXP(-LN(2)/2)*EC44+(1-EXP(-LN(2)/2))/(LN(2)/2)*DW45*DZ45*VLOOKUP('Données projet'!$B$14,Paramètres!$A$1:$I$89,3,0)*0.475*44/12</f>
        <v>8.9917414085518982E-2</v>
      </c>
      <c r="ED45" s="22">
        <f t="shared" si="18"/>
        <v>8.7347406645267434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7.333333333333333</v>
      </c>
      <c r="EJ45" s="12">
        <f>IF('Données projet'!$A$192&gt;35,EJ44+EI45-ER44,IF(A45&lt;'Données projet'!$A$192,$EG$205^A45,IF(A45='Données projet'!$A$192,'Données projet'!$B$192,EJ44+EI45-ER44)))</f>
        <v>198.66666666666663</v>
      </c>
      <c r="EK45" s="17">
        <f>EJ45*VLOOKUP('Données projet'!$B$15,Paramètres!$A$1:$I$89,3,0)*VLOOKUP('Données projet'!$B$15,Paramètres!$A$1:$I$89,5,0)</f>
        <v>118.80266666666665</v>
      </c>
      <c r="EL45" s="13">
        <f t="shared" si="45"/>
        <v>31.395578184054404</v>
      </c>
      <c r="EM45" s="20">
        <f t="shared" si="19"/>
        <v>261.59527644833923</v>
      </c>
      <c r="EN45" s="59">
        <f t="shared" si="20"/>
        <v>554.92860978167255</v>
      </c>
      <c r="EO45" s="59">
        <f ca="1">AVERAGE(OFFSET($EN$3,0,0,'Données projet'!$E$15+1,1))-AVERAGE(OFFSET($H$3,0,0,'Données projet'!$E$15+1,1))</f>
        <v>207.2913533618397</v>
      </c>
      <c r="EP45" s="59">
        <f t="shared" si="46"/>
        <v>230.81096055024483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5.4582160991379984</v>
      </c>
      <c r="EW45" s="21">
        <f>EXP(-LN(2)/25)*EW44+(1-EXP(-LN(2)/25))/(LN(2)/25)*Calculateur!ER45*Calculateur!ET45*VLOOKUP('Données projet'!$B$15,Paramètres!$A$1:$I$89,3,0)*0.475*44/12</f>
        <v>4.3242151591626588</v>
      </c>
      <c r="EX45" s="21">
        <f>EXP(-LN(2)/2)*EX44+(1-EXP(-LN(2)/2))/(LN(2)/2)*ER45*EU45*VLOOKUP('Données projet'!$B$15,Paramètres!$A$1:$I$89,3,0)*0.475*44/12</f>
        <v>4.6086056152618772E-2</v>
      </c>
      <c r="EY45" s="22">
        <f t="shared" si="21"/>
        <v>9.8285173144532774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11.5</v>
      </c>
      <c r="N46" s="13">
        <f>IF('Données projet'!$A$36&gt;35,N45+M46-V45,IF(A46&lt;'Données projet'!$A$36,$K$205^A46,IF(A46='Données projet'!$A$36,'Données projet'!$B$36,N45+M46-V45)))</f>
        <v>207.99999999999989</v>
      </c>
      <c r="O46" s="13">
        <f>N46*VLOOKUP('Données projet'!$B$9,Paramètres!$A$1:$I$89,3,0)*VLOOKUP('Données projet'!$B$9,Paramètres!$A$1:$I$89,5,0)</f>
        <v>97.343999999999937</v>
      </c>
      <c r="P46" s="13">
        <f t="shared" si="33"/>
        <v>26.328254259866451</v>
      </c>
      <c r="Q46" s="20">
        <f t="shared" si="53"/>
        <v>215.39584283593396</v>
      </c>
      <c r="R46" s="59">
        <f t="shared" si="0"/>
        <v>508.72917616926725</v>
      </c>
      <c r="S46" s="59">
        <f ca="1">AVERAGE(OFFSET($R$3,0,0,'Données projet'!$E$9+1,1))-AVERAGE(OFFSET($H$3,0,0,'Données projet'!$E$9+1,1))</f>
        <v>319.22903094674564</v>
      </c>
      <c r="T46" s="59">
        <f t="shared" si="34"/>
        <v>254.58690973142848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7.0160284826572221</v>
      </c>
      <c r="AA46" s="21">
        <f>EXP(-LN(2)/25)*AA45+(1-EXP(-LN(2)/25))/(LN(2)/25)*Calculateur!V46*Calculateur!X46*VLOOKUP('Données projet'!$B$9,Paramètres!$A$1:$I$89,3,0)*0.475*44/12</f>
        <v>7.7766166218367605</v>
      </c>
      <c r="AB46" s="21">
        <f>EXP(-LN(2)/2)*AB45+(1-EXP(-LN(2)/2))/(LN(2)/2)*V46*Y46*VLOOKUP('Données projet'!$B$9,Paramètres!$A$1:$I$89,3,0)*0.475*44/12</f>
        <v>0.1220104867094344</v>
      </c>
      <c r="AC46" s="22">
        <f t="shared" si="3"/>
        <v>14.914655591203417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24.8</v>
      </c>
      <c r="AI46" s="13">
        <f>IF('Données projet'!$A$62&gt;35,AI45+AH46-AQ45,IF(A46&lt;'Données projet'!$A$62,$AF$205^A46,IF(A46='Données projet'!$A$62,'Données projet'!$B$62,AI45+AH46-AQ45)))</f>
        <v>636.39999999999975</v>
      </c>
      <c r="AJ46" s="13">
        <f>AI46*VLOOKUP('Données projet'!$B$10,Paramètres!$A$1:$I$89,3,0)*VLOOKUP('Données projet'!$B$10,Paramètres!$A$1:$I$89,5,0)</f>
        <v>355.74759999999986</v>
      </c>
      <c r="AK46" s="13">
        <f t="shared" si="35"/>
        <v>82.744877508992289</v>
      </c>
      <c r="AL46" s="20">
        <f t="shared" si="4"/>
        <v>763.70773166149456</v>
      </c>
      <c r="AM46" s="59">
        <f t="shared" si="5"/>
        <v>1057.0410649948278</v>
      </c>
      <c r="AN46" s="59">
        <f ca="1">AVERAGE(OFFSET($AM$3,0,0,'Données projet'!$E$10+1,1))-AVERAGE(OFFSET($H$3,0,0,'Données projet'!$E$10+1,1))</f>
        <v>544.48194192356823</v>
      </c>
      <c r="AO46" s="59">
        <f t="shared" si="36"/>
        <v>668.20427590250733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5.6749784628631375</v>
      </c>
      <c r="AV46" s="21">
        <f>EXP(-LN(2)/25)*AV45+(1-EXP(-LN(2)/25))/(LN(2)/25)*Calculateur!AQ46*Calculateur!AS46*VLOOKUP('Données projet'!$B$10,Paramètres!$A$1:$I$89,3,0)*0.475*44/12</f>
        <v>29.716564476832566</v>
      </c>
      <c r="AW46" s="21">
        <f>EXP(-LN(2)/2)*AW45+(1-EXP(-LN(2)/2))/(LN(2)/2)*AQ46*AT46*VLOOKUP('Données projet'!$B$10,Paramètres!$A$1:$I$89,3,0)*0.475*44/12</f>
        <v>0.15929743291105036</v>
      </c>
      <c r="AX46" s="21">
        <f t="shared" si="6"/>
        <v>35.550840372606757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181.20000000000002</v>
      </c>
      <c r="BE46" s="13">
        <f>BD46*VLOOKUP('Données projet'!$B$11,Paramètres!$A$1:$I$89,3,0)*VLOOKUP('Données projet'!$B$11,Paramètres!$A$1:$I$89,5,0)</f>
        <v>163.94976</v>
      </c>
      <c r="BF46" s="13">
        <f t="shared" si="37"/>
        <v>41.732126457893308</v>
      </c>
      <c r="BG46" s="20">
        <f t="shared" si="7"/>
        <v>358.22928558083089</v>
      </c>
      <c r="BH46" s="59">
        <f t="shared" si="8"/>
        <v>651.5626189141642</v>
      </c>
      <c r="BI46" s="59">
        <f ca="1">AVERAGE(OFFSET($BH$3,0,0,'Données projet'!$E$11+1,1))-AVERAGE(OFFSET($H$3,0,0,'Données projet'!$E$11+1,1))</f>
        <v>405.7176439604217</v>
      </c>
      <c r="BJ46" s="59">
        <f t="shared" si="38"/>
        <v>278.21741231699929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5.649549457644226</v>
      </c>
      <c r="BQ46" s="21">
        <f>EXP(-LN(2)/25)*BQ45+(1-EXP(-LN(2)/25))/(LN(2)/25)*Calculateur!BL46*Calculateur!BN46*VLOOKUP('Données projet'!$B$11,Paramètres!$A$1:$I$89,3,0)*0.475*44/12</f>
        <v>6.53072412159759</v>
      </c>
      <c r="BR46" s="21">
        <f>EXP(-LN(2)/2)*BR45+(1-EXP(-LN(2)/2))/(LN(2)/2)*BL46*BO46*VLOOKUP('Données projet'!$B$11,Paramètres!$A$1:$I$89,3,0)*0.475*44/12</f>
        <v>9.4297468753322372E-2</v>
      </c>
      <c r="BS46" s="22">
        <f t="shared" si="9"/>
        <v>12.274571047995138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8.1999999999999993</v>
      </c>
      <c r="CT46" s="12">
        <f>IF('Données projet'!$A$140&gt;35,CT45+CS46-DB45,IF(A46&lt;'Données projet'!$A$140,$CQ$205^A46,IF(A46='Données projet'!$A$140,'Données projet'!$B$140,CT45+CS46-DB45)))</f>
        <v>188.59999999999997</v>
      </c>
      <c r="CU46" s="17">
        <f>CT46*VLOOKUP('Données projet'!$B$13,Paramètres!$A$1:$I$89,3,0)*VLOOKUP('Données projet'!$B$13,Paramètres!$A$1:$I$89,5,0)</f>
        <v>150.05015999999998</v>
      </c>
      <c r="CV46" s="13">
        <f t="shared" si="41"/>
        <v>38.589984439024569</v>
      </c>
      <c r="CW46" s="20">
        <f t="shared" si="13"/>
        <v>328.54825156463437</v>
      </c>
      <c r="CX46" s="59">
        <f t="shared" si="14"/>
        <v>621.88158489796774</v>
      </c>
      <c r="CY46" s="59">
        <f ca="1">AVERAGE(OFFSET($CX$3,0,0,'Données projet'!$E$13+1,1))-AVERAGE(OFFSET($H$3,0,0,'Données projet'!$E$13+1,1))</f>
        <v>299.10536994156814</v>
      </c>
      <c r="CZ46" s="59">
        <f t="shared" si="42"/>
        <v>292.57799203101769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6.5097895479074177</v>
      </c>
      <c r="DG46" s="21">
        <f>EXP(-LN(2)/25)*DG45+(1-EXP(-LN(2)/25))/(LN(2)/25)*Calculateur!DB46*Calculateur!DD46*VLOOKUP('Données projet'!$B$13,Paramètres!$A$1:$I$89,3,0)*0.475*44/12</f>
        <v>7.5405089827557052</v>
      </c>
      <c r="DH46" s="21">
        <f>EXP(-LN(2)/2)*DH45+(1-EXP(-LN(2)/2))/(LN(2)/2)*DB46*DE46*VLOOKUP('Données projet'!$B$13,Paramètres!$A$1:$I$89,3,0)*0.475*44/12</f>
        <v>9.9134697650533968E-2</v>
      </c>
      <c r="DI46" s="22">
        <f t="shared" si="15"/>
        <v>14.149433228313658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220.6</v>
      </c>
      <c r="DP46" s="17">
        <f>DO46*VLOOKUP('Données projet'!$B$14,Paramètres!$A$1:$I$89,3,0)*VLOOKUP('Données projet'!$B$14,Paramètres!$A$1:$I$89,5,0)</f>
        <v>144.53712000000002</v>
      </c>
      <c r="DQ46" s="13">
        <f t="shared" si="43"/>
        <v>37.334458778614163</v>
      </c>
      <c r="DR46" s="20">
        <f t="shared" si="16"/>
        <v>316.75966637275303</v>
      </c>
      <c r="DS46" s="59">
        <f t="shared" si="17"/>
        <v>610.0929997060864</v>
      </c>
      <c r="DT46" s="59">
        <f ca="1">AVERAGE(OFFSET($DS$3,0,0,'Données projet'!$E$14+1,1))-AVERAGE(OFFSET($H$3,0,0,'Données projet'!$E$14+1,1))</f>
        <v>295.92103934364718</v>
      </c>
      <c r="DU46" s="59">
        <f t="shared" si="44"/>
        <v>304.84379909635476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3.4479268084102177</v>
      </c>
      <c r="EB46" s="21">
        <f>EXP(-LN(2)/25)*EB45+(1-EXP(-LN(2)/25))/(LN(2)/25)*Calculateur!DW46*Calculateur!DY46*VLOOKUP('Données projet'!$B$14,Paramètres!$A$1:$I$89,3,0)*0.475*44/12</f>
        <v>4.9877087767362003</v>
      </c>
      <c r="EC46" s="21">
        <f>EXP(-LN(2)/2)*EC45+(1-EXP(-LN(2)/2))/(LN(2)/2)*DW46*DZ46*VLOOKUP('Données projet'!$B$14,Paramètres!$A$1:$I$89,3,0)*0.475*44/12</f>
        <v>6.3581213246629256E-2</v>
      </c>
      <c r="ED46" s="22">
        <f t="shared" si="18"/>
        <v>8.4992167983930464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7.333333333333333</v>
      </c>
      <c r="EJ46" s="12">
        <f>IF('Données projet'!$A$192&gt;35,EJ45+EI46-ER45,IF(A46&lt;'Données projet'!$A$192,$EG$205^A46,IF(A46='Données projet'!$A$192,'Données projet'!$B$192,EJ45+EI46-ER45)))</f>
        <v>205.99999999999997</v>
      </c>
      <c r="EK46" s="17">
        <f>EJ46*VLOOKUP('Données projet'!$B$15,Paramètres!$A$1:$I$89,3,0)*VLOOKUP('Données projet'!$B$15,Paramètres!$A$1:$I$89,5,0)</f>
        <v>123.18799999999999</v>
      </c>
      <c r="EL46" s="13">
        <f t="shared" si="45"/>
        <v>32.417409489939047</v>
      </c>
      <c r="EM46" s="20">
        <f t="shared" si="19"/>
        <v>271.01275486164383</v>
      </c>
      <c r="EN46" s="59">
        <f t="shared" si="20"/>
        <v>564.34608819497714</v>
      </c>
      <c r="EO46" s="59">
        <f ca="1">AVERAGE(OFFSET($EN$3,0,0,'Données projet'!$E$15+1,1))-AVERAGE(OFFSET($H$3,0,0,'Données projet'!$E$15+1,1))</f>
        <v>207.2913533618397</v>
      </c>
      <c r="EP46" s="59">
        <f t="shared" si="46"/>
        <v>230.81096055024483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5.3511838106169929</v>
      </c>
      <c r="EW46" s="21">
        <f>EXP(-LN(2)/25)*EW45+(1-EXP(-LN(2)/25))/(LN(2)/25)*Calculateur!ER46*Calculateur!ET46*VLOOKUP('Données projet'!$B$15,Paramètres!$A$1:$I$89,3,0)*0.475*44/12</f>
        <v>4.2059692682347638</v>
      </c>
      <c r="EX46" s="21">
        <f>EXP(-LN(2)/2)*EX45+(1-EXP(-LN(2)/2))/(LN(2)/2)*ER46*EU46*VLOOKUP('Données projet'!$B$15,Paramètres!$A$1:$I$89,3,0)*0.475*44/12</f>
        <v>3.2587762823660743E-2</v>
      </c>
      <c r="EY46" s="22">
        <f t="shared" si="21"/>
        <v>9.5897408416754182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11.5</v>
      </c>
      <c r="N47" s="13">
        <f>IF('Données projet'!$A$36&gt;35,N46+M47-V46,IF(A47&lt;'Données projet'!$A$36,$K$205^A47,IF(A47='Données projet'!$A$36,'Données projet'!$B$36,N46+M47-V46)))</f>
        <v>219.49999999999989</v>
      </c>
      <c r="O47" s="13">
        <f>N47*VLOOKUP('Données projet'!$B$9,Paramètres!$A$1:$I$89,3,0)*VLOOKUP('Données projet'!$B$9,Paramètres!$A$1:$I$89,5,0)</f>
        <v>102.72599999999994</v>
      </c>
      <c r="P47" s="13">
        <f t="shared" si="33"/>
        <v>27.610409417164195</v>
      </c>
      <c r="Q47" s="20">
        <f t="shared" si="53"/>
        <v>227.0025797348942</v>
      </c>
      <c r="R47" s="59">
        <f t="shared" si="0"/>
        <v>520.33591306822746</v>
      </c>
      <c r="S47" s="59">
        <f ca="1">AVERAGE(OFFSET($R$3,0,0,'Données projet'!$E$9+1,1))-AVERAGE(OFFSET($H$3,0,0,'Données projet'!$E$9+1,1))</f>
        <v>319.22903094674564</v>
      </c>
      <c r="T47" s="59">
        <f t="shared" si="34"/>
        <v>254.58690973142848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6.8784484434671374</v>
      </c>
      <c r="AA47" s="21">
        <f>EXP(-LN(2)/25)*AA46+(1-EXP(-LN(2)/25))/(LN(2)/25)*Calculateur!V47*Calculateur!X47*VLOOKUP('Données projet'!$B$9,Paramètres!$A$1:$I$89,3,0)*0.475*44/12</f>
        <v>7.5639646313581395</v>
      </c>
      <c r="AB47" s="21">
        <f>EXP(-LN(2)/2)*AB46+(1-EXP(-LN(2)/2))/(LN(2)/2)*V47*Y47*VLOOKUP('Données projet'!$B$9,Paramètres!$A$1:$I$89,3,0)*0.475*44/12</f>
        <v>8.62744425281122E-2</v>
      </c>
      <c r="AC47" s="22">
        <f t="shared" si="3"/>
        <v>14.528687517353388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24.8</v>
      </c>
      <c r="AI47" s="13">
        <f>IF('Données projet'!$A$62&gt;35,AI46+AH47-AQ46,IF(A47&lt;'Données projet'!$A$62,$AF$205^A47,IF(A47='Données projet'!$A$62,'Données projet'!$B$62,AI46+AH47-AQ46)))</f>
        <v>661.1999999999997</v>
      </c>
      <c r="AJ47" s="13">
        <f>AI47*VLOOKUP('Données projet'!$B$10,Paramètres!$A$1:$I$89,3,0)*VLOOKUP('Données projet'!$B$10,Paramètres!$A$1:$I$89,5,0)</f>
        <v>369.61079999999981</v>
      </c>
      <c r="AK47" s="13">
        <f t="shared" si="35"/>
        <v>85.587677206936931</v>
      </c>
      <c r="AL47" s="20">
        <f t="shared" si="4"/>
        <v>792.80401446874805</v>
      </c>
      <c r="AM47" s="59">
        <f t="shared" si="5"/>
        <v>1086.1373478020814</v>
      </c>
      <c r="AN47" s="59">
        <f ca="1">AVERAGE(OFFSET($AM$3,0,0,'Données projet'!$E$10+1,1))-AVERAGE(OFFSET($H$3,0,0,'Données projet'!$E$10+1,1))</f>
        <v>544.48194192356823</v>
      </c>
      <c r="AO47" s="59">
        <f t="shared" si="36"/>
        <v>668.20427590250733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5.5636955966014696</v>
      </c>
      <c r="AV47" s="21">
        <f>EXP(-LN(2)/25)*AV46+(1-EXP(-LN(2)/25))/(LN(2)/25)*Calculateur!AQ47*Calculateur!AS47*VLOOKUP('Données projet'!$B$10,Paramètres!$A$1:$I$89,3,0)*0.475*44/12</f>
        <v>28.903963458487372</v>
      </c>
      <c r="AW47" s="21">
        <f>EXP(-LN(2)/2)*AW46+(1-EXP(-LN(2)/2))/(LN(2)/2)*AQ47*AT47*VLOOKUP('Données projet'!$B$10,Paramètres!$A$1:$I$89,3,0)*0.475*44/12</f>
        <v>0.11264029503701282</v>
      </c>
      <c r="AX47" s="21">
        <f t="shared" si="6"/>
        <v>34.580299350125856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192.60000000000002</v>
      </c>
      <c r="BE47" s="13">
        <f>BD47*VLOOKUP('Données projet'!$B$11,Paramètres!$A$1:$I$89,3,0)*VLOOKUP('Données projet'!$B$11,Paramètres!$A$1:$I$89,5,0)</f>
        <v>174.26447999999999</v>
      </c>
      <c r="BF47" s="13">
        <f t="shared" si="37"/>
        <v>44.043743683739521</v>
      </c>
      <c r="BG47" s="20">
        <f t="shared" si="7"/>
        <v>380.22015624917964</v>
      </c>
      <c r="BH47" s="59">
        <f t="shared" si="8"/>
        <v>673.55348958251295</v>
      </c>
      <c r="BI47" s="59">
        <f ca="1">AVERAGE(OFFSET($BH$3,0,0,'Données projet'!$E$11+1,1))-AVERAGE(OFFSET($H$3,0,0,'Données projet'!$E$11+1,1))</f>
        <v>405.7176439604217</v>
      </c>
      <c r="BJ47" s="59">
        <f t="shared" si="38"/>
        <v>278.21741231699929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5.5387652386647392</v>
      </c>
      <c r="BQ47" s="21">
        <f>EXP(-LN(2)/25)*BQ46+(1-EXP(-LN(2)/25))/(LN(2)/25)*Calculateur!BL47*Calculateur!BN47*VLOOKUP('Données projet'!$B$11,Paramètres!$A$1:$I$89,3,0)*0.475*44/12</f>
        <v>6.3521411270566484</v>
      </c>
      <c r="BR47" s="21">
        <f>EXP(-LN(2)/2)*BR46+(1-EXP(-LN(2)/2))/(LN(2)/2)*BL47*BO47*VLOOKUP('Données projet'!$B$11,Paramètres!$A$1:$I$89,3,0)*0.475*44/12</f>
        <v>6.6678379604200824E-2</v>
      </c>
      <c r="BS47" s="22">
        <f t="shared" si="9"/>
        <v>11.957584745325589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8.1999999999999993</v>
      </c>
      <c r="CT47" s="12">
        <f>IF('Données projet'!$A$140&gt;35,CT46+CS47-DB46,IF(A47&lt;'Données projet'!$A$140,$CQ$205^A47,IF(A47='Données projet'!$A$140,'Données projet'!$B$140,CT46+CS47-DB46)))</f>
        <v>196.79999999999995</v>
      </c>
      <c r="CU47" s="17">
        <f>CT47*VLOOKUP('Données projet'!$B$13,Paramètres!$A$1:$I$89,3,0)*VLOOKUP('Données projet'!$B$13,Paramètres!$A$1:$I$89,5,0)</f>
        <v>156.57407999999998</v>
      </c>
      <c r="CV47" s="13">
        <f t="shared" si="41"/>
        <v>40.068818872547467</v>
      </c>
      <c r="CW47" s="20">
        <f t="shared" si="13"/>
        <v>342.48638220302013</v>
      </c>
      <c r="CX47" s="59">
        <f t="shared" si="14"/>
        <v>635.81971553635344</v>
      </c>
      <c r="CY47" s="59">
        <f ca="1">AVERAGE(OFFSET($CX$3,0,0,'Données projet'!$E$13+1,1))-AVERAGE(OFFSET($H$3,0,0,'Données projet'!$E$13+1,1))</f>
        <v>299.10536994156814</v>
      </c>
      <c r="CZ47" s="59">
        <f t="shared" si="42"/>
        <v>292.57799203101769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6.3821365454525152</v>
      </c>
      <c r="DG47" s="21">
        <f>EXP(-LN(2)/25)*DG46+(1-EXP(-LN(2)/25))/(LN(2)/25)*Calculateur!DB47*Calculateur!DD47*VLOOKUP('Données projet'!$B$13,Paramètres!$A$1:$I$89,3,0)*0.475*44/12</f>
        <v>7.3343133680841168</v>
      </c>
      <c r="DH47" s="21">
        <f>EXP(-LN(2)/2)*DH46+(1-EXP(-LN(2)/2))/(LN(2)/2)*DB47*DE47*VLOOKUP('Données projet'!$B$13,Paramètres!$A$1:$I$89,3,0)*0.475*44/12</f>
        <v>7.0098816959570667E-2</v>
      </c>
      <c r="DI47" s="22">
        <f t="shared" si="15"/>
        <v>13.786548730496202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228.79999999999998</v>
      </c>
      <c r="DP47" s="17">
        <f>DO47*VLOOKUP('Données projet'!$B$14,Paramètres!$A$1:$I$89,3,0)*VLOOKUP('Données projet'!$B$14,Paramètres!$A$1:$I$89,5,0)</f>
        <v>149.90975999999998</v>
      </c>
      <c r="DQ47" s="13">
        <f t="shared" si="43"/>
        <v>38.558077538852132</v>
      </c>
      <c r="DR47" s="20">
        <f t="shared" si="16"/>
        <v>328.24815038016737</v>
      </c>
      <c r="DS47" s="59">
        <f t="shared" si="17"/>
        <v>621.58148371350069</v>
      </c>
      <c r="DT47" s="59">
        <f ca="1">AVERAGE(OFFSET($DS$3,0,0,'Données projet'!$E$14+1,1))-AVERAGE(OFFSET($H$3,0,0,'Données projet'!$E$14+1,1))</f>
        <v>295.92103934364718</v>
      </c>
      <c r="DU47" s="59">
        <f t="shared" si="44"/>
        <v>304.84379909635476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3.3803150667249899</v>
      </c>
      <c r="EB47" s="21">
        <f>EXP(-LN(2)/25)*EB46+(1-EXP(-LN(2)/25))/(LN(2)/25)*Calculateur!DW47*Calculateur!DY47*VLOOKUP('Données projet'!$B$14,Paramètres!$A$1:$I$89,3,0)*0.475*44/12</f>
        <v>4.851319617944144</v>
      </c>
      <c r="EC47" s="21">
        <f>EXP(-LN(2)/2)*EC46+(1-EXP(-LN(2)/2))/(LN(2)/2)*DW47*DZ47*VLOOKUP('Données projet'!$B$14,Paramètres!$A$1:$I$89,3,0)*0.475*44/12</f>
        <v>4.4958707042759491E-2</v>
      </c>
      <c r="ED47" s="22">
        <f t="shared" si="18"/>
        <v>8.2765933917118932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7.333333333333333</v>
      </c>
      <c r="EJ47" s="12">
        <f>IF('Données projet'!$A$192&gt;35,EJ46+EI47-ER46,IF(A47&lt;'Données projet'!$A$192,$EG$205^A47,IF(A47='Données projet'!$A$192,'Données projet'!$B$192,EJ46+EI47-ER46)))</f>
        <v>213.33333333333331</v>
      </c>
      <c r="EK47" s="17">
        <f>EJ47*VLOOKUP('Données projet'!$B$15,Paramètres!$A$1:$I$89,3,0)*VLOOKUP('Données projet'!$B$15,Paramètres!$A$1:$I$89,5,0)</f>
        <v>127.57333333333332</v>
      </c>
      <c r="EL47" s="13">
        <f t="shared" si="45"/>
        <v>33.435014461818334</v>
      </c>
      <c r="EM47" s="20">
        <f t="shared" si="19"/>
        <v>280.42287240988907</v>
      </c>
      <c r="EN47" s="59">
        <f t="shared" si="20"/>
        <v>573.75620574322238</v>
      </c>
      <c r="EO47" s="59">
        <f ca="1">AVERAGE(OFFSET($EN$3,0,0,'Données projet'!$E$15+1,1))-AVERAGE(OFFSET($H$3,0,0,'Données projet'!$E$15+1,1))</f>
        <v>207.2913533618397</v>
      </c>
      <c r="EP47" s="59">
        <f t="shared" si="46"/>
        <v>230.81096055024483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5.2462503599906345</v>
      </c>
      <c r="EW47" s="21">
        <f>EXP(-LN(2)/25)*EW46+(1-EXP(-LN(2)/25))/(LN(2)/25)*Calculateur!ER47*Calculateur!ET47*VLOOKUP('Données projet'!$B$15,Paramètres!$A$1:$I$89,3,0)*0.475*44/12</f>
        <v>4.0909568174125734</v>
      </c>
      <c r="EX47" s="21">
        <f>EXP(-LN(2)/2)*EX46+(1-EXP(-LN(2)/2))/(LN(2)/2)*ER47*EU47*VLOOKUP('Données projet'!$B$15,Paramètres!$A$1:$I$89,3,0)*0.475*44/12</f>
        <v>2.3043028076309386E-2</v>
      </c>
      <c r="EY47" s="22">
        <f t="shared" si="21"/>
        <v>9.3602502054795167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11.5</v>
      </c>
      <c r="N48" s="13">
        <f>IF('Données projet'!$A$36&gt;35,N47+M48-V47,IF(A48&lt;'Données projet'!$A$36,$K$205^A48,IF(A48='Données projet'!$A$36,'Données projet'!$B$36,N47+M48-V47)))</f>
        <v>230.99999999999989</v>
      </c>
      <c r="O48" s="13">
        <f>N48*VLOOKUP('Données projet'!$B$9,Paramètres!$A$1:$I$89,3,0)*VLOOKUP('Données projet'!$B$9,Paramètres!$A$1:$I$89,5,0)</f>
        <v>108.10799999999995</v>
      </c>
      <c r="P48" s="13">
        <f t="shared" si="33"/>
        <v>28.884765499467136</v>
      </c>
      <c r="Q48" s="20">
        <f t="shared" si="53"/>
        <v>238.59573324490518</v>
      </c>
      <c r="R48" s="59">
        <f t="shared" si="0"/>
        <v>531.92906657823846</v>
      </c>
      <c r="S48" s="59">
        <f ca="1">AVERAGE(OFFSET($R$3,0,0,'Données projet'!$E$9+1,1))-AVERAGE(OFFSET($H$3,0,0,'Données projet'!$E$9+1,1))</f>
        <v>319.22903094674564</v>
      </c>
      <c r="T48" s="59">
        <f t="shared" si="34"/>
        <v>254.58690973142848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6.7435662649300321</v>
      </c>
      <c r="AA48" s="21">
        <f>EXP(-LN(2)/25)*AA47+(1-EXP(-LN(2)/25))/(LN(2)/25)*Calculateur!V48*Calculateur!X48*VLOOKUP('Données projet'!$B$9,Paramètres!$A$1:$I$89,3,0)*0.475*44/12</f>
        <v>7.3571276207420384</v>
      </c>
      <c r="AB48" s="21">
        <f>EXP(-LN(2)/2)*AB47+(1-EXP(-LN(2)/2))/(LN(2)/2)*V48*Y48*VLOOKUP('Données projet'!$B$9,Paramètres!$A$1:$I$89,3,0)*0.475*44/12</f>
        <v>6.1005243354717208E-2</v>
      </c>
      <c r="AC48" s="22">
        <f t="shared" si="3"/>
        <v>14.161699129026788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686</v>
      </c>
      <c r="AG48" s="12">
        <f>VLOOKUP(A48,'Données projet'!$A$61:$I$81,9,0)</f>
        <v>24.8</v>
      </c>
      <c r="AH48" s="12">
        <f t="array" ref="AH48">INDEX(AG:AG,MIN(IF(ISNUMBER(AG48:AG244),ROW(AG48:AG244),"")))</f>
        <v>24.8</v>
      </c>
      <c r="AI48" s="13">
        <f>IF('Données projet'!$A$62&gt;35,AI47+AH48-AQ47,IF(A48&lt;'Données projet'!$A$62,$AF$205^A48,IF(A48='Données projet'!$A$62,'Données projet'!$B$62,AI47+AH48-AQ47)))</f>
        <v>685.99999999999966</v>
      </c>
      <c r="AJ48" s="13">
        <f>AI48*VLOOKUP('Données projet'!$B$10,Paramètres!$A$1:$I$89,3,0)*VLOOKUP('Données projet'!$B$10,Paramètres!$A$1:$I$89,5,0)</f>
        <v>383.47399999999982</v>
      </c>
      <c r="AK48" s="13">
        <f t="shared" si="35"/>
        <v>88.418089567872116</v>
      </c>
      <c r="AL48" s="20">
        <f t="shared" si="4"/>
        <v>821.87872266404372</v>
      </c>
      <c r="AM48" s="59">
        <f t="shared" si="5"/>
        <v>1115.2120559973771</v>
      </c>
      <c r="AN48" s="59">
        <f ca="1">AVERAGE(OFFSET($AM$3,0,0,'Données projet'!$E$10+1,1))-AVERAGE(OFFSET($H$3,0,0,'Données projet'!$E$10+1,1))</f>
        <v>544.48194192356823</v>
      </c>
      <c r="AO48" s="59">
        <f t="shared" si="36"/>
        <v>668.20427590250733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64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5.4545949194713463</v>
      </c>
      <c r="AV48" s="21">
        <f>EXP(-LN(2)/25)*AV47+(1-EXP(-LN(2)/25))/(LN(2)/25)*Calculateur!AQ48*Calculateur!AS48*VLOOKUP('Données projet'!$B$10,Paramètres!$A$1:$I$89,3,0)*0.475*44/12</f>
        <v>28.113583057721659</v>
      </c>
      <c r="AW48" s="21">
        <f>EXP(-LN(2)/2)*AW47+(1-EXP(-LN(2)/2))/(LN(2)/2)*AQ48*AT48*VLOOKUP('Données projet'!$B$10,Paramètres!$A$1:$I$89,3,0)*0.475*44/12</f>
        <v>7.9648716455525181E-2</v>
      </c>
      <c r="AX48" s="21">
        <f t="shared" si="6"/>
        <v>33.647826693648526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204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204.00000000000003</v>
      </c>
      <c r="BE48" s="13">
        <f>BD48*VLOOKUP('Données projet'!$B$11,Paramètres!$A$1:$I$89,3,0)*VLOOKUP('Données projet'!$B$11,Paramètres!$A$1:$I$89,5,0)</f>
        <v>184.57920000000001</v>
      </c>
      <c r="BF48" s="13">
        <f t="shared" si="37"/>
        <v>46.339479465836661</v>
      </c>
      <c r="BG48" s="20">
        <f t="shared" si="7"/>
        <v>402.18336673633218</v>
      </c>
      <c r="BH48" s="59">
        <f t="shared" si="8"/>
        <v>695.51670006966549</v>
      </c>
      <c r="BI48" s="59">
        <f ca="1">AVERAGE(OFFSET($BH$3,0,0,'Données projet'!$E$11+1,1))-AVERAGE(OFFSET($H$3,0,0,'Données projet'!$E$11+1,1))</f>
        <v>405.7176439604217</v>
      </c>
      <c r="BJ48" s="59">
        <f t="shared" si="38"/>
        <v>278.21741231699929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5.4301534306477386</v>
      </c>
      <c r="BQ48" s="21">
        <f>EXP(-LN(2)/25)*BQ47+(1-EXP(-LN(2)/25))/(LN(2)/25)*Calculateur!BL48*Calculateur!BN48*VLOOKUP('Données projet'!$B$11,Paramètres!$A$1:$I$89,3,0)*0.475*44/12</f>
        <v>6.1784414938927004</v>
      </c>
      <c r="BR48" s="21">
        <f>EXP(-LN(2)/2)*BR47+(1-EXP(-LN(2)/2))/(LN(2)/2)*BL48*BO48*VLOOKUP('Données projet'!$B$11,Paramètres!$A$1:$I$89,3,0)*0.475*44/12</f>
        <v>4.7148734376661186E-2</v>
      </c>
      <c r="BS48" s="22">
        <f t="shared" si="9"/>
        <v>11.6557436589171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205</v>
      </c>
      <c r="CR48" s="12">
        <f>VLOOKUP(A48,'Données projet'!$A$139:$I$159,9,0)</f>
        <v>8.1999999999999993</v>
      </c>
      <c r="CS48" s="12">
        <f t="array" ref="CS48">INDEX(CR:CR,MIN(IF(ISNUMBER(CR48:CR244),ROW(CR48:CR244),"")))</f>
        <v>8.1999999999999993</v>
      </c>
      <c r="CT48" s="12">
        <f>IF('Données projet'!$A$140&gt;35,CT47+CS48-DB47,IF(A48&lt;'Données projet'!$A$140,$CQ$205^A48,IF(A48='Données projet'!$A$140,'Données projet'!$B$140,CT47+CS48-DB47)))</f>
        <v>204.99999999999994</v>
      </c>
      <c r="CU48" s="17">
        <f>CT48*VLOOKUP('Données projet'!$B$13,Paramètres!$A$1:$I$89,3,0)*VLOOKUP('Données projet'!$B$13,Paramètres!$A$1:$I$89,5,0)</f>
        <v>163.09799999999996</v>
      </c>
      <c r="CV48" s="13">
        <f t="shared" si="41"/>
        <v>41.540496136845142</v>
      </c>
      <c r="CW48" s="20">
        <f t="shared" si="13"/>
        <v>356.4120474383385</v>
      </c>
      <c r="CX48" s="59">
        <f t="shared" si="14"/>
        <v>649.74538077167176</v>
      </c>
      <c r="CY48" s="59">
        <f ca="1">AVERAGE(OFFSET($CX$3,0,0,'Données projet'!$E$13+1,1))-AVERAGE(OFFSET($H$3,0,0,'Données projet'!$E$13+1,1))</f>
        <v>299.10536994156814</v>
      </c>
      <c r="CZ48" s="59">
        <f t="shared" si="42"/>
        <v>292.57799203101769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22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6.2569867405151101</v>
      </c>
      <c r="DG48" s="21">
        <f>EXP(-LN(2)/25)*DG47+(1-EXP(-LN(2)/25))/(LN(2)/25)*Calculateur!DB48*Calculateur!DD48*VLOOKUP('Données projet'!$B$13,Paramètres!$A$1:$I$89,3,0)*0.475*44/12</f>
        <v>7.133756183339079</v>
      </c>
      <c r="DH48" s="21">
        <f>EXP(-LN(2)/2)*DH47+(1-EXP(-LN(2)/2))/(LN(2)/2)*DB48*DE48*VLOOKUP('Données projet'!$B$13,Paramètres!$A$1:$I$89,3,0)*0.475*44/12</f>
        <v>4.9567348825266984E-2</v>
      </c>
      <c r="DI48" s="22">
        <f t="shared" si="15"/>
        <v>13.440310272679456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237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236.99999999999997</v>
      </c>
      <c r="DP48" s="17">
        <f>DO48*VLOOKUP('Données projet'!$B$14,Paramètres!$A$1:$I$89,3,0)*VLOOKUP('Données projet'!$B$14,Paramètres!$A$1:$I$89,5,0)</f>
        <v>155.28239999999997</v>
      </c>
      <c r="DQ48" s="13">
        <f t="shared" si="43"/>
        <v>39.776601235546408</v>
      </c>
      <c r="DR48" s="20">
        <f t="shared" si="16"/>
        <v>339.72776048524321</v>
      </c>
      <c r="DS48" s="59">
        <f t="shared" si="17"/>
        <v>633.06109381857652</v>
      </c>
      <c r="DT48" s="59">
        <f ca="1">AVERAGE(OFFSET($DS$3,0,0,'Données projet'!$E$14+1,1))-AVERAGE(OFFSET($H$3,0,0,'Données projet'!$E$14+1,1))</f>
        <v>295.92103934364718</v>
      </c>
      <c r="DU48" s="59">
        <f t="shared" si="44"/>
        <v>304.84379909635476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28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3.3140291500551187</v>
      </c>
      <c r="EB48" s="21">
        <f>EXP(-LN(2)/25)*EB47+(1-EXP(-LN(2)/25))/(LN(2)/25)*Calculateur!DW48*Calculateur!DY48*VLOOKUP('Données projet'!$B$14,Paramètres!$A$1:$I$89,3,0)*0.475*44/12</f>
        <v>4.7186600278716506</v>
      </c>
      <c r="EC48" s="21">
        <f>EXP(-LN(2)/2)*EC47+(1-EXP(-LN(2)/2))/(LN(2)/2)*DW48*DZ48*VLOOKUP('Données projet'!$B$14,Paramètres!$A$1:$I$89,3,0)*0.475*44/12</f>
        <v>3.1790606623314628E-2</v>
      </c>
      <c r="ED48" s="22">
        <f t="shared" si="18"/>
        <v>8.064479784550084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7.333333333333333</v>
      </c>
      <c r="EJ48" s="12">
        <f>IF('Données projet'!$A$192&gt;35,EJ47+EI48-ER47,IF(A48&lt;'Données projet'!$A$192,$EG$205^A48,IF(A48='Données projet'!$A$192,'Données projet'!$B$192,EJ47+EI48-ER47)))</f>
        <v>220.66666666666666</v>
      </c>
      <c r="EK48" s="17">
        <f>EJ48*VLOOKUP('Données projet'!$B$15,Paramètres!$A$1:$I$89,3,0)*VLOOKUP('Données projet'!$B$15,Paramètres!$A$1:$I$89,5,0)</f>
        <v>131.95866666666666</v>
      </c>
      <c r="EL48" s="13">
        <f t="shared" si="45"/>
        <v>34.448555031300216</v>
      </c>
      <c r="EM48" s="20">
        <f t="shared" si="19"/>
        <v>289.82591112395897</v>
      </c>
      <c r="EN48" s="59">
        <f t="shared" si="20"/>
        <v>583.15924445729229</v>
      </c>
      <c r="EO48" s="59">
        <f ca="1">AVERAGE(OFFSET($EN$3,0,0,'Données projet'!$E$15+1,1))-AVERAGE(OFFSET($H$3,0,0,'Données projet'!$E$15+1,1))</f>
        <v>207.2913533618397</v>
      </c>
      <c r="EP48" s="59">
        <f t="shared" si="46"/>
        <v>230.81096055024483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5.1433745903279746</v>
      </c>
      <c r="EW48" s="21">
        <f>EXP(-LN(2)/25)*EW47+(1-EXP(-LN(2)/25))/(LN(2)/25)*Calculateur!ER48*Calculateur!ET48*VLOOKUP('Données projet'!$B$15,Paramètres!$A$1:$I$89,3,0)*0.475*44/12</f>
        <v>3.9790893881063578</v>
      </c>
      <c r="EX48" s="21">
        <f>EXP(-LN(2)/2)*EX47+(1-EXP(-LN(2)/2))/(LN(2)/2)*ER48*EU48*VLOOKUP('Données projet'!$B$15,Paramètres!$A$1:$I$89,3,0)*0.475*44/12</f>
        <v>1.6293881411830372E-2</v>
      </c>
      <c r="EY48" s="22">
        <f t="shared" si="21"/>
        <v>9.1387578598461623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11.5</v>
      </c>
      <c r="N49" s="13">
        <f>IF('Données projet'!$A$36&gt;35,N48+M49-V48,IF(A49&lt;'Données projet'!$A$36,$K$205^A49,IF(A49='Données projet'!$A$36,'Données projet'!$B$36,N48+M49-V48)))</f>
        <v>242.49999999999989</v>
      </c>
      <c r="O49" s="13">
        <f>N49*VLOOKUP('Données projet'!$B$9,Paramètres!$A$1:$I$89,3,0)*VLOOKUP('Données projet'!$B$9,Paramètres!$A$1:$I$89,5,0)</f>
        <v>113.48999999999994</v>
      </c>
      <c r="P49" s="13">
        <f t="shared" si="33"/>
        <v>30.151755078981495</v>
      </c>
      <c r="Q49" s="20">
        <f t="shared" si="53"/>
        <v>250.17605676255928</v>
      </c>
      <c r="R49" s="59">
        <f t="shared" si="0"/>
        <v>543.50939009589263</v>
      </c>
      <c r="S49" s="59">
        <f ca="1">AVERAGE(OFFSET($R$3,0,0,'Données projet'!$E$9+1,1))-AVERAGE(OFFSET($H$3,0,0,'Données projet'!$E$9+1,1))</f>
        <v>319.22903094674564</v>
      </c>
      <c r="T49" s="59">
        <f t="shared" si="34"/>
        <v>254.58690973142848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6.6113290436440337</v>
      </c>
      <c r="AA49" s="21">
        <f>EXP(-LN(2)/25)*AA48+(1-EXP(-LN(2)/25))/(LN(2)/25)*Calculateur!V49*Calculateur!X49*VLOOKUP('Données projet'!$B$9,Paramètres!$A$1:$I$89,3,0)*0.475*44/12</f>
        <v>7.1559465790583205</v>
      </c>
      <c r="AB49" s="21">
        <f>EXP(-LN(2)/2)*AB48+(1-EXP(-LN(2)/2))/(LN(2)/2)*V49*Y49*VLOOKUP('Données projet'!$B$9,Paramètres!$A$1:$I$89,3,0)*0.475*44/12</f>
        <v>4.3137221264056107E-2</v>
      </c>
      <c r="AC49" s="22">
        <f t="shared" si="3"/>
        <v>13.810412843966409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20.399999999999999</v>
      </c>
      <c r="AI49" s="13">
        <f>IF('Données projet'!$A$62&gt;35,AI48+AH49-AQ48,IF(A49&lt;'Données projet'!$A$62,$AF$205^A49,IF(A49='Données projet'!$A$62,'Données projet'!$B$62,AI48+AH49-AQ48)))</f>
        <v>642.39999999999964</v>
      </c>
      <c r="AJ49" s="13">
        <f>AI49*VLOOKUP('Données projet'!$B$10,Paramètres!$A$1:$I$89,3,0)*VLOOKUP('Données projet'!$B$10,Paramètres!$A$1:$I$89,5,0)</f>
        <v>359.10159999999985</v>
      </c>
      <c r="AK49" s="13">
        <f t="shared" si="35"/>
        <v>83.433815871723468</v>
      </c>
      <c r="AL49" s="20">
        <f t="shared" si="4"/>
        <v>770.74918264325152</v>
      </c>
      <c r="AM49" s="59">
        <f t="shared" si="5"/>
        <v>1064.0825159765848</v>
      </c>
      <c r="AN49" s="59">
        <f ca="1">AVERAGE(OFFSET($AM$3,0,0,'Données projet'!$E$10+1,1))-AVERAGE(OFFSET($H$3,0,0,'Données projet'!$E$10+1,1))</f>
        <v>544.48194192356823</v>
      </c>
      <c r="AO49" s="59">
        <f t="shared" si="36"/>
        <v>668.20427590250733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5.3476336400749025</v>
      </c>
      <c r="AV49" s="21">
        <f>EXP(-LN(2)/25)*AV48+(1-EXP(-LN(2)/25))/(LN(2)/25)*Calculateur!AQ49*Calculateur!AS49*VLOOKUP('Données projet'!$B$10,Paramètres!$A$1:$I$89,3,0)*0.475*44/12</f>
        <v>27.344815650579182</v>
      </c>
      <c r="AW49" s="21">
        <f>EXP(-LN(2)/2)*AW48+(1-EXP(-LN(2)/2))/(LN(2)/2)*AQ49*AT49*VLOOKUP('Données projet'!$B$10,Paramètres!$A$1:$I$89,3,0)*0.475*44/12</f>
        <v>5.6320147518506412E-2</v>
      </c>
      <c r="AX49" s="21">
        <f t="shared" si="6"/>
        <v>32.748769438172587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187.00000000000003</v>
      </c>
      <c r="BE49" s="13">
        <f>BD49*VLOOKUP('Données projet'!$B$11,Paramètres!$A$1:$I$89,3,0)*VLOOKUP('Données projet'!$B$11,Paramètres!$A$1:$I$89,5,0)</f>
        <v>169.19760000000002</v>
      </c>
      <c r="BF49" s="13">
        <f t="shared" si="37"/>
        <v>42.910263223432885</v>
      </c>
      <c r="BG49" s="20">
        <f t="shared" si="7"/>
        <v>369.42119511414558</v>
      </c>
      <c r="BH49" s="59">
        <f t="shared" si="8"/>
        <v>662.75452844747883</v>
      </c>
      <c r="BI49" s="59">
        <f ca="1">AVERAGE(OFFSET($BH$3,0,0,'Données projet'!$E$11+1,1))-AVERAGE(OFFSET($H$3,0,0,'Données projet'!$E$11+1,1))</f>
        <v>405.7176439604217</v>
      </c>
      <c r="BJ49" s="59">
        <f t="shared" si="38"/>
        <v>278.21741231699929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5.3236714339392899</v>
      </c>
      <c r="BQ49" s="21">
        <f>EXP(-LN(2)/25)*BQ48+(1-EXP(-LN(2)/25))/(LN(2)/25)*Calculateur!BL49*Calculateur!BN49*VLOOKUP('Données projet'!$B$11,Paramètres!$A$1:$I$89,3,0)*0.475*44/12</f>
        <v>6.0094916863320877</v>
      </c>
      <c r="BR49" s="21">
        <f>EXP(-LN(2)/2)*BR48+(1-EXP(-LN(2)/2))/(LN(2)/2)*BL49*BO49*VLOOKUP('Données projet'!$B$11,Paramètres!$A$1:$I$89,3,0)*0.475*44/12</f>
        <v>3.3339189802100412E-2</v>
      </c>
      <c r="BS49" s="22">
        <f t="shared" si="9"/>
        <v>11.366502310073479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7.2</v>
      </c>
      <c r="CT49" s="12">
        <f>IF('Données projet'!$A$140&gt;35,CT48+CS49-DB48,IF(A49&lt;'Données projet'!$A$140,$CQ$205^A49,IF(A49='Données projet'!$A$140,'Données projet'!$B$140,CT48+CS49-DB48)))</f>
        <v>190.19999999999993</v>
      </c>
      <c r="CU49" s="17">
        <f>CT49*VLOOKUP('Données projet'!$B$13,Paramètres!$A$1:$I$89,3,0)*VLOOKUP('Données projet'!$B$13,Paramètres!$A$1:$I$89,5,0)</f>
        <v>151.32311999999996</v>
      </c>
      <c r="CV49" s="13">
        <f t="shared" si="41"/>
        <v>38.879115530839606</v>
      </c>
      <c r="CW49" s="20">
        <f t="shared" si="13"/>
        <v>331.26889354954557</v>
      </c>
      <c r="CX49" s="59">
        <f t="shared" si="14"/>
        <v>624.60222688287888</v>
      </c>
      <c r="CY49" s="59">
        <f ca="1">AVERAGE(OFFSET($CX$3,0,0,'Données projet'!$E$13+1,1))-AVERAGE(OFFSET($H$3,0,0,'Données projet'!$E$13+1,1))</f>
        <v>299.10536994156814</v>
      </c>
      <c r="CZ49" s="59">
        <f t="shared" si="42"/>
        <v>292.57799203101769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6.1342910469186833</v>
      </c>
      <c r="DG49" s="21">
        <f>EXP(-LN(2)/25)*DG48+(1-EXP(-LN(2)/25))/(LN(2)/25)*Calculateur!DB49*Calculateur!DD49*VLOOKUP('Données projet'!$B$13,Paramètres!$A$1:$I$89,3,0)*0.475*44/12</f>
        <v>6.9386832453577387</v>
      </c>
      <c r="DH49" s="21">
        <f>EXP(-LN(2)/2)*DH48+(1-EXP(-LN(2)/2))/(LN(2)/2)*DB49*DE49*VLOOKUP('Données projet'!$B$13,Paramètres!$A$1:$I$89,3,0)*0.475*44/12</f>
        <v>3.5049408479785334E-2</v>
      </c>
      <c r="DI49" s="22">
        <f t="shared" si="15"/>
        <v>13.108023700756208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7.4</v>
      </c>
      <c r="DO49" s="12">
        <f>IF('Données projet'!$A$166&gt;35,DO48+DN49-DW48,IF(A49&lt;'Données projet'!$A$166,$DL$205^A49,IF(A49='Données projet'!$A$166,'Données projet'!$B$166,DO48+DN49-DW48)))</f>
        <v>216.39999999999998</v>
      </c>
      <c r="DP49" s="17">
        <f>DO49*VLOOKUP('Données projet'!$B$14,Paramètres!$A$1:$I$89,3,0)*VLOOKUP('Données projet'!$B$14,Paramètres!$A$1:$I$89,5,0)</f>
        <v>141.78528</v>
      </c>
      <c r="DQ49" s="13">
        <f t="shared" si="43"/>
        <v>36.705685970912178</v>
      </c>
      <c r="DR49" s="20">
        <f t="shared" si="16"/>
        <v>310.87176573267203</v>
      </c>
      <c r="DS49" s="59">
        <f t="shared" si="17"/>
        <v>604.20509906600535</v>
      </c>
      <c r="DT49" s="59">
        <f ca="1">AVERAGE(OFFSET($DS$3,0,0,'Données projet'!$E$14+1,1))-AVERAGE(OFFSET($H$3,0,0,'Données projet'!$E$14+1,1))</f>
        <v>295.92103934364718</v>
      </c>
      <c r="DU49" s="59">
        <f t="shared" si="44"/>
        <v>304.84379909635476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3.2490430597807269</v>
      </c>
      <c r="EB49" s="21">
        <f>EXP(-LN(2)/25)*EB48+(1-EXP(-LN(2)/25))/(LN(2)/25)*Calculateur!DW49*Calculateur!DY49*VLOOKUP('Données projet'!$B$14,Paramètres!$A$1:$I$89,3,0)*0.475*44/12</f>
        <v>4.5896280212659537</v>
      </c>
      <c r="EC49" s="21">
        <f>EXP(-LN(2)/2)*EC48+(1-EXP(-LN(2)/2))/(LN(2)/2)*DW49*DZ49*VLOOKUP('Données projet'!$B$14,Paramètres!$A$1:$I$89,3,0)*0.475*44/12</f>
        <v>2.2479353521379745E-2</v>
      </c>
      <c r="ED49" s="22">
        <f t="shared" si="18"/>
        <v>7.8611504345680601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>
        <f>VLOOKUP(A49,'Données projet'!$A$191:$I$211,2,0)</f>
        <v>228</v>
      </c>
      <c r="EH49" s="12">
        <f>VLOOKUP(A49,'Données projet'!$A$191:$I$211,9,0)</f>
        <v>7.333333333333333</v>
      </c>
      <c r="EI49" s="12">
        <f t="array" ref="EI49">INDEX(EH:EH,MIN(IF(ISNUMBER(EH49:EH245),ROW(EH49:EH245),"")))</f>
        <v>7.333333333333333</v>
      </c>
      <c r="EJ49" s="12">
        <f>IF('Données projet'!$A$192&gt;35,EJ48+EI49-ER48,IF(A49&lt;'Données projet'!$A$192,$EG$205^A49,IF(A49='Données projet'!$A$192,'Données projet'!$B$192,EJ48+EI49-ER48)))</f>
        <v>228</v>
      </c>
      <c r="EK49" s="17">
        <f>EJ49*VLOOKUP('Données projet'!$B$15,Paramètres!$A$1:$I$89,3,0)*VLOOKUP('Données projet'!$B$15,Paramètres!$A$1:$I$89,5,0)</f>
        <v>136.34400000000002</v>
      </c>
      <c r="EL49" s="13">
        <f t="shared" si="45"/>
        <v>35.458181756405082</v>
      </c>
      <c r="EM49" s="20">
        <f t="shared" si="19"/>
        <v>299.2221332257389</v>
      </c>
      <c r="EN49" s="59">
        <f t="shared" si="20"/>
        <v>592.55546655907222</v>
      </c>
      <c r="EO49" s="59">
        <f ca="1">AVERAGE(OFFSET($EN$3,0,0,'Données projet'!$E$15+1,1))-AVERAGE(OFFSET($H$3,0,0,'Données projet'!$E$15+1,1))</f>
        <v>207.2913533618397</v>
      </c>
      <c r="EP49" s="59">
        <f t="shared" si="46"/>
        <v>230.81096055024483</v>
      </c>
      <c r="EQ49" s="15">
        <f>IF(ISNA(VLOOKUP(A49,'Données projet'!$A$191:$I$211,3,0)),0,VLOOKUP(A49,'Données projet'!$A$191:$I$211,3,0))</f>
        <v>7</v>
      </c>
      <c r="ER49" s="15">
        <f>IF(ISNA(VLOOKUP(A49,'Données projet'!$A$191:$I$211,4,0)),0,VLOOKUP(A49,'Données projet'!$A$191:$I$211,4,0))</f>
        <v>23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5.0425161517603758</v>
      </c>
      <c r="EW49" s="21">
        <f>EXP(-LN(2)/25)*EW48+(1-EXP(-LN(2)/25))/(LN(2)/25)*Calculateur!ER49*Calculateur!ET49*VLOOKUP('Données projet'!$B$15,Paramètres!$A$1:$I$89,3,0)*0.475*44/12</f>
        <v>3.8702809795373727</v>
      </c>
      <c r="EX49" s="21">
        <f>EXP(-LN(2)/2)*EX48+(1-EXP(-LN(2)/2))/(LN(2)/2)*ER49*EU49*VLOOKUP('Données projet'!$B$15,Paramètres!$A$1:$I$89,3,0)*0.475*44/12</f>
        <v>1.1521514038154693E-2</v>
      </c>
      <c r="EY49" s="22">
        <f t="shared" si="21"/>
        <v>8.9243186453359034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11.5</v>
      </c>
      <c r="N50" s="13">
        <f>IF('Données projet'!$A$36&gt;35,N49+M50-V49,IF(A50&lt;'Données projet'!$A$36,$K$205^A50,IF(A50='Données projet'!$A$36,'Données projet'!$B$36,N49+M50-V49)))</f>
        <v>253.99999999999989</v>
      </c>
      <c r="O50" s="13">
        <f>N50*VLOOKUP('Données projet'!$B$9,Paramètres!$A$1:$I$89,3,0)*VLOOKUP('Données projet'!$B$9,Paramètres!$A$1:$I$89,5,0)</f>
        <v>118.87199999999994</v>
      </c>
      <c r="P50" s="13">
        <f t="shared" si="33"/>
        <v>31.411767382096219</v>
      </c>
      <c r="Q50" s="20">
        <f t="shared" si="53"/>
        <v>261.74422819048414</v>
      </c>
      <c r="R50" s="59">
        <f t="shared" si="0"/>
        <v>555.07756152381739</v>
      </c>
      <c r="S50" s="59">
        <f ca="1">AVERAGE(OFFSET($R$3,0,0,'Données projet'!$E$9+1,1))-AVERAGE(OFFSET($H$3,0,0,'Données projet'!$E$9+1,1))</f>
        <v>319.22903094674564</v>
      </c>
      <c r="T50" s="59">
        <f t="shared" si="34"/>
        <v>254.58690973142848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6.4816849136107137</v>
      </c>
      <c r="AA50" s="21">
        <f>EXP(-LN(2)/25)*AA49+(1-EXP(-LN(2)/25))/(LN(2)/25)*Calculateur!V50*Calculateur!X50*VLOOKUP('Données projet'!$B$9,Paramètres!$A$1:$I$89,3,0)*0.475*44/12</f>
        <v>6.9602668435390953</v>
      </c>
      <c r="AB50" s="21">
        <f>EXP(-LN(2)/2)*AB49+(1-EXP(-LN(2)/2))/(LN(2)/2)*V50*Y50*VLOOKUP('Données projet'!$B$9,Paramètres!$A$1:$I$89,3,0)*0.475*44/12</f>
        <v>3.0502621677358607E-2</v>
      </c>
      <c r="AC50" s="22">
        <f t="shared" si="3"/>
        <v>13.472454378827168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20.399999999999999</v>
      </c>
      <c r="AI50" s="13">
        <f>IF('Données projet'!$A$62&gt;35,AI49+AH50-AQ49,IF(A50&lt;'Données projet'!$A$62,$AF$205^A50,IF(A50='Données projet'!$A$62,'Données projet'!$B$62,AI49+AH50-AQ49)))</f>
        <v>662.79999999999961</v>
      </c>
      <c r="AJ50" s="13">
        <f>AI50*VLOOKUP('Données projet'!$B$10,Paramètres!$A$1:$I$89,3,0)*VLOOKUP('Données projet'!$B$10,Paramètres!$A$1:$I$89,5,0)</f>
        <v>370.50519999999983</v>
      </c>
      <c r="AK50" s="13">
        <f t="shared" si="35"/>
        <v>85.770652719303072</v>
      </c>
      <c r="AL50" s="20">
        <f t="shared" si="4"/>
        <v>794.6804434861192</v>
      </c>
      <c r="AM50" s="59">
        <f t="shared" si="5"/>
        <v>1088.0137768194525</v>
      </c>
      <c r="AN50" s="59">
        <f ca="1">AVERAGE(OFFSET($AM$3,0,0,'Données projet'!$E$10+1,1))-AVERAGE(OFFSET($H$3,0,0,'Données projet'!$E$10+1,1))</f>
        <v>544.48194192356823</v>
      </c>
      <c r="AO50" s="59">
        <f t="shared" si="36"/>
        <v>668.20427590250733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5.2427698061274848</v>
      </c>
      <c r="AV50" s="21">
        <f>EXP(-LN(2)/25)*AV49+(1-EXP(-LN(2)/25))/(LN(2)/25)*Calculateur!AQ50*Calculateur!AS50*VLOOKUP('Données projet'!$B$10,Paramètres!$A$1:$I$89,3,0)*0.475*44/12</f>
        <v>26.597070228612736</v>
      </c>
      <c r="AW50" s="21">
        <f>EXP(-LN(2)/2)*AW49+(1-EXP(-LN(2)/2))/(LN(2)/2)*AQ50*AT50*VLOOKUP('Données projet'!$B$10,Paramètres!$A$1:$I$89,3,0)*0.475*44/12</f>
        <v>3.9824358227762591E-2</v>
      </c>
      <c r="AX50" s="21">
        <f t="shared" si="6"/>
        <v>31.879664392967982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198.00000000000003</v>
      </c>
      <c r="BE50" s="13">
        <f>BD50*VLOOKUP('Données projet'!$B$11,Paramètres!$A$1:$I$89,3,0)*VLOOKUP('Données projet'!$B$11,Paramètres!$A$1:$I$89,5,0)</f>
        <v>179.15040000000002</v>
      </c>
      <c r="BF50" s="13">
        <f t="shared" si="37"/>
        <v>45.133113803437304</v>
      </c>
      <c r="BG50" s="20">
        <f t="shared" si="7"/>
        <v>390.62711987431999</v>
      </c>
      <c r="BH50" s="59">
        <f t="shared" si="8"/>
        <v>683.96045320765325</v>
      </c>
      <c r="BI50" s="59">
        <f ca="1">AVERAGE(OFFSET($BH$3,0,0,'Données projet'!$E$11+1,1))-AVERAGE(OFFSET($H$3,0,0,'Données projet'!$E$11+1,1))</f>
        <v>405.7176439604217</v>
      </c>
      <c r="BJ50" s="59">
        <f t="shared" si="38"/>
        <v>278.21741231699929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5.2192774842386891</v>
      </c>
      <c r="BQ50" s="21">
        <f>EXP(-LN(2)/25)*BQ49+(1-EXP(-LN(2)/25))/(LN(2)/25)*Calculateur!BL50*Calculateur!BN50*VLOOKUP('Données projet'!$B$11,Paramètres!$A$1:$I$89,3,0)*0.475*44/12</f>
        <v>5.845161820143904</v>
      </c>
      <c r="BR50" s="21">
        <f>EXP(-LN(2)/2)*BR49+(1-EXP(-LN(2)/2))/(LN(2)/2)*BL50*BO50*VLOOKUP('Données projet'!$B$11,Paramètres!$A$1:$I$89,3,0)*0.475*44/12</f>
        <v>2.3574367188330593E-2</v>
      </c>
      <c r="BS50" s="22">
        <f t="shared" si="9"/>
        <v>11.088013671570923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7.2</v>
      </c>
      <c r="CT50" s="12">
        <f>IF('Données projet'!$A$140&gt;35,CT49+CS50-DB49,IF(A50&lt;'Données projet'!$A$140,$CQ$205^A50,IF(A50='Données projet'!$A$140,'Données projet'!$B$140,CT49+CS50-DB49)))</f>
        <v>197.39999999999992</v>
      </c>
      <c r="CU50" s="17">
        <f>CT50*VLOOKUP('Données projet'!$B$13,Paramètres!$A$1:$I$89,3,0)*VLOOKUP('Données projet'!$B$13,Paramètres!$A$1:$I$89,5,0)</f>
        <v>157.05143999999996</v>
      </c>
      <c r="CV50" s="13">
        <f t="shared" si="41"/>
        <v>40.176741230099708</v>
      </c>
      <c r="CW50" s="20">
        <f t="shared" si="13"/>
        <v>343.50574897575689</v>
      </c>
      <c r="CX50" s="59">
        <f t="shared" si="14"/>
        <v>636.83908230909014</v>
      </c>
      <c r="CY50" s="59">
        <f ca="1">AVERAGE(OFFSET($CX$3,0,0,'Données projet'!$E$13+1,1))-AVERAGE(OFFSET($H$3,0,0,'Données projet'!$E$13+1,1))</f>
        <v>299.10536994156814</v>
      </c>
      <c r="CZ50" s="59">
        <f t="shared" si="42"/>
        <v>292.57799203101769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6.0140013410366997</v>
      </c>
      <c r="DG50" s="21">
        <f>EXP(-LN(2)/25)*DG49+(1-EXP(-LN(2)/25))/(LN(2)/25)*Calculateur!DB50*Calculateur!DD50*VLOOKUP('Données projet'!$B$13,Paramètres!$A$1:$I$89,3,0)*0.475*44/12</f>
        <v>6.7489445871239377</v>
      </c>
      <c r="DH50" s="21">
        <f>EXP(-LN(2)/2)*DH49+(1-EXP(-LN(2)/2))/(LN(2)/2)*DB50*DE50*VLOOKUP('Données projet'!$B$13,Paramètres!$A$1:$I$89,3,0)*0.475*44/12</f>
        <v>2.4783674412633492E-2</v>
      </c>
      <c r="DI50" s="22">
        <f t="shared" si="15"/>
        <v>12.78772960257327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7.4</v>
      </c>
      <c r="DO50" s="12">
        <f>IF('Données projet'!$A$166&gt;35,DO49+DN50-DW49,IF(A50&lt;'Données projet'!$A$166,$DL$205^A50,IF(A50='Données projet'!$A$166,'Données projet'!$B$166,DO49+DN50-DW49)))</f>
        <v>223.79999999999998</v>
      </c>
      <c r="DP50" s="17">
        <f>DO50*VLOOKUP('Données projet'!$B$14,Paramètres!$A$1:$I$89,3,0)*VLOOKUP('Données projet'!$B$14,Paramètres!$A$1:$I$89,5,0)</f>
        <v>146.63376</v>
      </c>
      <c r="DQ50" s="13">
        <f t="shared" si="43"/>
        <v>37.812587902416553</v>
      </c>
      <c r="DR50" s="20">
        <f t="shared" si="16"/>
        <v>321.24405593004218</v>
      </c>
      <c r="DS50" s="59">
        <f t="shared" si="17"/>
        <v>614.57738926337549</v>
      </c>
      <c r="DT50" s="59">
        <f ca="1">AVERAGE(OFFSET($DS$3,0,0,'Données projet'!$E$14+1,1))-AVERAGE(OFFSET($H$3,0,0,'Données projet'!$E$14+1,1))</f>
        <v>295.92103934364718</v>
      </c>
      <c r="DU50" s="59">
        <f t="shared" si="44"/>
        <v>304.84379909635476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3.1853313070990148</v>
      </c>
      <c r="EB50" s="21">
        <f>EXP(-LN(2)/25)*EB49+(1-EXP(-LN(2)/25))/(LN(2)/25)*Calculateur!DW50*Calculateur!DY50*VLOOKUP('Données projet'!$B$14,Paramètres!$A$1:$I$89,3,0)*0.475*44/12</f>
        <v>4.4641244016663881</v>
      </c>
      <c r="EC50" s="21">
        <f>EXP(-LN(2)/2)*EC49+(1-EXP(-LN(2)/2))/(LN(2)/2)*DW50*DZ50*VLOOKUP('Données projet'!$B$14,Paramètres!$A$1:$I$89,3,0)*0.475*44/12</f>
        <v>1.5895303311657314E-2</v>
      </c>
      <c r="ED50" s="22">
        <f t="shared" si="18"/>
        <v>7.6653510120770605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5.125</v>
      </c>
      <c r="EJ50" s="12">
        <f>IF('Données projet'!$A$192&gt;35,EJ49+EI50-ER49,IF(A50&lt;'Données projet'!$A$192,$EG$205^A50,IF(A50='Données projet'!$A$192,'Données projet'!$B$192,EJ49+EI50-ER49)))</f>
        <v>210.125</v>
      </c>
      <c r="EK50" s="17">
        <f>EJ50*VLOOKUP('Données projet'!$B$15,Paramètres!$A$1:$I$89,3,0)*VLOOKUP('Données projet'!$B$15,Paramètres!$A$1:$I$89,5,0)</f>
        <v>125.65475000000001</v>
      </c>
      <c r="EL50" s="13">
        <f t="shared" si="45"/>
        <v>32.990321670339604</v>
      </c>
      <c r="EM50" s="20">
        <f t="shared" si="19"/>
        <v>276.3068331591748</v>
      </c>
      <c r="EN50" s="59">
        <f t="shared" si="20"/>
        <v>569.64016649250811</v>
      </c>
      <c r="EO50" s="59">
        <f ca="1">AVERAGE(OFFSET($EN$3,0,0,'Données projet'!$E$15+1,1))-AVERAGE(OFFSET($H$3,0,0,'Données projet'!$E$15+1,1))</f>
        <v>207.2913533618397</v>
      </c>
      <c r="EP50" s="59">
        <f t="shared" si="46"/>
        <v>230.81096055024483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4.9436354856555145</v>
      </c>
      <c r="EW50" s="21">
        <f>EXP(-LN(2)/25)*EW49+(1-EXP(-LN(2)/25))/(LN(2)/25)*Calculateur!ER50*Calculateur!ET50*VLOOKUP('Données projet'!$B$15,Paramètres!$A$1:$I$89,3,0)*0.475*44/12</f>
        <v>3.764447942622692</v>
      </c>
      <c r="EX50" s="21">
        <f>EXP(-LN(2)/2)*EX49+(1-EXP(-LN(2)/2))/(LN(2)/2)*ER50*EU50*VLOOKUP('Données projet'!$B$15,Paramètres!$A$1:$I$89,3,0)*0.475*44/12</f>
        <v>8.1469407059151858E-3</v>
      </c>
      <c r="EY50" s="22">
        <f t="shared" si="21"/>
        <v>8.716230368984121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11.5</v>
      </c>
      <c r="N51" s="13">
        <f>IF('Données projet'!$A$36&gt;35,N50+M51-V50,IF(A51&lt;'Données projet'!$A$36,$K$205^A51,IF(A51='Données projet'!$A$36,'Données projet'!$B$36,N50+M51-V50)))</f>
        <v>265.49999999999989</v>
      </c>
      <c r="O51" s="13">
        <f>N51*VLOOKUP('Données projet'!$B$9,Paramètres!$A$1:$I$89,3,0)*VLOOKUP('Données projet'!$B$9,Paramètres!$A$1:$I$89,5,0)</f>
        <v>124.25399999999995</v>
      </c>
      <c r="P51" s="13">
        <f t="shared" si="33"/>
        <v>32.665154397958723</v>
      </c>
      <c r="Q51" s="20">
        <f t="shared" si="53"/>
        <v>273.30086057644468</v>
      </c>
      <c r="R51" s="59">
        <f t="shared" si="0"/>
        <v>566.63419390977799</v>
      </c>
      <c r="S51" s="59">
        <f ca="1">AVERAGE(OFFSET($R$3,0,0,'Données projet'!$E$9+1,1))-AVERAGE(OFFSET($H$3,0,0,'Données projet'!$E$9+1,1))</f>
        <v>319.22903094674564</v>
      </c>
      <c r="T51" s="59">
        <f t="shared" si="34"/>
        <v>254.58690973142848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6.3545830258922358</v>
      </c>
      <c r="AA51" s="21">
        <f>EXP(-LN(2)/25)*AA50+(1-EXP(-LN(2)/25))/(LN(2)/25)*Calculateur!V51*Calculateur!X51*VLOOKUP('Données projet'!$B$9,Paramètres!$A$1:$I$89,3,0)*0.475*44/12</f>
        <v>6.7699379806779936</v>
      </c>
      <c r="AB51" s="21">
        <f>EXP(-LN(2)/2)*AB50+(1-EXP(-LN(2)/2))/(LN(2)/2)*V51*Y51*VLOOKUP('Données projet'!$B$9,Paramètres!$A$1:$I$89,3,0)*0.475*44/12</f>
        <v>2.1568610632028057E-2</v>
      </c>
      <c r="AC51" s="22">
        <f t="shared" si="3"/>
        <v>13.146089617202259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20.399999999999999</v>
      </c>
      <c r="AI51" s="13">
        <f>IF('Données projet'!$A$62&gt;35,AI50+AH51-AQ50,IF(A51&lt;'Données projet'!$A$62,$AF$205^A51,IF(A51='Données projet'!$A$62,'Données projet'!$B$62,AI50+AH51-AQ50)))</f>
        <v>683.19999999999959</v>
      </c>
      <c r="AJ51" s="13">
        <f>AI51*VLOOKUP('Données projet'!$B$10,Paramètres!$A$1:$I$89,3,0)*VLOOKUP('Données projet'!$B$10,Paramètres!$A$1:$I$89,5,0)</f>
        <v>381.90879999999981</v>
      </c>
      <c r="AK51" s="13">
        <f t="shared" si="35"/>
        <v>88.099131154986978</v>
      </c>
      <c r="AL51" s="20">
        <f t="shared" si="4"/>
        <v>818.59714676160195</v>
      </c>
      <c r="AM51" s="59">
        <f t="shared" si="5"/>
        <v>1111.9304800949353</v>
      </c>
      <c r="AN51" s="59">
        <f ca="1">AVERAGE(OFFSET($AM$3,0,0,'Données projet'!$E$10+1,1))-AVERAGE(OFFSET($H$3,0,0,'Données projet'!$E$10+1,1))</f>
        <v>544.48194192356823</v>
      </c>
      <c r="AO51" s="59">
        <f t="shared" si="36"/>
        <v>668.20427590250733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5.1399622880031526</v>
      </c>
      <c r="AV51" s="21">
        <f>EXP(-LN(2)/25)*AV50+(1-EXP(-LN(2)/25))/(LN(2)/25)*Calculateur!AQ51*Calculateur!AS51*VLOOKUP('Données projet'!$B$10,Paramètres!$A$1:$I$89,3,0)*0.475*44/12</f>
        <v>25.869771944532186</v>
      </c>
      <c r="AW51" s="21">
        <f>EXP(-LN(2)/2)*AW50+(1-EXP(-LN(2)/2))/(LN(2)/2)*AQ51*AT51*VLOOKUP('Données projet'!$B$10,Paramètres!$A$1:$I$89,3,0)*0.475*44/12</f>
        <v>2.8160073759253206E-2</v>
      </c>
      <c r="AX51" s="21">
        <f t="shared" si="6"/>
        <v>31.037894306294589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209.00000000000003</v>
      </c>
      <c r="BE51" s="13">
        <f>BD51*VLOOKUP('Données projet'!$B$11,Paramètres!$A$1:$I$89,3,0)*VLOOKUP('Données projet'!$B$11,Paramètres!$A$1:$I$89,5,0)</f>
        <v>189.10320000000002</v>
      </c>
      <c r="BF51" s="13">
        <f t="shared" si="37"/>
        <v>47.34162854278712</v>
      </c>
      <c r="BG51" s="20">
        <f t="shared" si="7"/>
        <v>411.80807637868764</v>
      </c>
      <c r="BH51" s="59">
        <f t="shared" si="8"/>
        <v>705.14140971202096</v>
      </c>
      <c r="BI51" s="59">
        <f ca="1">AVERAGE(OFFSET($BH$3,0,0,'Données projet'!$E$11+1,1))-AVERAGE(OFFSET($H$3,0,0,'Données projet'!$E$11+1,1))</f>
        <v>405.7176439604217</v>
      </c>
      <c r="BJ51" s="59">
        <f t="shared" si="38"/>
        <v>278.21741231699929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5.1169306362176945</v>
      </c>
      <c r="BQ51" s="21">
        <f>EXP(-LN(2)/25)*BQ50+(1-EXP(-LN(2)/25))/(LN(2)/25)*Calculateur!BL51*Calculateur!BN51*VLOOKUP('Données projet'!$B$11,Paramètres!$A$1:$I$89,3,0)*0.475*44/12</f>
        <v>5.6853255627883676</v>
      </c>
      <c r="BR51" s="21">
        <f>EXP(-LN(2)/2)*BR50+(1-EXP(-LN(2)/2))/(LN(2)/2)*BL51*BO51*VLOOKUP('Données projet'!$B$11,Paramètres!$A$1:$I$89,3,0)*0.475*44/12</f>
        <v>1.6669594901050206E-2</v>
      </c>
      <c r="BS51" s="22">
        <f t="shared" si="9"/>
        <v>10.818925793907113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7.2</v>
      </c>
      <c r="CT51" s="12">
        <f>IF('Données projet'!$A$140&gt;35,CT50+CS51-DB50,IF(A51&lt;'Données projet'!$A$140,$CQ$205^A51,IF(A51='Données projet'!$A$140,'Données projet'!$B$140,CT50+CS51-DB50)))</f>
        <v>204.59999999999991</v>
      </c>
      <c r="CU51" s="17">
        <f>CT51*VLOOKUP('Données projet'!$B$13,Paramètres!$A$1:$I$89,3,0)*VLOOKUP('Données projet'!$B$13,Paramètres!$A$1:$I$89,5,0)</f>
        <v>162.77975999999995</v>
      </c>
      <c r="CV51" s="13">
        <f t="shared" si="41"/>
        <v>41.468868129640057</v>
      </c>
      <c r="CW51" s="20">
        <f t="shared" si="13"/>
        <v>355.73302732578964</v>
      </c>
      <c r="CX51" s="59">
        <f t="shared" si="14"/>
        <v>649.06636065912289</v>
      </c>
      <c r="CY51" s="59">
        <f ca="1">AVERAGE(OFFSET($CX$3,0,0,'Données projet'!$E$13+1,1))-AVERAGE(OFFSET($H$3,0,0,'Données projet'!$E$13+1,1))</f>
        <v>299.10536994156814</v>
      </c>
      <c r="CZ51" s="59">
        <f t="shared" si="42"/>
        <v>292.57799203101769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5.8960704429175852</v>
      </c>
      <c r="DG51" s="21">
        <f>EXP(-LN(2)/25)*DG50+(1-EXP(-LN(2)/25))/(LN(2)/25)*Calculateur!DB51*Calculateur!DD51*VLOOKUP('Données projet'!$B$13,Paramètres!$A$1:$I$89,3,0)*0.475*44/12</f>
        <v>6.5643943424774625</v>
      </c>
      <c r="DH51" s="21">
        <f>EXP(-LN(2)/2)*DH50+(1-EXP(-LN(2)/2))/(LN(2)/2)*DB51*DE51*VLOOKUP('Données projet'!$B$13,Paramètres!$A$1:$I$89,3,0)*0.475*44/12</f>
        <v>1.7524704239892667E-2</v>
      </c>
      <c r="DI51" s="22">
        <f t="shared" si="15"/>
        <v>12.47798948963494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7.4</v>
      </c>
      <c r="DO51" s="12">
        <f>IF('Données projet'!$A$166&gt;35,DO50+DN51-DW50,IF(A51&lt;'Données projet'!$A$166,$DL$205^A51,IF(A51='Données projet'!$A$166,'Données projet'!$B$166,DO50+DN51-DW50)))</f>
        <v>231.2</v>
      </c>
      <c r="DP51" s="17">
        <f>DO51*VLOOKUP('Données projet'!$B$14,Paramètres!$A$1:$I$89,3,0)*VLOOKUP('Données projet'!$B$14,Paramètres!$A$1:$I$89,5,0)</f>
        <v>151.48223999999999</v>
      </c>
      <c r="DQ51" s="13">
        <f t="shared" si="43"/>
        <v>38.915236966075291</v>
      </c>
      <c r="DR51" s="20">
        <f t="shared" si="16"/>
        <v>331.60893904924779</v>
      </c>
      <c r="DS51" s="59">
        <f t="shared" si="17"/>
        <v>624.94227238258111</v>
      </c>
      <c r="DT51" s="59">
        <f ca="1">AVERAGE(OFFSET($DS$3,0,0,'Données projet'!$E$14+1,1))-AVERAGE(OFFSET($H$3,0,0,'Données projet'!$E$14+1,1))</f>
        <v>295.92103934364718</v>
      </c>
      <c r="DU51" s="59">
        <f t="shared" si="44"/>
        <v>304.84379909635476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3.1228689030270589</v>
      </c>
      <c r="EB51" s="21">
        <f>EXP(-LN(2)/25)*EB50+(1-EXP(-LN(2)/25))/(LN(2)/25)*Calculateur!DW51*Calculateur!DY51*VLOOKUP('Données projet'!$B$14,Paramètres!$A$1:$I$89,3,0)*0.475*44/12</f>
        <v>4.3420526851447212</v>
      </c>
      <c r="EC51" s="21">
        <f>EXP(-LN(2)/2)*EC50+(1-EXP(-LN(2)/2))/(LN(2)/2)*DW51*DZ51*VLOOKUP('Données projet'!$B$14,Paramètres!$A$1:$I$89,3,0)*0.475*44/12</f>
        <v>1.1239676760689873E-2</v>
      </c>
      <c r="ED51" s="22">
        <f t="shared" si="18"/>
        <v>7.47616126493247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5.125</v>
      </c>
      <c r="EJ51" s="12">
        <f>IF('Données projet'!$A$192&gt;35,EJ50+EI51-ER50,IF(A51&lt;'Données projet'!$A$192,$EG$205^A51,IF(A51='Données projet'!$A$192,'Données projet'!$B$192,EJ50+EI51-ER50)))</f>
        <v>215.25</v>
      </c>
      <c r="EK51" s="17">
        <f>EJ51*VLOOKUP('Données projet'!$B$15,Paramètres!$A$1:$I$89,3,0)*VLOOKUP('Données projet'!$B$15,Paramètres!$A$1:$I$89,5,0)</f>
        <v>128.71950000000001</v>
      </c>
      <c r="EL51" s="13">
        <f t="shared" si="45"/>
        <v>33.700303131200371</v>
      </c>
      <c r="EM51" s="20">
        <f t="shared" si="19"/>
        <v>282.88115712017401</v>
      </c>
      <c r="EN51" s="59">
        <f t="shared" si="20"/>
        <v>576.21449045350732</v>
      </c>
      <c r="EO51" s="59">
        <f ca="1">AVERAGE(OFFSET($EN$3,0,0,'Données projet'!$E$15+1,1))-AVERAGE(OFFSET($H$3,0,0,'Données projet'!$E$15+1,1))</f>
        <v>207.2913533618397</v>
      </c>
      <c r="EP51" s="59">
        <f t="shared" si="46"/>
        <v>230.81096055024483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4.8466938091017182</v>
      </c>
      <c r="EW51" s="21">
        <f>EXP(-LN(2)/25)*EW50+(1-EXP(-LN(2)/25))/(LN(2)/25)*Calculateur!ER51*Calculateur!ET51*VLOOKUP('Données projet'!$B$15,Paramètres!$A$1:$I$89,3,0)*0.475*44/12</f>
        <v>3.661508915667961</v>
      </c>
      <c r="EX51" s="21">
        <f>EXP(-LN(2)/2)*EX50+(1-EXP(-LN(2)/2))/(LN(2)/2)*ER51*EU51*VLOOKUP('Données projet'!$B$15,Paramètres!$A$1:$I$89,3,0)*0.475*44/12</f>
        <v>5.7607570190773465E-3</v>
      </c>
      <c r="EY51" s="22">
        <f t="shared" si="21"/>
        <v>8.5139634817887568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11.5</v>
      </c>
      <c r="N52" s="13">
        <f>IF('Données projet'!$A$36&gt;35,N51+M52-V51,IF(A52&lt;'Données projet'!$A$36,$K$205^A52,IF(A52='Données projet'!$A$36,'Données projet'!$B$36,N51+M52-V51)))</f>
        <v>276.99999999999989</v>
      </c>
      <c r="O52" s="13">
        <f>N52*VLOOKUP('Données projet'!$B$9,Paramètres!$A$1:$I$89,3,0)*VLOOKUP('Données projet'!$B$9,Paramètres!$A$1:$I$89,5,0)</f>
        <v>129.63599999999994</v>
      </c>
      <c r="P52" s="13">
        <f t="shared" si="33"/>
        <v>33.912235898830978</v>
      </c>
      <c r="Q52" s="20">
        <f t="shared" si="53"/>
        <v>284.84651085713051</v>
      </c>
      <c r="R52" s="59">
        <f t="shared" si="0"/>
        <v>578.17984419046388</v>
      </c>
      <c r="S52" s="59">
        <f ca="1">AVERAGE(OFFSET($R$3,0,0,'Données projet'!$E$9+1,1))-AVERAGE(OFFSET($H$3,0,0,'Données projet'!$E$9+1,1))</f>
        <v>319.22903094674564</v>
      </c>
      <c r="T52" s="59">
        <f t="shared" si="34"/>
        <v>254.58690973142848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6.2299735286674203</v>
      </c>
      <c r="AA52" s="21">
        <f>EXP(-LN(2)/25)*AA51+(1-EXP(-LN(2)/25))/(LN(2)/25)*Calculateur!V52*Calculateur!X52*VLOOKUP('Données projet'!$B$9,Paramètres!$A$1:$I$89,3,0)*0.475*44/12</f>
        <v>6.5848136705807887</v>
      </c>
      <c r="AB52" s="21">
        <f>EXP(-LN(2)/2)*AB51+(1-EXP(-LN(2)/2))/(LN(2)/2)*V52*Y52*VLOOKUP('Données projet'!$B$9,Paramètres!$A$1:$I$89,3,0)*0.475*44/12</f>
        <v>1.5251310838679307E-2</v>
      </c>
      <c r="AC52" s="22">
        <f t="shared" si="3"/>
        <v>12.830038510086887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20.399999999999999</v>
      </c>
      <c r="AI52" s="13">
        <f>IF('Données projet'!$A$62&gt;35,AI51+AH52-AQ51,IF(A52&lt;'Données projet'!$A$62,$AF$205^A52,IF(A52='Données projet'!$A$62,'Données projet'!$B$62,AI51+AH52-AQ51)))</f>
        <v>703.59999999999957</v>
      </c>
      <c r="AJ52" s="13">
        <f>AI52*VLOOKUP('Données projet'!$B$10,Paramètres!$A$1:$I$89,3,0)*VLOOKUP('Données projet'!$B$10,Paramètres!$A$1:$I$89,5,0)</f>
        <v>393.3123999999998</v>
      </c>
      <c r="AK52" s="13">
        <f t="shared" si="35"/>
        <v>90.419529407700907</v>
      </c>
      <c r="AL52" s="20">
        <f t="shared" si="4"/>
        <v>842.49977705174535</v>
      </c>
      <c r="AM52" s="59">
        <f t="shared" si="5"/>
        <v>1135.8331103850787</v>
      </c>
      <c r="AN52" s="59">
        <f ca="1">AVERAGE(OFFSET($AM$3,0,0,'Données projet'!$E$10+1,1))-AVERAGE(OFFSET($H$3,0,0,'Données projet'!$E$10+1,1))</f>
        <v>544.48194192356823</v>
      </c>
      <c r="AO52" s="59">
        <f t="shared" si="36"/>
        <v>668.20427590250733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5.0391707626028444</v>
      </c>
      <c r="AV52" s="21">
        <f>EXP(-LN(2)/25)*AV51+(1-EXP(-LN(2)/25))/(LN(2)/25)*Calculateur!AQ52*Calculateur!AS52*VLOOKUP('Données projet'!$B$10,Paramètres!$A$1:$I$89,3,0)*0.475*44/12</f>
        <v>25.162361670276773</v>
      </c>
      <c r="AW52" s="21">
        <f>EXP(-LN(2)/2)*AW51+(1-EXP(-LN(2)/2))/(LN(2)/2)*AQ52*AT52*VLOOKUP('Données projet'!$B$10,Paramètres!$A$1:$I$89,3,0)*0.475*44/12</f>
        <v>1.9912179113881295E-2</v>
      </c>
      <c r="AX52" s="21">
        <f t="shared" si="6"/>
        <v>30.221444611993498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220.00000000000003</v>
      </c>
      <c r="BE52" s="13">
        <f>BD52*VLOOKUP('Données projet'!$B$11,Paramètres!$A$1:$I$89,3,0)*VLOOKUP('Données projet'!$B$11,Paramètres!$A$1:$I$89,5,0)</f>
        <v>199.05600000000001</v>
      </c>
      <c r="BF52" s="13">
        <f t="shared" si="37"/>
        <v>49.536648006253934</v>
      </c>
      <c r="BG52" s="20">
        <f t="shared" si="7"/>
        <v>432.96552861089231</v>
      </c>
      <c r="BH52" s="59">
        <f t="shared" si="8"/>
        <v>726.29886194422556</v>
      </c>
      <c r="BI52" s="59">
        <f ca="1">AVERAGE(OFFSET($BH$3,0,0,'Données projet'!$E$11+1,1))-AVERAGE(OFFSET($H$3,0,0,'Données projet'!$E$11+1,1))</f>
        <v>405.7176439604217</v>
      </c>
      <c r="BJ52" s="59">
        <f t="shared" si="38"/>
        <v>278.21741231699929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5.0165907474609783</v>
      </c>
      <c r="BQ52" s="21">
        <f>EXP(-LN(2)/25)*BQ51+(1-EXP(-LN(2)/25))/(LN(2)/25)*Calculateur!BL52*Calculateur!BN52*VLOOKUP('Données projet'!$B$11,Paramètres!$A$1:$I$89,3,0)*0.475*44/12</f>
        <v>5.5298600362956423</v>
      </c>
      <c r="BR52" s="21">
        <f>EXP(-LN(2)/2)*BR51+(1-EXP(-LN(2)/2))/(LN(2)/2)*BL52*BO52*VLOOKUP('Données projet'!$B$11,Paramètres!$A$1:$I$89,3,0)*0.475*44/12</f>
        <v>1.1787183594165297E-2</v>
      </c>
      <c r="BS52" s="22">
        <f t="shared" si="9"/>
        <v>10.558237967350786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7.2</v>
      </c>
      <c r="CT52" s="12">
        <f>IF('Données projet'!$A$140&gt;35,CT51+CS52-DB51,IF(A52&lt;'Données projet'!$A$140,$CQ$205^A52,IF(A52='Données projet'!$A$140,'Données projet'!$B$140,CT51+CS52-DB51)))</f>
        <v>211.7999999999999</v>
      </c>
      <c r="CU52" s="17">
        <f>CT52*VLOOKUP('Données projet'!$B$13,Paramètres!$A$1:$I$89,3,0)*VLOOKUP('Données projet'!$B$13,Paramètres!$A$1:$I$89,5,0)</f>
        <v>168.50807999999992</v>
      </c>
      <c r="CV52" s="13">
        <f t="shared" si="41"/>
        <v>42.755711908378117</v>
      </c>
      <c r="CW52" s="20">
        <f t="shared" si="13"/>
        <v>367.95110424042508</v>
      </c>
      <c r="CX52" s="59">
        <f t="shared" si="14"/>
        <v>661.2844375737584</v>
      </c>
      <c r="CY52" s="59">
        <f ca="1">AVERAGE(OFFSET($CX$3,0,0,'Données projet'!$E$13+1,1))-AVERAGE(OFFSET($H$3,0,0,'Données projet'!$E$13+1,1))</f>
        <v>299.10536994156814</v>
      </c>
      <c r="CZ52" s="59">
        <f t="shared" si="42"/>
        <v>292.57799203101769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5.7804520977798415</v>
      </c>
      <c r="DG52" s="21">
        <f>EXP(-LN(2)/25)*DG51+(1-EXP(-LN(2)/25))/(LN(2)/25)*Calculateur!DB52*Calculateur!DD52*VLOOKUP('Données projet'!$B$13,Paramètres!$A$1:$I$89,3,0)*0.475*44/12</f>
        <v>6.384890633975921</v>
      </c>
      <c r="DH52" s="21">
        <f>EXP(-LN(2)/2)*DH51+(1-EXP(-LN(2)/2))/(LN(2)/2)*DB52*DE52*VLOOKUP('Données projet'!$B$13,Paramètres!$A$1:$I$89,3,0)*0.475*44/12</f>
        <v>1.2391837206316746E-2</v>
      </c>
      <c r="DI52" s="22">
        <f t="shared" si="15"/>
        <v>12.177734568962078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7.4</v>
      </c>
      <c r="DO52" s="12">
        <f>IF('Données projet'!$A$166&gt;35,DO51+DN52-DW51,IF(A52&lt;'Données projet'!$A$166,$DL$205^A52,IF(A52='Données projet'!$A$166,'Données projet'!$B$166,DO51+DN52-DW51)))</f>
        <v>238.6</v>
      </c>
      <c r="DP52" s="17">
        <f>DO52*VLOOKUP('Données projet'!$B$14,Paramètres!$A$1:$I$89,3,0)*VLOOKUP('Données projet'!$B$14,Paramètres!$A$1:$I$89,5,0)</f>
        <v>156.33071999999999</v>
      </c>
      <c r="DQ52" s="13">
        <f t="shared" si="43"/>
        <v>40.013784897456162</v>
      </c>
      <c r="DR52" s="20">
        <f t="shared" si="16"/>
        <v>341.96667936306943</v>
      </c>
      <c r="DS52" s="59">
        <f t="shared" si="17"/>
        <v>635.30001269640275</v>
      </c>
      <c r="DT52" s="59">
        <f ca="1">AVERAGE(OFFSET($DS$3,0,0,'Données projet'!$E$14+1,1))-AVERAGE(OFFSET($H$3,0,0,'Données projet'!$E$14+1,1))</f>
        <v>295.92103934364718</v>
      </c>
      <c r="DU52" s="59">
        <f t="shared" si="44"/>
        <v>304.84379909635476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3.0616313486006494</v>
      </c>
      <c r="EB52" s="21">
        <f>EXP(-LN(2)/25)*EB51+(1-EXP(-LN(2)/25))/(LN(2)/25)*Calculateur!DW52*Calculateur!DY52*VLOOKUP('Données projet'!$B$14,Paramètres!$A$1:$I$89,3,0)*0.475*44/12</f>
        <v>4.2233190261308122</v>
      </c>
      <c r="EC52" s="21">
        <f>EXP(-LN(2)/2)*EC51+(1-EXP(-LN(2)/2))/(LN(2)/2)*DW52*DZ52*VLOOKUP('Données projet'!$B$14,Paramètres!$A$1:$I$89,3,0)*0.475*44/12</f>
        <v>7.947651655828657E-3</v>
      </c>
      <c r="ED52" s="22">
        <f t="shared" si="18"/>
        <v>7.2928980263872907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5.125</v>
      </c>
      <c r="EJ52" s="12">
        <f>IF('Données projet'!$A$192&gt;35,EJ51+EI52-ER51,IF(A52&lt;'Données projet'!$A$192,$EG$205^A52,IF(A52='Données projet'!$A$192,'Données projet'!$B$192,EJ51+EI52-ER51)))</f>
        <v>220.375</v>
      </c>
      <c r="EK52" s="17">
        <f>EJ52*VLOOKUP('Données projet'!$B$15,Paramètres!$A$1:$I$89,3,0)*VLOOKUP('Données projet'!$B$15,Paramètres!$A$1:$I$89,5,0)</f>
        <v>131.78425000000001</v>
      </c>
      <c r="EL52" s="13">
        <f t="shared" si="45"/>
        <v>34.408319457025534</v>
      </c>
      <c r="EM52" s="20">
        <f t="shared" si="19"/>
        <v>289.45205847098617</v>
      </c>
      <c r="EN52" s="59">
        <f t="shared" si="20"/>
        <v>582.78539180431949</v>
      </c>
      <c r="EO52" s="59">
        <f ca="1">AVERAGE(OFFSET($EN$3,0,0,'Données projet'!$E$15+1,1))-AVERAGE(OFFSET($H$3,0,0,'Données projet'!$E$15+1,1))</f>
        <v>207.2913533618397</v>
      </c>
      <c r="EP52" s="59">
        <f t="shared" si="46"/>
        <v>230.81096055024483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4.7516530996965578</v>
      </c>
      <c r="EW52" s="21">
        <f>EXP(-LN(2)/25)*EW51+(1-EXP(-LN(2)/25))/(LN(2)/25)*Calculateur!ER52*Calculateur!ET52*VLOOKUP('Données projet'!$B$15,Paramètres!$A$1:$I$89,3,0)*0.475*44/12</f>
        <v>3.5613847618186352</v>
      </c>
      <c r="EX52" s="21">
        <f>EXP(-LN(2)/2)*EX51+(1-EXP(-LN(2)/2))/(LN(2)/2)*ER52*EU52*VLOOKUP('Données projet'!$B$15,Paramètres!$A$1:$I$89,3,0)*0.475*44/12</f>
        <v>4.0734703529575929E-3</v>
      </c>
      <c r="EY52" s="22">
        <f t="shared" si="21"/>
        <v>8.3171113318681513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288.5</v>
      </c>
      <c r="L53" s="12">
        <f>VLOOKUP(A53,'Données projet'!$A$35:$I$55,9,0)</f>
        <v>11.5</v>
      </c>
      <c r="M53" s="12">
        <f t="array" ref="M53">INDEX(L:L,MIN(IF(ISNUMBER(L53:L249),ROW(L53:L249),"")))</f>
        <v>11.5</v>
      </c>
      <c r="N53" s="13">
        <f>IF('Données projet'!$A$36&gt;35,N52+M53-V52,IF(A53&lt;'Données projet'!$A$36,$K$205^A53,IF(A53='Données projet'!$A$36,'Données projet'!$B$36,N52+M53-V52)))</f>
        <v>288.49999999999989</v>
      </c>
      <c r="O53" s="13">
        <f>N53*VLOOKUP('Données projet'!$B$9,Paramètres!$A$1:$I$89,3,0)*VLOOKUP('Données projet'!$B$9,Paramètres!$A$1:$I$89,5,0)</f>
        <v>135.01799999999994</v>
      </c>
      <c r="P53" s="13">
        <f t="shared" si="33"/>
        <v>35.153303603250578</v>
      </c>
      <c r="Q53" s="20">
        <f t="shared" si="53"/>
        <v>296.38168710899464</v>
      </c>
      <c r="R53" s="59">
        <f t="shared" si="0"/>
        <v>589.71502044232795</v>
      </c>
      <c r="S53" s="59">
        <f ca="1">AVERAGE(OFFSET($R$3,0,0,'Données projet'!$E$9+1,1))-AVERAGE(OFFSET($H$3,0,0,'Données projet'!$E$9+1,1))</f>
        <v>319.22903094674564</v>
      </c>
      <c r="T53" s="59">
        <f t="shared" si="34"/>
        <v>254.58690973142848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75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6.1078075476788944</v>
      </c>
      <c r="AA53" s="21">
        <f>EXP(-LN(2)/25)*AA52+(1-EXP(-LN(2)/25))/(LN(2)/25)*Calculateur!V53*Calculateur!X53*VLOOKUP('Données projet'!$B$9,Paramètres!$A$1:$I$89,3,0)*0.475*44/12</f>
        <v>6.4047515944784559</v>
      </c>
      <c r="AB53" s="21">
        <f>EXP(-LN(2)/2)*AB52+(1-EXP(-LN(2)/2))/(LN(2)/2)*V53*Y53*VLOOKUP('Données projet'!$B$9,Paramètres!$A$1:$I$89,3,0)*0.475*44/12</f>
        <v>1.078430531601403E-2</v>
      </c>
      <c r="AC53" s="22">
        <f t="shared" si="3"/>
        <v>12.523343447473364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724</v>
      </c>
      <c r="AG53" s="12">
        <f>VLOOKUP(A53,'Données projet'!$A$61:$I$81,9,0)</f>
        <v>20.399999999999999</v>
      </c>
      <c r="AH53" s="12">
        <f t="array" ref="AH53">INDEX(AG:AG,MIN(IF(ISNUMBER(AG53:AG249),ROW(AG53:AG249),"")))</f>
        <v>20.399999999999999</v>
      </c>
      <c r="AI53" s="13">
        <f>IF('Données projet'!$A$62&gt;35,AI52+AH53-AQ52,IF(A53&lt;'Données projet'!$A$62,$AF$205^A53,IF(A53='Données projet'!$A$62,'Données projet'!$B$62,AI52+AH53-AQ52)))</f>
        <v>723.99999999999955</v>
      </c>
      <c r="AJ53" s="13">
        <f>AI53*VLOOKUP('Données projet'!$B$10,Paramètres!$A$1:$I$89,3,0)*VLOOKUP('Données projet'!$B$10,Paramètres!$A$1:$I$89,5,0)</f>
        <v>404.71599999999978</v>
      </c>
      <c r="AK53" s="13">
        <f t="shared" si="35"/>
        <v>92.732108655131142</v>
      </c>
      <c r="AL53" s="20">
        <f t="shared" si="4"/>
        <v>866.38878924101971</v>
      </c>
      <c r="AM53" s="59">
        <f t="shared" si="5"/>
        <v>1159.7221225743531</v>
      </c>
      <c r="AN53" s="59">
        <f ca="1">AVERAGE(OFFSET($AM$3,0,0,'Données projet'!$E$10+1,1))-AVERAGE(OFFSET($H$3,0,0,'Données projet'!$E$10+1,1))</f>
        <v>544.48194192356823</v>
      </c>
      <c r="AO53" s="59">
        <f t="shared" si="36"/>
        <v>668.20427590250733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62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4.9403556975388758</v>
      </c>
      <c r="AV53" s="21">
        <f>EXP(-LN(2)/25)*AV52+(1-EXP(-LN(2)/25))/(LN(2)/25)*Calculateur!AQ53*Calculateur!AS53*VLOOKUP('Données projet'!$B$10,Paramètres!$A$1:$I$89,3,0)*0.475*44/12</f>
        <v>24.474295567171964</v>
      </c>
      <c r="AW53" s="21">
        <f>EXP(-LN(2)/2)*AW52+(1-EXP(-LN(2)/2))/(LN(2)/2)*AQ53*AT53*VLOOKUP('Données projet'!$B$10,Paramètres!$A$1:$I$89,3,0)*0.475*44/12</f>
        <v>1.4080036879626603E-2</v>
      </c>
      <c r="AX53" s="21">
        <f t="shared" si="6"/>
        <v>29.428731301590467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231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231.00000000000003</v>
      </c>
      <c r="BE53" s="13">
        <f>BD53*VLOOKUP('Données projet'!$B$11,Paramètres!$A$1:$I$89,3,0)*VLOOKUP('Données projet'!$B$11,Paramètres!$A$1:$I$89,5,0)</f>
        <v>209.00880000000004</v>
      </c>
      <c r="BF53" s="13">
        <f t="shared" si="37"/>
        <v>51.718923953824252</v>
      </c>
      <c r="BG53" s="20">
        <f t="shared" si="7"/>
        <v>454.10078588624395</v>
      </c>
      <c r="BH53" s="59">
        <f t="shared" si="8"/>
        <v>747.43411921957727</v>
      </c>
      <c r="BI53" s="59">
        <f ca="1">AVERAGE(OFFSET($BH$3,0,0,'Données projet'!$E$11+1,1))-AVERAGE(OFFSET($H$3,0,0,'Données projet'!$E$11+1,1))</f>
        <v>405.7176439604217</v>
      </c>
      <c r="BJ53" s="59">
        <f t="shared" si="38"/>
        <v>278.21741231699929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4.9182184627214927</v>
      </c>
      <c r="BQ53" s="21">
        <f>EXP(-LN(2)/25)*BQ52+(1-EXP(-LN(2)/25))/(LN(2)/25)*Calculateur!BL53*Calculateur!BN53*VLOOKUP('Données projet'!$B$11,Paramètres!$A$1:$I$89,3,0)*0.475*44/12</f>
        <v>5.378645722800437</v>
      </c>
      <c r="BR53" s="21">
        <f>EXP(-LN(2)/2)*BR52+(1-EXP(-LN(2)/2))/(LN(2)/2)*BL53*BO53*VLOOKUP('Données projet'!$B$11,Paramètres!$A$1:$I$89,3,0)*0.475*44/12</f>
        <v>8.334797450525103E-3</v>
      </c>
      <c r="BS53" s="22">
        <f t="shared" si="9"/>
        <v>10.305198982972454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219</v>
      </c>
      <c r="CR53" s="12">
        <f>VLOOKUP(A53,'Données projet'!$A$139:$I$159,9,0)</f>
        <v>7.2</v>
      </c>
      <c r="CS53" s="12">
        <f t="array" ref="CS53">INDEX(CR:CR,MIN(IF(ISNUMBER(CR53:CR249),ROW(CR53:CR249),"")))</f>
        <v>7.2</v>
      </c>
      <c r="CT53" s="12">
        <f>IF('Données projet'!$A$140&gt;35,CT52+CS53-DB52,IF(A53&lt;'Données projet'!$A$140,$CQ$205^A53,IF(A53='Données projet'!$A$140,'Données projet'!$B$140,CT52+CS53-DB52)))</f>
        <v>218.99999999999989</v>
      </c>
      <c r="CU53" s="17">
        <f>CT53*VLOOKUP('Données projet'!$B$13,Paramètres!$A$1:$I$89,3,0)*VLOOKUP('Données projet'!$B$13,Paramètres!$A$1:$I$89,5,0)</f>
        <v>174.23639999999992</v>
      </c>
      <c r="CV53" s="13">
        <f t="shared" si="41"/>
        <v>44.03747274965864</v>
      </c>
      <c r="CW53" s="20">
        <f t="shared" si="13"/>
        <v>380.160328372322</v>
      </c>
      <c r="CX53" s="59">
        <f t="shared" si="14"/>
        <v>673.49366170565531</v>
      </c>
      <c r="CY53" s="59">
        <f ca="1">AVERAGE(OFFSET($CX$3,0,0,'Données projet'!$E$13+1,1))-AVERAGE(OFFSET($H$3,0,0,'Données projet'!$E$13+1,1))</f>
        <v>299.10536994156814</v>
      </c>
      <c r="CZ53" s="59">
        <f t="shared" si="42"/>
        <v>292.57799203101769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17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5.667100957870022</v>
      </c>
      <c r="DG53" s="21">
        <f>EXP(-LN(2)/25)*DG52+(1-EXP(-LN(2)/25))/(LN(2)/25)*Calculateur!DB53*Calculateur!DD53*VLOOKUP('Données projet'!$B$13,Paramètres!$A$1:$I$89,3,0)*0.475*44/12</f>
        <v>6.2102954638230443</v>
      </c>
      <c r="DH53" s="21">
        <f>EXP(-LN(2)/2)*DH52+(1-EXP(-LN(2)/2))/(LN(2)/2)*DB53*DE53*VLOOKUP('Données projet'!$B$13,Paramètres!$A$1:$I$89,3,0)*0.475*44/12</f>
        <v>8.7623521199463334E-3</v>
      </c>
      <c r="DI53" s="22">
        <f t="shared" si="15"/>
        <v>11.886158773813014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246</v>
      </c>
      <c r="DM53" s="12">
        <f>VLOOKUP(A53,'Données projet'!$A$165:$I$185,9,0)</f>
        <v>7.4</v>
      </c>
      <c r="DN53" s="12">
        <f t="array" ref="DN53">INDEX(DM:DM,MIN(IF(ISNUMBER(DM53:DM249),ROW(DM53:DM249),"")))</f>
        <v>7.4</v>
      </c>
      <c r="DO53" s="12">
        <f>IF('Données projet'!$A$166&gt;35,DO52+DN53-DW52,IF(A53&lt;'Données projet'!$A$166,$DL$205^A53,IF(A53='Données projet'!$A$166,'Données projet'!$B$166,DO52+DN53-DW52)))</f>
        <v>246</v>
      </c>
      <c r="DP53" s="17">
        <f>DO53*VLOOKUP('Données projet'!$B$14,Paramètres!$A$1:$I$89,3,0)*VLOOKUP('Données projet'!$B$14,Paramètres!$A$1:$I$89,5,0)</f>
        <v>161.17920000000001</v>
      </c>
      <c r="DQ53" s="13">
        <f t="shared" si="43"/>
        <v>41.108373485541968</v>
      </c>
      <c r="DR53" s="20">
        <f t="shared" si="16"/>
        <v>352.31752382065224</v>
      </c>
      <c r="DS53" s="59">
        <f t="shared" si="17"/>
        <v>645.6508571539855</v>
      </c>
      <c r="DT53" s="59">
        <f ca="1">AVERAGE(OFFSET($DS$3,0,0,'Données projet'!$E$14+1,1))-AVERAGE(OFFSET($H$3,0,0,'Données projet'!$E$14+1,1))</f>
        <v>295.92103934364718</v>
      </c>
      <c r="DU53" s="59">
        <f t="shared" si="44"/>
        <v>304.84379909635476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27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3.0015946252653221</v>
      </c>
      <c r="EB53" s="21">
        <f>EXP(-LN(2)/25)*EB52+(1-EXP(-LN(2)/25))/(LN(2)/25)*Calculateur!DW53*Calculateur!DY53*VLOOKUP('Données projet'!$B$14,Paramètres!$A$1:$I$89,3,0)*0.475*44/12</f>
        <v>4.1078321452665705</v>
      </c>
      <c r="EC53" s="21">
        <f>EXP(-LN(2)/2)*EC52+(1-EXP(-LN(2)/2))/(LN(2)/2)*DW53*DZ53*VLOOKUP('Données projet'!$B$14,Paramètres!$A$1:$I$89,3,0)*0.475*44/12</f>
        <v>5.6198383803449364E-3</v>
      </c>
      <c r="ED53" s="22">
        <f t="shared" si="18"/>
        <v>7.1150466089122375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5.125</v>
      </c>
      <c r="EJ53" s="12">
        <f>IF('Données projet'!$A$192&gt;35,EJ52+EI53-ER52,IF(A53&lt;'Données projet'!$A$192,$EG$205^A53,IF(A53='Données projet'!$A$192,'Données projet'!$B$192,EJ52+EI53-ER52)))</f>
        <v>225.5</v>
      </c>
      <c r="EK53" s="17">
        <f>EJ53*VLOOKUP('Données projet'!$B$15,Paramètres!$A$1:$I$89,3,0)*VLOOKUP('Données projet'!$B$15,Paramètres!$A$1:$I$89,5,0)</f>
        <v>134.84900000000002</v>
      </c>
      <c r="EL53" s="13">
        <f t="shared" si="45"/>
        <v>35.114421608496684</v>
      </c>
      <c r="EM53" s="20">
        <f t="shared" si="19"/>
        <v>296.01962596813172</v>
      </c>
      <c r="EN53" s="59">
        <f t="shared" si="20"/>
        <v>589.35295930146503</v>
      </c>
      <c r="EO53" s="59">
        <f ca="1">AVERAGE(OFFSET($EN$3,0,0,'Données projet'!$E$15+1,1))-AVERAGE(OFFSET($H$3,0,0,'Données projet'!$E$15+1,1))</f>
        <v>207.2913533618397</v>
      </c>
      <c r="EP53" s="59">
        <f t="shared" si="46"/>
        <v>230.81096055024483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4.6584760806337231</v>
      </c>
      <c r="EW53" s="21">
        <f>EXP(-LN(2)/25)*EW52+(1-EXP(-LN(2)/25))/(LN(2)/25)*Calculateur!ER53*Calculateur!ET53*VLOOKUP('Données projet'!$B$15,Paramètres!$A$1:$I$89,3,0)*0.475*44/12</f>
        <v>3.4639985082216196</v>
      </c>
      <c r="EX53" s="21">
        <f>EXP(-LN(2)/2)*EX52+(1-EXP(-LN(2)/2))/(LN(2)/2)*ER53*EU53*VLOOKUP('Données projet'!$B$15,Paramètres!$A$1:$I$89,3,0)*0.475*44/12</f>
        <v>2.8803785095386733E-3</v>
      </c>
      <c r="EY53" s="22">
        <f t="shared" si="21"/>
        <v>8.1253549673648831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</v>
      </c>
      <c r="N54" s="13">
        <f>IF('Données projet'!$A$36&gt;35,N53+M54-V53,IF(A54&lt;'Données projet'!$A$36,$K$205^A54,IF(A54='Données projet'!$A$36,'Données projet'!$B$36,N53+M54-V53)))</f>
        <v>226.99999999999989</v>
      </c>
      <c r="O54" s="13">
        <f>N54*VLOOKUP('Données projet'!$B$9,Paramètres!$A$1:$I$89,3,0)*VLOOKUP('Données projet'!$B$9,Paramètres!$A$1:$I$89,5,0)</f>
        <v>106.23599999999995</v>
      </c>
      <c r="P54" s="13">
        <f t="shared" si="33"/>
        <v>28.442367793282852</v>
      </c>
      <c r="Q54" s="20">
        <f t="shared" si="53"/>
        <v>234.56482390663419</v>
      </c>
      <c r="R54" s="59">
        <f t="shared" si="0"/>
        <v>527.89815723996753</v>
      </c>
      <c r="S54" s="59">
        <f ca="1">AVERAGE(OFFSET($R$3,0,0,'Données projet'!$E$9+1,1))-AVERAGE(OFFSET($H$3,0,0,'Données projet'!$E$9+1,1))</f>
        <v>319.22903094674564</v>
      </c>
      <c r="T54" s="59">
        <f t="shared" si="34"/>
        <v>254.58690973142848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5.9880371670636636</v>
      </c>
      <c r="AA54" s="21">
        <f>EXP(-LN(2)/25)*AA53+(1-EXP(-LN(2)/25))/(LN(2)/25)*Calculateur!V54*Calculateur!X54*VLOOKUP('Données projet'!$B$9,Paramètres!$A$1:$I$89,3,0)*0.475*44/12</f>
        <v>6.2296133253161941</v>
      </c>
      <c r="AB54" s="21">
        <f>EXP(-LN(2)/2)*AB53+(1-EXP(-LN(2)/2))/(LN(2)/2)*V54*Y54*VLOOKUP('Données projet'!$B$9,Paramètres!$A$1:$I$89,3,0)*0.475*44/12</f>
        <v>7.6256554193396544E-3</v>
      </c>
      <c r="AC54" s="22">
        <f t="shared" si="3"/>
        <v>12.225276147799196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15.4</v>
      </c>
      <c r="AI54" s="13">
        <f>IF('Données projet'!$A$62&gt;35,AI53+AH54-AQ53,IF(A54&lt;'Données projet'!$A$62,$AF$205^A54,IF(A54='Données projet'!$A$62,'Données projet'!$B$62,AI53+AH54-AQ53)))</f>
        <v>677.39999999999952</v>
      </c>
      <c r="AJ54" s="13">
        <f>AI54*VLOOKUP('Données projet'!$B$10,Paramètres!$A$1:$I$89,3,0)*VLOOKUP('Données projet'!$B$10,Paramètres!$A$1:$I$89,5,0)</f>
        <v>378.66659999999979</v>
      </c>
      <c r="AK54" s="13">
        <f t="shared" si="35"/>
        <v>87.437946637883755</v>
      </c>
      <c r="AL54" s="20">
        <f t="shared" si="4"/>
        <v>811.79875206098052</v>
      </c>
      <c r="AM54" s="59">
        <f t="shared" si="5"/>
        <v>1105.1320853943139</v>
      </c>
      <c r="AN54" s="59">
        <f ca="1">AVERAGE(OFFSET($AM$3,0,0,'Données projet'!$E$10+1,1))-AVERAGE(OFFSET($H$3,0,0,'Données projet'!$E$10+1,1))</f>
        <v>544.48194192356823</v>
      </c>
      <c r="AO54" s="59">
        <f t="shared" si="36"/>
        <v>668.20427590250733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4.8434783356295732</v>
      </c>
      <c r="AV54" s="21">
        <f>EXP(-LN(2)/25)*AV53+(1-EXP(-LN(2)/25))/(LN(2)/25)*Calculateur!AQ54*Calculateur!AS54*VLOOKUP('Données projet'!$B$10,Paramètres!$A$1:$I$89,3,0)*0.475*44/12</f>
        <v>23.805044667840381</v>
      </c>
      <c r="AW54" s="21">
        <f>EXP(-LN(2)/2)*AW53+(1-EXP(-LN(2)/2))/(LN(2)/2)*AQ54*AT54*VLOOKUP('Données projet'!$B$10,Paramètres!$A$1:$I$89,3,0)*0.475*44/12</f>
        <v>9.9560895569406477E-3</v>
      </c>
      <c r="AX54" s="21">
        <f t="shared" si="6"/>
        <v>28.658479093026894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10.199999999999999</v>
      </c>
      <c r="BD54" s="12">
        <f>IF('Données projet'!$A$88&gt;35,BD53+BC54-BL53,IF(A54&lt;'Données projet'!$A$88,$BA$205^A54,IF(A54='Données projet'!$A$88,'Données projet'!$B$88,BD53+BC54-BL53)))</f>
        <v>213.20000000000002</v>
      </c>
      <c r="BE54" s="13">
        <f>BD54*VLOOKUP('Données projet'!$B$11,Paramètres!$A$1:$I$89,3,0)*VLOOKUP('Données projet'!$B$11,Paramètres!$A$1:$I$89,5,0)</f>
        <v>192.90336000000002</v>
      </c>
      <c r="BF54" s="13">
        <f t="shared" si="37"/>
        <v>48.181276881765257</v>
      </c>
      <c r="BG54" s="20">
        <f t="shared" si="7"/>
        <v>419.88907590240791</v>
      </c>
      <c r="BH54" s="59">
        <f t="shared" si="8"/>
        <v>713.22240923574122</v>
      </c>
      <c r="BI54" s="59">
        <f ca="1">AVERAGE(OFFSET($BH$3,0,0,'Données projet'!$E$11+1,1))-AVERAGE(OFFSET($H$3,0,0,'Données projet'!$E$11+1,1))</f>
        <v>405.7176439604217</v>
      </c>
      <c r="BJ54" s="59">
        <f t="shared" si="38"/>
        <v>278.21741231699929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4.8217751984845787</v>
      </c>
      <c r="BQ54" s="21">
        <f>EXP(-LN(2)/25)*BQ53+(1-EXP(-LN(2)/25))/(LN(2)/25)*Calculateur!BL54*Calculateur!BN54*VLOOKUP('Données projet'!$B$11,Paramètres!$A$1:$I$89,3,0)*0.475*44/12</f>
        <v>5.2315663726597732</v>
      </c>
      <c r="BR54" s="21">
        <f>EXP(-LN(2)/2)*BR53+(1-EXP(-LN(2)/2))/(LN(2)/2)*BL54*BO54*VLOOKUP('Données projet'!$B$11,Paramètres!$A$1:$I$89,3,0)*0.475*44/12</f>
        <v>5.8935917970826483E-3</v>
      </c>
      <c r="BS54" s="22">
        <f t="shared" si="9"/>
        <v>10.059235162941434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</v>
      </c>
      <c r="CT54" s="12">
        <f>IF('Données projet'!$A$140&gt;35,CT53+CS54-DB53,IF(A54&lt;'Données projet'!$A$140,$CQ$205^A54,IF(A54='Données projet'!$A$140,'Données projet'!$B$140,CT53+CS54-DB53)))</f>
        <v>207.99999999999989</v>
      </c>
      <c r="CU54" s="17">
        <f>CT54*VLOOKUP('Données projet'!$B$13,Paramètres!$A$1:$I$89,3,0)*VLOOKUP('Données projet'!$B$13,Paramètres!$A$1:$I$89,5,0)</f>
        <v>165.48479999999992</v>
      </c>
      <c r="CV54" s="13">
        <f t="shared" si="41"/>
        <v>42.077190125964002</v>
      </c>
      <c r="CW54" s="20">
        <f t="shared" si="13"/>
        <v>361.5037994693871</v>
      </c>
      <c r="CX54" s="59">
        <f t="shared" si="14"/>
        <v>654.83713280272036</v>
      </c>
      <c r="CY54" s="59">
        <f ca="1">AVERAGE(OFFSET($CX$3,0,0,'Données projet'!$E$13+1,1))-AVERAGE(OFFSET($H$3,0,0,'Données projet'!$E$13+1,1))</f>
        <v>299.10536994156814</v>
      </c>
      <c r="CZ54" s="59">
        <f t="shared" si="42"/>
        <v>292.57799203101769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5.5559725646764653</v>
      </c>
      <c r="DG54" s="21">
        <f>EXP(-LN(2)/25)*DG53+(1-EXP(-LN(2)/25))/(LN(2)/25)*Calculateur!DB54*Calculateur!DD54*VLOOKUP('Données projet'!$B$13,Paramètres!$A$1:$I$89,3,0)*0.475*44/12</f>
        <v>6.0404746077795588</v>
      </c>
      <c r="DH54" s="21">
        <f>EXP(-LN(2)/2)*DH53+(1-EXP(-LN(2)/2))/(LN(2)/2)*DB54*DE54*VLOOKUP('Données projet'!$B$13,Paramètres!$A$1:$I$89,3,0)*0.475*44/12</f>
        <v>6.195918603158373E-3</v>
      </c>
      <c r="DI54" s="22">
        <f t="shared" si="15"/>
        <v>11.602643091059182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6.8</v>
      </c>
      <c r="DO54" s="12">
        <f>IF('Données projet'!$A$166&gt;35,DO53+DN54-DW53,IF(A54&lt;'Données projet'!$A$166,$DL$205^A54,IF(A54='Données projet'!$A$166,'Données projet'!$B$166,DO53+DN54-DW53)))</f>
        <v>225.8</v>
      </c>
      <c r="DP54" s="17">
        <f>DO54*VLOOKUP('Données projet'!$B$14,Paramètres!$A$1:$I$89,3,0)*VLOOKUP('Données projet'!$B$14,Paramètres!$A$1:$I$89,5,0)</f>
        <v>147.94416000000001</v>
      </c>
      <c r="DQ54" s="13">
        <f t="shared" si="43"/>
        <v>38.111014021992816</v>
      </c>
      <c r="DR54" s="20">
        <f t="shared" si="16"/>
        <v>324.0460947549708</v>
      </c>
      <c r="DS54" s="59">
        <f t="shared" si="17"/>
        <v>617.37942808830417</v>
      </c>
      <c r="DT54" s="59">
        <f ca="1">AVERAGE(OFFSET($DS$3,0,0,'Données projet'!$E$14+1,1))-AVERAGE(OFFSET($H$3,0,0,'Données projet'!$E$14+1,1))</f>
        <v>295.92103934364718</v>
      </c>
      <c r="DU54" s="59">
        <f t="shared" si="44"/>
        <v>304.84379909635476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2.942735185455815</v>
      </c>
      <c r="EB54" s="21">
        <f>EXP(-LN(2)/25)*EB53+(1-EXP(-LN(2)/25))/(LN(2)/25)*Calculateur!DW54*Calculateur!DY54*VLOOKUP('Données projet'!$B$14,Paramètres!$A$1:$I$89,3,0)*0.475*44/12</f>
        <v>3.995503259232752</v>
      </c>
      <c r="EC54" s="21">
        <f>EXP(-LN(2)/2)*EC53+(1-EXP(-LN(2)/2))/(LN(2)/2)*DW54*DZ54*VLOOKUP('Données projet'!$B$14,Paramètres!$A$1:$I$89,3,0)*0.475*44/12</f>
        <v>3.9738258279143285E-3</v>
      </c>
      <c r="ED54" s="22">
        <f t="shared" si="18"/>
        <v>6.9422122705164817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5.125</v>
      </c>
      <c r="EJ54" s="12">
        <f>IF('Données projet'!$A$192&gt;35,EJ53+EI54-ER53,IF(A54&lt;'Données projet'!$A$192,$EG$205^A54,IF(A54='Données projet'!$A$192,'Données projet'!$B$192,EJ53+EI54-ER53)))</f>
        <v>230.625</v>
      </c>
      <c r="EK54" s="17">
        <f>EJ54*VLOOKUP('Données projet'!$B$15,Paramètres!$A$1:$I$89,3,0)*VLOOKUP('Données projet'!$B$15,Paramètres!$A$1:$I$89,5,0)</f>
        <v>137.91375000000002</v>
      </c>
      <c r="EL54" s="13">
        <f t="shared" si="45"/>
        <v>35.818658097691937</v>
      </c>
      <c r="EM54" s="20">
        <f t="shared" si="19"/>
        <v>302.58394410348018</v>
      </c>
      <c r="EN54" s="59">
        <f t="shared" si="20"/>
        <v>595.91727743681349</v>
      </c>
      <c r="EO54" s="59">
        <f ca="1">AVERAGE(OFFSET($EN$3,0,0,'Données projet'!$E$15+1,1))-AVERAGE(OFFSET($H$3,0,0,'Données projet'!$E$15+1,1))</f>
        <v>207.2913533618397</v>
      </c>
      <c r="EP54" s="59">
        <f t="shared" si="46"/>
        <v>230.81096055024483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4.5671262060823414</v>
      </c>
      <c r="EW54" s="21">
        <f>EXP(-LN(2)/25)*EW53+(1-EXP(-LN(2)/25))/(LN(2)/25)*Calculateur!ER54*Calculateur!ET54*VLOOKUP('Données projet'!$B$15,Paramètres!$A$1:$I$89,3,0)*0.475*44/12</f>
        <v>3.3692752868505349</v>
      </c>
      <c r="EX54" s="21">
        <f>EXP(-LN(2)/2)*EX53+(1-EXP(-LN(2)/2))/(LN(2)/2)*ER54*EU54*VLOOKUP('Données projet'!$B$15,Paramètres!$A$1:$I$89,3,0)*0.475*44/12</f>
        <v>2.0367351764787964E-3</v>
      </c>
      <c r="EY54" s="22">
        <f t="shared" si="21"/>
        <v>7.938438228109356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</v>
      </c>
      <c r="N55" s="13">
        <f>IF('Données projet'!$A$36&gt;35,N54+M55-V54,IF(A55&lt;'Données projet'!$A$36,$K$205^A55,IF(A55='Données projet'!$A$36,'Données projet'!$B$36,N54+M55-V54)))</f>
        <v>240.49999999999989</v>
      </c>
      <c r="O55" s="13">
        <f>N55*VLOOKUP('Données projet'!$B$9,Paramètres!$A$1:$I$89,3,0)*VLOOKUP('Données projet'!$B$9,Paramètres!$A$1:$I$89,5,0)</f>
        <v>112.55399999999995</v>
      </c>
      <c r="P55" s="13">
        <f t="shared" si="33"/>
        <v>29.931920700323165</v>
      </c>
      <c r="Q55" s="20">
        <f t="shared" si="53"/>
        <v>248.16297855306274</v>
      </c>
      <c r="R55" s="59">
        <f t="shared" si="0"/>
        <v>541.49631188639603</v>
      </c>
      <c r="S55" s="59">
        <f ca="1">AVERAGE(OFFSET($R$3,0,0,'Données projet'!$E$9+1,1))-AVERAGE(OFFSET($H$3,0,0,'Données projet'!$E$9+1,1))</f>
        <v>319.22903094674564</v>
      </c>
      <c r="T55" s="59">
        <f t="shared" si="34"/>
        <v>254.58690973142848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5.8706154105595783</v>
      </c>
      <c r="AA55" s="21">
        <f>EXP(-LN(2)/25)*AA54+(1-EXP(-LN(2)/25))/(LN(2)/25)*Calculateur!V55*Calculateur!X55*VLOOKUP('Données projet'!$B$9,Paramètres!$A$1:$I$89,3,0)*0.475*44/12</f>
        <v>6.0592642213342955</v>
      </c>
      <c r="AB55" s="21">
        <f>EXP(-LN(2)/2)*AB54+(1-EXP(-LN(2)/2))/(LN(2)/2)*V55*Y55*VLOOKUP('Données projet'!$B$9,Paramètres!$A$1:$I$89,3,0)*0.475*44/12</f>
        <v>5.3921526580070159E-3</v>
      </c>
      <c r="AC55" s="22">
        <f t="shared" si="3"/>
        <v>11.935271784551881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15.4</v>
      </c>
      <c r="AI55" s="13">
        <f>IF('Données projet'!$A$62&gt;35,AI54+AH55-AQ54,IF(A55&lt;'Données projet'!$A$62,$AF$205^A55,IF(A55='Données projet'!$A$62,'Données projet'!$B$62,AI54+AH55-AQ54)))</f>
        <v>692.7999999999995</v>
      </c>
      <c r="AJ55" s="13">
        <f>AI55*VLOOKUP('Données projet'!$B$10,Paramètres!$A$1:$I$89,3,0)*VLOOKUP('Données projet'!$B$10,Paramètres!$A$1:$I$89,5,0)</f>
        <v>387.2751999999997</v>
      </c>
      <c r="AK55" s="13">
        <f t="shared" si="35"/>
        <v>89.192073473767834</v>
      </c>
      <c r="AL55" s="20">
        <f t="shared" si="4"/>
        <v>829.84716796681175</v>
      </c>
      <c r="AM55" s="59">
        <f t="shared" si="5"/>
        <v>1123.1805013001451</v>
      </c>
      <c r="AN55" s="59">
        <f ca="1">AVERAGE(OFFSET($AM$3,0,0,'Données projet'!$E$10+1,1))-AVERAGE(OFFSET($H$3,0,0,'Données projet'!$E$10+1,1))</f>
        <v>544.48194192356823</v>
      </c>
      <c r="AO55" s="59">
        <f t="shared" si="36"/>
        <v>668.20427590250733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4.7485006796979556</v>
      </c>
      <c r="AV55" s="21">
        <f>EXP(-LN(2)/25)*AV54+(1-EXP(-LN(2)/25))/(LN(2)/25)*Calculateur!AQ55*Calculateur!AS55*VLOOKUP('Données projet'!$B$10,Paramètres!$A$1:$I$89,3,0)*0.475*44/12</f>
        <v>23.154094469545395</v>
      </c>
      <c r="AW55" s="21">
        <f>EXP(-LN(2)/2)*AW54+(1-EXP(-LN(2)/2))/(LN(2)/2)*AQ55*AT55*VLOOKUP('Données projet'!$B$10,Paramètres!$A$1:$I$89,3,0)*0.475*44/12</f>
        <v>7.0400184398133015E-3</v>
      </c>
      <c r="AX55" s="21">
        <f t="shared" si="6"/>
        <v>27.909635167683163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10.199999999999999</v>
      </c>
      <c r="BD55" s="12">
        <f>IF('Données projet'!$A$88&gt;35,BD54+BC55-BL54,IF(A55&lt;'Données projet'!$A$88,$BA$205^A55,IF(A55='Données projet'!$A$88,'Données projet'!$B$88,BD54+BC55-BL54)))</f>
        <v>223.4</v>
      </c>
      <c r="BE55" s="13">
        <f>BD55*VLOOKUP('Données projet'!$B$11,Paramètres!$A$1:$I$89,3,0)*VLOOKUP('Données projet'!$B$11,Paramètres!$A$1:$I$89,5,0)</f>
        <v>202.13232000000002</v>
      </c>
      <c r="BF55" s="13">
        <f t="shared" si="37"/>
        <v>50.212497488959627</v>
      </c>
      <c r="BG55" s="20">
        <f t="shared" si="7"/>
        <v>439.50055712660469</v>
      </c>
      <c r="BH55" s="59">
        <f t="shared" si="8"/>
        <v>732.83389045993795</v>
      </c>
      <c r="BI55" s="59">
        <f ca="1">AVERAGE(OFFSET($BH$3,0,0,'Données projet'!$E$11+1,1))-AVERAGE(OFFSET($H$3,0,0,'Données projet'!$E$11+1,1))</f>
        <v>405.7176439604217</v>
      </c>
      <c r="BJ55" s="59">
        <f t="shared" si="38"/>
        <v>278.21741231699929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4.7272231278347681</v>
      </c>
      <c r="BQ55" s="21">
        <f>EXP(-LN(2)/25)*BQ54+(1-EXP(-LN(2)/25))/(LN(2)/25)*Calculateur!BL55*Calculateur!BN55*VLOOKUP('Données projet'!$B$11,Paramètres!$A$1:$I$89,3,0)*0.475*44/12</f>
        <v>5.0885089150832732</v>
      </c>
      <c r="BR55" s="21">
        <f>EXP(-LN(2)/2)*BR54+(1-EXP(-LN(2)/2))/(LN(2)/2)*BL55*BO55*VLOOKUP('Données projet'!$B$11,Paramètres!$A$1:$I$89,3,0)*0.475*44/12</f>
        <v>4.1673987252625515E-3</v>
      </c>
      <c r="BS55" s="22">
        <f t="shared" si="9"/>
        <v>9.8198994416433045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</v>
      </c>
      <c r="CT55" s="12">
        <f>IF('Données projet'!$A$140&gt;35,CT54+CS55-DB54,IF(A55&lt;'Données projet'!$A$140,$CQ$205^A55,IF(A55='Données projet'!$A$140,'Données projet'!$B$140,CT54+CS55-DB54)))</f>
        <v>213.99999999999989</v>
      </c>
      <c r="CU55" s="17">
        <f>CT55*VLOOKUP('Données projet'!$B$13,Paramètres!$A$1:$I$89,3,0)*VLOOKUP('Données projet'!$B$13,Paramètres!$A$1:$I$89,5,0)</f>
        <v>170.25839999999991</v>
      </c>
      <c r="CV55" s="13">
        <f t="shared" si="41"/>
        <v>43.147891472685018</v>
      </c>
      <c r="CW55" s="20">
        <f t="shared" si="13"/>
        <v>371.68262431492622</v>
      </c>
      <c r="CX55" s="59">
        <f t="shared" si="14"/>
        <v>665.01595764825947</v>
      </c>
      <c r="CY55" s="59">
        <f ca="1">AVERAGE(OFFSET($CX$3,0,0,'Données projet'!$E$13+1,1))-AVERAGE(OFFSET($H$3,0,0,'Données projet'!$E$13+1,1))</f>
        <v>299.10536994156814</v>
      </c>
      <c r="CZ55" s="59">
        <f t="shared" si="42"/>
        <v>292.57799203101769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5.4470233314918071</v>
      </c>
      <c r="DG55" s="21">
        <f>EXP(-LN(2)/25)*DG54+(1-EXP(-LN(2)/25))/(LN(2)/25)*Calculateur!DB55*Calculateur!DD55*VLOOKUP('Données projet'!$B$13,Paramètres!$A$1:$I$89,3,0)*0.475*44/12</f>
        <v>5.8752975119750728</v>
      </c>
      <c r="DH55" s="21">
        <f>EXP(-LN(2)/2)*DH54+(1-EXP(-LN(2)/2))/(LN(2)/2)*DB55*DE55*VLOOKUP('Données projet'!$B$13,Paramètres!$A$1:$I$89,3,0)*0.475*44/12</f>
        <v>4.3811760599731667E-3</v>
      </c>
      <c r="DI55" s="22">
        <f t="shared" si="15"/>
        <v>11.326702019526852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6.8</v>
      </c>
      <c r="DO55" s="12">
        <f>IF('Données projet'!$A$166&gt;35,DO54+DN55-DW54,IF(A55&lt;'Données projet'!$A$166,$DL$205^A55,IF(A55='Données projet'!$A$166,'Données projet'!$B$166,DO54+DN55-DW54)))</f>
        <v>232.60000000000002</v>
      </c>
      <c r="DP55" s="17">
        <f>DO55*VLOOKUP('Données projet'!$B$14,Paramètres!$A$1:$I$89,3,0)*VLOOKUP('Données projet'!$B$14,Paramètres!$A$1:$I$89,5,0)</f>
        <v>152.39952000000002</v>
      </c>
      <c r="DQ55" s="13">
        <f t="shared" si="43"/>
        <v>39.123380466709264</v>
      </c>
      <c r="DR55" s="20">
        <f t="shared" si="16"/>
        <v>333.56905164618536</v>
      </c>
      <c r="DS55" s="59">
        <f t="shared" si="17"/>
        <v>626.90238497951873</v>
      </c>
      <c r="DT55" s="59">
        <f ca="1">AVERAGE(OFFSET($DS$3,0,0,'Données projet'!$E$14+1,1))-AVERAGE(OFFSET($H$3,0,0,'Données projet'!$E$14+1,1))</f>
        <v>295.92103934364718</v>
      </c>
      <c r="DU55" s="59">
        <f t="shared" si="44"/>
        <v>304.84379909635476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2.8850299433602586</v>
      </c>
      <c r="EB55" s="21">
        <f>EXP(-LN(2)/25)*EB54+(1-EXP(-LN(2)/25))/(LN(2)/25)*Calculateur!DW55*Calculateur!DY55*VLOOKUP('Données projet'!$B$14,Paramètres!$A$1:$I$89,3,0)*0.475*44/12</f>
        <v>3.8862460124946479</v>
      </c>
      <c r="EC55" s="21">
        <f>EXP(-LN(2)/2)*EC54+(1-EXP(-LN(2)/2))/(LN(2)/2)*DW55*DZ55*VLOOKUP('Données projet'!$B$14,Paramètres!$A$1:$I$89,3,0)*0.475*44/12</f>
        <v>2.8099191901724682E-3</v>
      </c>
      <c r="ED55" s="22">
        <f t="shared" si="18"/>
        <v>6.7740858750450785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5.125</v>
      </c>
      <c r="EJ55" s="12">
        <f>IF('Données projet'!$A$192&gt;35,EJ54+EI55-ER54,IF(A55&lt;'Données projet'!$A$192,$EG$205^A55,IF(A55='Données projet'!$A$192,'Données projet'!$B$192,EJ54+EI55-ER54)))</f>
        <v>235.75</v>
      </c>
      <c r="EK55" s="17">
        <f>EJ55*VLOOKUP('Données projet'!$B$15,Paramètres!$A$1:$I$89,3,0)*VLOOKUP('Données projet'!$B$15,Paramètres!$A$1:$I$89,5,0)</f>
        <v>140.97850000000003</v>
      </c>
      <c r="EL55" s="13">
        <f t="shared" si="45"/>
        <v>36.521075157496767</v>
      </c>
      <c r="EM55" s="20">
        <f t="shared" si="19"/>
        <v>309.14509339930686</v>
      </c>
      <c r="EN55" s="59">
        <f t="shared" si="20"/>
        <v>602.47842673264017</v>
      </c>
      <c r="EO55" s="59">
        <f ca="1">AVERAGE(OFFSET($EN$3,0,0,'Données projet'!$E$15+1,1))-AVERAGE(OFFSET($H$3,0,0,'Données projet'!$E$15+1,1))</f>
        <v>207.2913533618397</v>
      </c>
      <c r="EP55" s="59">
        <f t="shared" si="46"/>
        <v>230.81096055024483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4.4775676468529904</v>
      </c>
      <c r="EW55" s="21">
        <f>EXP(-LN(2)/25)*EW54+(1-EXP(-LN(2)/25))/(LN(2)/25)*Calculateur!ER55*Calculateur!ET55*VLOOKUP('Données projet'!$B$15,Paramètres!$A$1:$I$89,3,0)*0.475*44/12</f>
        <v>3.2771422769491201</v>
      </c>
      <c r="EX55" s="21">
        <f>EXP(-LN(2)/2)*EX54+(1-EXP(-LN(2)/2))/(LN(2)/2)*ER55*EU55*VLOOKUP('Données projet'!$B$15,Paramètres!$A$1:$I$89,3,0)*0.475*44/12</f>
        <v>1.4401892547693366E-3</v>
      </c>
      <c r="EY55" s="22">
        <f t="shared" si="21"/>
        <v>7.7561501130568802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</v>
      </c>
      <c r="N56" s="13">
        <f>IF('Données projet'!$A$36&gt;35,N55+M56-V55,IF(A56&lt;'Données projet'!$A$36,$K$205^A56,IF(A56='Données projet'!$A$36,'Données projet'!$B$36,N55+M56-V55)))</f>
        <v>253.99999999999989</v>
      </c>
      <c r="O56" s="13">
        <f>N56*VLOOKUP('Données projet'!$B$9,Paramètres!$A$1:$I$89,3,0)*VLOOKUP('Données projet'!$B$9,Paramètres!$A$1:$I$89,5,0)</f>
        <v>118.87199999999994</v>
      </c>
      <c r="P56" s="13">
        <f t="shared" si="33"/>
        <v>31.411767382096219</v>
      </c>
      <c r="Q56" s="20">
        <f t="shared" si="53"/>
        <v>261.74422819048414</v>
      </c>
      <c r="R56" s="59">
        <f t="shared" si="0"/>
        <v>555.07756152381739</v>
      </c>
      <c r="S56" s="59">
        <f ca="1">AVERAGE(OFFSET($R$3,0,0,'Données projet'!$E$9+1,1))-AVERAGE(OFFSET($H$3,0,0,'Données projet'!$E$9+1,1))</f>
        <v>319.22903094674564</v>
      </c>
      <c r="T56" s="59">
        <f t="shared" si="34"/>
        <v>254.58690973142848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5.7554962230803381</v>
      </c>
      <c r="AA56" s="21">
        <f>EXP(-LN(2)/25)*AA55+(1-EXP(-LN(2)/25))/(LN(2)/25)*Calculateur!V56*Calculateur!X56*VLOOKUP('Données projet'!$B$9,Paramètres!$A$1:$I$89,3,0)*0.475*44/12</f>
        <v>5.8935733225590523</v>
      </c>
      <c r="AB56" s="21">
        <f>EXP(-LN(2)/2)*AB55+(1-EXP(-LN(2)/2))/(LN(2)/2)*V56*Y56*VLOOKUP('Données projet'!$B$9,Paramètres!$A$1:$I$89,3,0)*0.475*44/12</f>
        <v>3.8128277096698281E-3</v>
      </c>
      <c r="AC56" s="22">
        <f t="shared" si="3"/>
        <v>11.65288237334906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15.4</v>
      </c>
      <c r="AI56" s="13">
        <f>IF('Données projet'!$A$62&gt;35,AI55+AH56-AQ55,IF(A56&lt;'Données projet'!$A$62,$AF$205^A56,IF(A56='Données projet'!$A$62,'Données projet'!$B$62,AI55+AH56-AQ55)))</f>
        <v>708.19999999999948</v>
      </c>
      <c r="AJ56" s="13">
        <f>AI56*VLOOKUP('Données projet'!$B$10,Paramètres!$A$1:$I$89,3,0)*VLOOKUP('Données projet'!$B$10,Paramètres!$A$1:$I$89,5,0)</f>
        <v>395.88379999999972</v>
      </c>
      <c r="AK56" s="13">
        <f t="shared" si="35"/>
        <v>90.941667130422957</v>
      </c>
      <c r="AL56" s="20">
        <f t="shared" si="4"/>
        <v>847.8876885854861</v>
      </c>
      <c r="AM56" s="59">
        <f t="shared" si="5"/>
        <v>1141.2210219188194</v>
      </c>
      <c r="AN56" s="59">
        <f ca="1">AVERAGE(OFFSET($AM$3,0,0,'Données projet'!$E$10+1,1))-AVERAGE(OFFSET($H$3,0,0,'Données projet'!$E$10+1,1))</f>
        <v>544.48194192356823</v>
      </c>
      <c r="AO56" s="59">
        <f t="shared" si="36"/>
        <v>668.20427590250733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4.6553854776685073</v>
      </c>
      <c r="AV56" s="21">
        <f>EXP(-LN(2)/25)*AV55+(1-EXP(-LN(2)/25))/(LN(2)/25)*Calculateur!AQ56*Calculateur!AS56*VLOOKUP('Données projet'!$B$10,Paramètres!$A$1:$I$89,3,0)*0.475*44/12</f>
        <v>22.520944538654767</v>
      </c>
      <c r="AW56" s="21">
        <f>EXP(-LN(2)/2)*AW55+(1-EXP(-LN(2)/2))/(LN(2)/2)*AQ56*AT56*VLOOKUP('Données projet'!$B$10,Paramètres!$A$1:$I$89,3,0)*0.475*44/12</f>
        <v>4.9780447784703238E-3</v>
      </c>
      <c r="AX56" s="21">
        <f t="shared" si="6"/>
        <v>27.181308061101745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10.199999999999999</v>
      </c>
      <c r="BD56" s="12">
        <f>IF('Données projet'!$A$88&gt;35,BD55+BC56-BL55,IF(A56&lt;'Données projet'!$A$88,$BA$205^A56,IF(A56='Données projet'!$A$88,'Données projet'!$B$88,BD55+BC56-BL55)))</f>
        <v>233.6</v>
      </c>
      <c r="BE56" s="13">
        <f>BD56*VLOOKUP('Données projet'!$B$11,Paramètres!$A$1:$I$89,3,0)*VLOOKUP('Données projet'!$B$11,Paramètres!$A$1:$I$89,5,0)</f>
        <v>211.36127999999999</v>
      </c>
      <c r="BF56" s="13">
        <f t="shared" si="37"/>
        <v>52.232947669705631</v>
      </c>
      <c r="BG56" s="20">
        <f t="shared" si="7"/>
        <v>459.09327985807062</v>
      </c>
      <c r="BH56" s="59">
        <f t="shared" si="8"/>
        <v>752.42661319140393</v>
      </c>
      <c r="BI56" s="59">
        <f ca="1">AVERAGE(OFFSET($BH$3,0,0,'Données projet'!$E$11+1,1))-AVERAGE(OFFSET($H$3,0,0,'Données projet'!$E$11+1,1))</f>
        <v>405.7176439604217</v>
      </c>
      <c r="BJ56" s="59">
        <f t="shared" si="38"/>
        <v>278.21741231699929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4.6345251656193316</v>
      </c>
      <c r="BQ56" s="21">
        <f>EXP(-LN(2)/25)*BQ55+(1-EXP(-LN(2)/25))/(LN(2)/25)*Calculateur!BL56*Calculateur!BN56*VLOOKUP('Données projet'!$B$11,Paramètres!$A$1:$I$89,3,0)*0.475*44/12</f>
        <v>4.9493633712072675</v>
      </c>
      <c r="BR56" s="21">
        <f>EXP(-LN(2)/2)*BR55+(1-EXP(-LN(2)/2))/(LN(2)/2)*BL56*BO56*VLOOKUP('Données projet'!$B$11,Paramètres!$A$1:$I$89,3,0)*0.475*44/12</f>
        <v>2.9467958985413241E-3</v>
      </c>
      <c r="BS56" s="22">
        <f t="shared" si="9"/>
        <v>9.5868353327251405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</v>
      </c>
      <c r="CT56" s="12">
        <f>IF('Données projet'!$A$140&gt;35,CT55+CS56-DB55,IF(A56&lt;'Données projet'!$A$140,$CQ$205^A56,IF(A56='Données projet'!$A$140,'Données projet'!$B$140,CT55+CS56-DB55)))</f>
        <v>219.99999999999989</v>
      </c>
      <c r="CU56" s="17">
        <f>CT56*VLOOKUP('Données projet'!$B$13,Paramètres!$A$1:$I$89,3,0)*VLOOKUP('Données projet'!$B$13,Paramètres!$A$1:$I$89,5,0)</f>
        <v>175.03199999999993</v>
      </c>
      <c r="CV56" s="13">
        <f t="shared" si="41"/>
        <v>44.215103743191008</v>
      </c>
      <c r="CW56" s="20">
        <f t="shared" si="13"/>
        <v>381.85537235272426</v>
      </c>
      <c r="CX56" s="59">
        <f t="shared" si="14"/>
        <v>675.18870568605757</v>
      </c>
      <c r="CY56" s="59">
        <f ca="1">AVERAGE(OFFSET($CX$3,0,0,'Données projet'!$E$13+1,1))-AVERAGE(OFFSET($H$3,0,0,'Données projet'!$E$13+1,1))</f>
        <v>299.10536994156814</v>
      </c>
      <c r="CZ56" s="59">
        <f t="shared" si="42"/>
        <v>292.57799203101769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5.3402105263174295</v>
      </c>
      <c r="DG56" s="21">
        <f>EXP(-LN(2)/25)*DG55+(1-EXP(-LN(2)/25))/(LN(2)/25)*Calculateur!DB56*Calculateur!DD56*VLOOKUP('Données projet'!$B$13,Paramètres!$A$1:$I$89,3,0)*0.475*44/12</f>
        <v>5.7146371925416464</v>
      </c>
      <c r="DH56" s="21">
        <f>EXP(-LN(2)/2)*DH55+(1-EXP(-LN(2)/2))/(LN(2)/2)*DB56*DE56*VLOOKUP('Données projet'!$B$13,Paramètres!$A$1:$I$89,3,0)*0.475*44/12</f>
        <v>3.0979593015791865E-3</v>
      </c>
      <c r="DI56" s="22">
        <f t="shared" si="15"/>
        <v>11.057945678160655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6.8</v>
      </c>
      <c r="DO56" s="12">
        <f>IF('Données projet'!$A$166&gt;35,DO55+DN56-DW55,IF(A56&lt;'Données projet'!$A$166,$DL$205^A56,IF(A56='Données projet'!$A$166,'Données projet'!$B$166,DO55+DN56-DW55)))</f>
        <v>239.40000000000003</v>
      </c>
      <c r="DP56" s="17">
        <f>DO56*VLOOKUP('Données projet'!$B$14,Paramètres!$A$1:$I$89,3,0)*VLOOKUP('Données projet'!$B$14,Paramètres!$A$1:$I$89,5,0)</f>
        <v>156.85488000000004</v>
      </c>
      <c r="DQ56" s="13">
        <f t="shared" si="43"/>
        <v>40.132307243083858</v>
      </c>
      <c r="DR56" s="20">
        <f t="shared" si="16"/>
        <v>343.08601778170441</v>
      </c>
      <c r="DS56" s="59">
        <f t="shared" si="17"/>
        <v>636.41935111503767</v>
      </c>
      <c r="DT56" s="59">
        <f ca="1">AVERAGE(OFFSET($DS$3,0,0,'Données projet'!$E$14+1,1))-AVERAGE(OFFSET($H$3,0,0,'Données projet'!$E$14+1,1))</f>
        <v>295.92103934364718</v>
      </c>
      <c r="DU56" s="59">
        <f t="shared" si="44"/>
        <v>304.84379909635476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2.8284562658654742</v>
      </c>
      <c r="EB56" s="21">
        <f>EXP(-LN(2)/25)*EB55+(1-EXP(-LN(2)/25))/(LN(2)/25)*Calculateur!DW56*Calculateur!DY56*VLOOKUP('Données projet'!$B$14,Paramètres!$A$1:$I$89,3,0)*0.475*44/12</f>
        <v>3.7799764109141862</v>
      </c>
      <c r="EC56" s="21">
        <f>EXP(-LN(2)/2)*EC55+(1-EXP(-LN(2)/2))/(LN(2)/2)*DW56*DZ56*VLOOKUP('Données projet'!$B$14,Paramètres!$A$1:$I$89,3,0)*0.475*44/12</f>
        <v>1.9869129139571643E-3</v>
      </c>
      <c r="ED56" s="22">
        <f t="shared" si="18"/>
        <v>6.6104195896936178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5.125</v>
      </c>
      <c r="EJ56" s="12">
        <f>IF('Données projet'!$A$192&gt;35,EJ55+EI56-ER55,IF(A56&lt;'Données projet'!$A$192,$EG$205^A56,IF(A56='Données projet'!$A$192,'Données projet'!$B$192,EJ55+EI56-ER55)))</f>
        <v>240.875</v>
      </c>
      <c r="EK56" s="17">
        <f>EJ56*VLOOKUP('Données projet'!$B$15,Paramètres!$A$1:$I$89,3,0)*VLOOKUP('Données projet'!$B$15,Paramètres!$A$1:$I$89,5,0)</f>
        <v>144.04325000000003</v>
      </c>
      <c r="EL56" s="13">
        <f t="shared" si="45"/>
        <v>37.221716895868184</v>
      </c>
      <c r="EM56" s="20">
        <f t="shared" si="19"/>
        <v>315.70315067697044</v>
      </c>
      <c r="EN56" s="59">
        <f t="shared" si="20"/>
        <v>609.03648401030375</v>
      </c>
      <c r="EO56" s="59">
        <f ca="1">AVERAGE(OFFSET($EN$3,0,0,'Données projet'!$E$15+1,1))-AVERAGE(OFFSET($H$3,0,0,'Données projet'!$E$15+1,1))</f>
        <v>207.2913533618397</v>
      </c>
      <c r="EP56" s="59">
        <f t="shared" si="46"/>
        <v>230.81096055024483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4.3897652763447992</v>
      </c>
      <c r="EW56" s="21">
        <f>EXP(-LN(2)/25)*EW55+(1-EXP(-LN(2)/25))/(LN(2)/25)*Calculateur!ER56*Calculateur!ET56*VLOOKUP('Données projet'!$B$15,Paramètres!$A$1:$I$89,3,0)*0.475*44/12</f>
        <v>3.1875286490485242</v>
      </c>
      <c r="EX56" s="21">
        <f>EXP(-LN(2)/2)*EX55+(1-EXP(-LN(2)/2))/(LN(2)/2)*ER56*EU56*VLOOKUP('Données projet'!$B$15,Paramètres!$A$1:$I$89,3,0)*0.475*44/12</f>
        <v>1.0183675882393982E-3</v>
      </c>
      <c r="EY56" s="22">
        <f t="shared" si="21"/>
        <v>7.5783122929815629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</v>
      </c>
      <c r="N57" s="13">
        <f>IF('Données projet'!$A$36&gt;35,N56+M57-V56,IF(A57&lt;'Données projet'!$A$36,$K$205^A57,IF(A57='Données projet'!$A$36,'Données projet'!$B$36,N56+M57-V56)))</f>
        <v>267.49999999999989</v>
      </c>
      <c r="O57" s="13">
        <f>N57*VLOOKUP('Données projet'!$B$9,Paramètres!$A$1:$I$89,3,0)*VLOOKUP('Données projet'!$B$9,Paramètres!$A$1:$I$89,5,0)</f>
        <v>125.18999999999994</v>
      </c>
      <c r="P57" s="13">
        <f t="shared" si="33"/>
        <v>32.882482546564304</v>
      </c>
      <c r="Q57" s="20">
        <f t="shared" si="53"/>
        <v>275.30957376859936</v>
      </c>
      <c r="R57" s="59">
        <f t="shared" si="0"/>
        <v>568.64290710193268</v>
      </c>
      <c r="S57" s="59">
        <f ca="1">AVERAGE(OFFSET($R$3,0,0,'Données projet'!$E$9+1,1))-AVERAGE(OFFSET($H$3,0,0,'Données projet'!$E$9+1,1))</f>
        <v>319.22903094674564</v>
      </c>
      <c r="T57" s="59">
        <f t="shared" si="34"/>
        <v>254.58690973142848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5.6426344526517953</v>
      </c>
      <c r="AA57" s="21">
        <f>EXP(-LN(2)/25)*AA56+(1-EXP(-LN(2)/25))/(LN(2)/25)*Calculateur!V57*Calculateur!X57*VLOOKUP('Données projet'!$B$9,Paramètres!$A$1:$I$89,3,0)*0.475*44/12</f>
        <v>5.7324132501241243</v>
      </c>
      <c r="AB57" s="21">
        <f>EXP(-LN(2)/2)*AB56+(1-EXP(-LN(2)/2))/(LN(2)/2)*V57*Y57*VLOOKUP('Données projet'!$B$9,Paramètres!$A$1:$I$89,3,0)*0.475*44/12</f>
        <v>2.6960763290035084E-3</v>
      </c>
      <c r="AC57" s="22">
        <f t="shared" si="3"/>
        <v>11.377743779104923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15.4</v>
      </c>
      <c r="AI57" s="13">
        <f>IF('Données projet'!$A$62&gt;35,AI56+AH57-AQ56,IF(A57&lt;'Données projet'!$A$62,$AF$205^A57,IF(A57='Données projet'!$A$62,'Données projet'!$B$62,AI56+AH57-AQ56)))</f>
        <v>723.59999999999945</v>
      </c>
      <c r="AJ57" s="13">
        <f>AI57*VLOOKUP('Données projet'!$B$10,Paramètres!$A$1:$I$89,3,0)*VLOOKUP('Données projet'!$B$10,Paramètres!$A$1:$I$89,5,0)</f>
        <v>404.49239999999969</v>
      </c>
      <c r="AK57" s="13">
        <f t="shared" si="35"/>
        <v>92.686837535548761</v>
      </c>
      <c r="AL57" s="20">
        <f t="shared" si="4"/>
        <v>865.92050537441344</v>
      </c>
      <c r="AM57" s="59">
        <f t="shared" si="5"/>
        <v>1159.2538387077468</v>
      </c>
      <c r="AN57" s="59">
        <f ca="1">AVERAGE(OFFSET($AM$3,0,0,'Données projet'!$E$10+1,1))-AVERAGE(OFFSET($H$3,0,0,'Données projet'!$E$10+1,1))</f>
        <v>544.48194192356823</v>
      </c>
      <c r="AO57" s="59">
        <f t="shared" si="36"/>
        <v>668.20427590250733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4.5640962079561911</v>
      </c>
      <c r="AV57" s="21">
        <f>EXP(-LN(2)/25)*AV56+(1-EXP(-LN(2)/25))/(LN(2)/25)*Calculateur!AQ57*Calculateur!AS57*VLOOKUP('Données projet'!$B$10,Paramètres!$A$1:$I$89,3,0)*0.475*44/12</f>
        <v>21.90510812592025</v>
      </c>
      <c r="AW57" s="21">
        <f>EXP(-LN(2)/2)*AW56+(1-EXP(-LN(2)/2))/(LN(2)/2)*AQ57*AT57*VLOOKUP('Données projet'!$B$10,Paramètres!$A$1:$I$89,3,0)*0.475*44/12</f>
        <v>3.5200092199066508E-3</v>
      </c>
      <c r="AX57" s="21">
        <f t="shared" si="6"/>
        <v>26.472724343096349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10.199999999999999</v>
      </c>
      <c r="BD57" s="12">
        <f>IF('Données projet'!$A$88&gt;35,BD56+BC57-BL56,IF(A57&lt;'Données projet'!$A$88,$BA$205^A57,IF(A57='Données projet'!$A$88,'Données projet'!$B$88,BD56+BC57-BL56)))</f>
        <v>243.79999999999998</v>
      </c>
      <c r="BE57" s="13">
        <f>BD57*VLOOKUP('Données projet'!$B$11,Paramètres!$A$1:$I$89,3,0)*VLOOKUP('Données projet'!$B$11,Paramètres!$A$1:$I$89,5,0)</f>
        <v>220.59023999999997</v>
      </c>
      <c r="BF57" s="13">
        <f t="shared" si="37"/>
        <v>54.24315145708789</v>
      </c>
      <c r="BG57" s="20">
        <f t="shared" si="7"/>
        <v>478.66815678776129</v>
      </c>
      <c r="BH57" s="59">
        <f t="shared" si="8"/>
        <v>772.00149012109455</v>
      </c>
      <c r="BI57" s="59">
        <f ca="1">AVERAGE(OFFSET($BH$3,0,0,'Données projet'!$E$11+1,1))-AVERAGE(OFFSET($H$3,0,0,'Données projet'!$E$11+1,1))</f>
        <v>405.7176439604217</v>
      </c>
      <c r="BJ57" s="59">
        <f t="shared" si="38"/>
        <v>278.21741231699929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4.5436449539027661</v>
      </c>
      <c r="BQ57" s="21">
        <f>EXP(-LN(2)/25)*BQ56+(1-EXP(-LN(2)/25))/(LN(2)/25)*Calculateur!BL57*Calculateur!BN57*VLOOKUP('Données projet'!$B$11,Paramètres!$A$1:$I$89,3,0)*0.475*44/12</f>
        <v>4.8140227695458968</v>
      </c>
      <c r="BR57" s="21">
        <f>EXP(-LN(2)/2)*BR56+(1-EXP(-LN(2)/2))/(LN(2)/2)*BL57*BO57*VLOOKUP('Données projet'!$B$11,Paramètres!$A$1:$I$89,3,0)*0.475*44/12</f>
        <v>2.0836993626312758E-3</v>
      </c>
      <c r="BS57" s="22">
        <f t="shared" si="9"/>
        <v>9.3597514228112946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</v>
      </c>
      <c r="CT57" s="12">
        <f>IF('Données projet'!$A$140&gt;35,CT56+CS57-DB56,IF(A57&lt;'Données projet'!$A$140,$CQ$205^A57,IF(A57='Données projet'!$A$140,'Données projet'!$B$140,CT56+CS57-DB56)))</f>
        <v>225.99999999999989</v>
      </c>
      <c r="CU57" s="17">
        <f>CT57*VLOOKUP('Données projet'!$B$13,Paramètres!$A$1:$I$89,3,0)*VLOOKUP('Données projet'!$B$13,Paramètres!$A$1:$I$89,5,0)</f>
        <v>179.80559999999991</v>
      </c>
      <c r="CV57" s="13">
        <f t="shared" si="41"/>
        <v>45.278933028529984</v>
      </c>
      <c r="CW57" s="20">
        <f t="shared" si="13"/>
        <v>392.02222835802286</v>
      </c>
      <c r="CX57" s="59">
        <f t="shared" si="14"/>
        <v>685.35556169135612</v>
      </c>
      <c r="CY57" s="59">
        <f ca="1">AVERAGE(OFFSET($CX$3,0,0,'Données projet'!$E$13+1,1))-AVERAGE(OFFSET($H$3,0,0,'Données projet'!$E$13+1,1))</f>
        <v>299.10536994156814</v>
      </c>
      <c r="CZ57" s="59">
        <f t="shared" si="42"/>
        <v>292.57799203101769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5.2354922551031438</v>
      </c>
      <c r="DG57" s="21">
        <f>EXP(-LN(2)/25)*DG56+(1-EXP(-LN(2)/25))/(LN(2)/25)*Calculateur!DB57*Calculateur!DD57*VLOOKUP('Données projet'!$B$13,Paramètres!$A$1:$I$89,3,0)*0.475*44/12</f>
        <v>5.5583701379918864</v>
      </c>
      <c r="DH57" s="21">
        <f>EXP(-LN(2)/2)*DH56+(1-EXP(-LN(2)/2))/(LN(2)/2)*DB57*DE57*VLOOKUP('Données projet'!$B$13,Paramètres!$A$1:$I$89,3,0)*0.475*44/12</f>
        <v>2.1905880299865834E-3</v>
      </c>
      <c r="DI57" s="22">
        <f t="shared" si="15"/>
        <v>10.796052981125015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6.8</v>
      </c>
      <c r="DO57" s="12">
        <f>IF('Données projet'!$A$166&gt;35,DO56+DN57-DW56,IF(A57&lt;'Données projet'!$A$166,$DL$205^A57,IF(A57='Données projet'!$A$166,'Données projet'!$B$166,DO56+DN57-DW56)))</f>
        <v>246.20000000000005</v>
      </c>
      <c r="DP57" s="17">
        <f>DO57*VLOOKUP('Données projet'!$B$14,Paramètres!$A$1:$I$89,3,0)*VLOOKUP('Données projet'!$B$14,Paramètres!$A$1:$I$89,5,0)</f>
        <v>161.31024000000002</v>
      </c>
      <c r="DQ57" s="13">
        <f t="shared" si="43"/>
        <v>41.137903274661106</v>
      </c>
      <c r="DR57" s="20">
        <f t="shared" si="16"/>
        <v>352.59718287003483</v>
      </c>
      <c r="DS57" s="59">
        <f t="shared" si="17"/>
        <v>645.93051620336814</v>
      </c>
      <c r="DT57" s="59">
        <f ca="1">AVERAGE(OFFSET($DS$3,0,0,'Données projet'!$E$14+1,1))-AVERAGE(OFFSET($H$3,0,0,'Données projet'!$E$14+1,1))</f>
        <v>295.92103934364718</v>
      </c>
      <c r="DU57" s="59">
        <f t="shared" si="44"/>
        <v>304.84379909635476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2.7729919636798264</v>
      </c>
      <c r="EB57" s="21">
        <f>EXP(-LN(2)/25)*EB56+(1-EXP(-LN(2)/25))/(LN(2)/25)*Calculateur!DW57*Calculateur!DY57*VLOOKUP('Données projet'!$B$14,Paramètres!$A$1:$I$89,3,0)*0.475*44/12</f>
        <v>3.6766127571774176</v>
      </c>
      <c r="EC57" s="21">
        <f>EXP(-LN(2)/2)*EC56+(1-EXP(-LN(2)/2))/(LN(2)/2)*DW57*DZ57*VLOOKUP('Données projet'!$B$14,Paramètres!$A$1:$I$89,3,0)*0.475*44/12</f>
        <v>1.4049595950862341E-3</v>
      </c>
      <c r="ED57" s="22">
        <f t="shared" si="18"/>
        <v>6.45100968045233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246</v>
      </c>
      <c r="EH57" s="12">
        <f>VLOOKUP(A57,'Données projet'!$A$191:$I$211,9,0)</f>
        <v>5.125</v>
      </c>
      <c r="EI57" s="12">
        <f t="array" ref="EI57">INDEX(EH:EH,MIN(IF(ISNUMBER(EH57:EH253),ROW(EH57:EH253),"")))</f>
        <v>5.125</v>
      </c>
      <c r="EJ57" s="12">
        <f>IF('Données projet'!$A$192&gt;35,EJ56+EI57-ER56,IF(A57&lt;'Données projet'!$A$192,$EG$205^A57,IF(A57='Données projet'!$A$192,'Données projet'!$B$192,EJ56+EI57-ER56)))</f>
        <v>246</v>
      </c>
      <c r="EK57" s="17">
        <f>EJ57*VLOOKUP('Données projet'!$B$15,Paramètres!$A$1:$I$89,3,0)*VLOOKUP('Données projet'!$B$15,Paramètres!$A$1:$I$89,5,0)</f>
        <v>147.10800000000003</v>
      </c>
      <c r="EL57" s="13">
        <f t="shared" si="45"/>
        <v>37.920625436598897</v>
      </c>
      <c r="EM57" s="20">
        <f t="shared" si="19"/>
        <v>322.25818930207646</v>
      </c>
      <c r="EN57" s="59">
        <f t="shared" si="20"/>
        <v>615.59152263540977</v>
      </c>
      <c r="EO57" s="59">
        <f ca="1">AVERAGE(OFFSET($EN$3,0,0,'Données projet'!$E$15+1,1))-AVERAGE(OFFSET($H$3,0,0,'Données projet'!$E$15+1,1))</f>
        <v>207.2913533618397</v>
      </c>
      <c r="EP57" s="59">
        <f t="shared" si="46"/>
        <v>230.81096055024483</v>
      </c>
      <c r="EQ57" s="15">
        <f>IF(ISNA(VLOOKUP(A57,'Données projet'!$A$191:$I$211,3,0)),0,VLOOKUP(A57,'Données projet'!$A$191:$I$211,3,0))</f>
        <v>8</v>
      </c>
      <c r="ER57" s="15">
        <f>IF(ISNA(VLOOKUP(A57,'Données projet'!$A$191:$I$211,4,0)),0,VLOOKUP(A57,'Données projet'!$A$191:$I$211,4,0))</f>
        <v>22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4.303684656768116</v>
      </c>
      <c r="EW57" s="21">
        <f>EXP(-LN(2)/25)*EW56+(1-EXP(-LN(2)/25))/(LN(2)/25)*Calculateur!ER57*Calculateur!ET57*VLOOKUP('Données projet'!$B$15,Paramètres!$A$1:$I$89,3,0)*0.475*44/12</f>
        <v>3.100365510515446</v>
      </c>
      <c r="EX57" s="21">
        <f>EXP(-LN(2)/2)*EX56+(1-EXP(-LN(2)/2))/(LN(2)/2)*ER57*EU57*VLOOKUP('Données projet'!$B$15,Paramètres!$A$1:$I$89,3,0)*0.475*44/12</f>
        <v>7.2009462738466831E-4</v>
      </c>
      <c r="EY57" s="22">
        <f t="shared" si="21"/>
        <v>7.4047702619109463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</v>
      </c>
      <c r="N58" s="13">
        <f>IF('Données projet'!$A$36&gt;35,N57+M58-V57,IF(A58&lt;'Données projet'!$A$36,$K$205^A58,IF(A58='Données projet'!$A$36,'Données projet'!$B$36,N57+M58-V57)))</f>
        <v>280.99999999999989</v>
      </c>
      <c r="O58" s="13">
        <f>N58*VLOOKUP('Données projet'!$B$9,Paramètres!$A$1:$I$89,3,0)*VLOOKUP('Données projet'!$B$9,Paramètres!$A$1:$I$89,5,0)</f>
        <v>131.50799999999995</v>
      </c>
      <c r="P58" s="13">
        <f t="shared" si="33"/>
        <v>34.344579617082481</v>
      </c>
      <c r="Q58" s="20">
        <f t="shared" si="53"/>
        <v>288.85990949975189</v>
      </c>
      <c r="R58" s="59">
        <f t="shared" si="0"/>
        <v>582.19324283308515</v>
      </c>
      <c r="S58" s="59">
        <f ca="1">AVERAGE(OFFSET($R$3,0,0,'Données projet'!$E$9+1,1))-AVERAGE(OFFSET($H$3,0,0,'Données projet'!$E$9+1,1))</f>
        <v>319.22903094674564</v>
      </c>
      <c r="T58" s="59">
        <f t="shared" si="34"/>
        <v>254.58690973142848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5.5319858327024729</v>
      </c>
      <c r="AA58" s="21">
        <f>EXP(-LN(2)/25)*AA57+(1-EXP(-LN(2)/25))/(LN(2)/25)*Calculateur!V58*Calculateur!X58*VLOOKUP('Données projet'!$B$9,Paramètres!$A$1:$I$89,3,0)*0.475*44/12</f>
        <v>5.5756601083449686</v>
      </c>
      <c r="AB58" s="21">
        <f>EXP(-LN(2)/2)*AB57+(1-EXP(-LN(2)/2))/(LN(2)/2)*V58*Y58*VLOOKUP('Données projet'!$B$9,Paramètres!$A$1:$I$89,3,0)*0.475*44/12</f>
        <v>1.9064138548349143E-3</v>
      </c>
      <c r="AC58" s="22">
        <f t="shared" si="3"/>
        <v>11.109552354902275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739</v>
      </c>
      <c r="AG58" s="12">
        <f>VLOOKUP(A58,'Données projet'!$A$61:$I$81,9,0)</f>
        <v>15.4</v>
      </c>
      <c r="AH58" s="12">
        <f t="array" ref="AH58">INDEX(AG:AG,MIN(IF(ISNUMBER(AG58:AG254),ROW(AG58:AG254),"")))</f>
        <v>15.4</v>
      </c>
      <c r="AI58" s="13">
        <f>IF('Données projet'!$A$62&gt;35,AI57+AH58-AQ57,IF(A58&lt;'Données projet'!$A$62,$AF$205^A58,IF(A58='Données projet'!$A$62,'Données projet'!$B$62,AI57+AH58-AQ57)))</f>
        <v>738.99999999999943</v>
      </c>
      <c r="AJ58" s="13">
        <f>AI58*VLOOKUP('Données projet'!$B$10,Paramètres!$A$1:$I$89,3,0)*VLOOKUP('Données projet'!$B$10,Paramètres!$A$1:$I$89,5,0)</f>
        <v>413.10099999999971</v>
      </c>
      <c r="AK58" s="13">
        <f t="shared" si="35"/>
        <v>94.427689670462271</v>
      </c>
      <c r="AL58" s="20">
        <f t="shared" si="4"/>
        <v>883.94580117605472</v>
      </c>
      <c r="AM58" s="59">
        <f t="shared" si="5"/>
        <v>1177.2791345093881</v>
      </c>
      <c r="AN58" s="59">
        <f ca="1">AVERAGE(OFFSET($AM$3,0,0,'Données projet'!$E$10+1,1))-AVERAGE(OFFSET($H$3,0,0,'Données projet'!$E$10+1,1))</f>
        <v>544.48194192356823</v>
      </c>
      <c r="AO58" s="59">
        <f t="shared" si="36"/>
        <v>668.20427590250733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46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4.4745970651419773</v>
      </c>
      <c r="AV58" s="21">
        <f>EXP(-LN(2)/25)*AV57+(1-EXP(-LN(2)/25))/(LN(2)/25)*Calculateur!AQ58*Calculateur!AS58*VLOOKUP('Données projet'!$B$10,Paramètres!$A$1:$I$89,3,0)*0.475*44/12</f>
        <v>21.306111792277388</v>
      </c>
      <c r="AW58" s="21">
        <f>EXP(-LN(2)/2)*AW57+(1-EXP(-LN(2)/2))/(LN(2)/2)*AQ58*AT58*VLOOKUP('Données projet'!$B$10,Paramètres!$A$1:$I$89,3,0)*0.475*44/12</f>
        <v>2.4890223892351619E-3</v>
      </c>
      <c r="AX58" s="21">
        <f t="shared" si="6"/>
        <v>25.783197879808601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254</v>
      </c>
      <c r="BB58" s="12">
        <f>VLOOKUP(A58,'Données projet'!$A$87:$I$107,9,0)</f>
        <v>10.199999999999999</v>
      </c>
      <c r="BC58" s="12">
        <f t="array" ref="BC58">INDEX(BB:BB,MIN(IF(ISNUMBER(BB58:BB254),ROW(BB58:BB254),"")))</f>
        <v>10.199999999999999</v>
      </c>
      <c r="BD58" s="12">
        <f>IF('Données projet'!$A$88&gt;35,BD57+BC58-BL57,IF(A58&lt;'Données projet'!$A$88,$BA$205^A58,IF(A58='Données projet'!$A$88,'Données projet'!$B$88,BD57+BC58-BL57)))</f>
        <v>253.99999999999997</v>
      </c>
      <c r="BE58" s="13">
        <f>BD58*VLOOKUP('Données projet'!$B$11,Paramètres!$A$1:$I$89,3,0)*VLOOKUP('Données projet'!$B$11,Paramètres!$A$1:$I$89,5,0)</f>
        <v>229.81919999999997</v>
      </c>
      <c r="BF58" s="13">
        <f t="shared" si="37"/>
        <v>56.243586554989342</v>
      </c>
      <c r="BG58" s="20">
        <f t="shared" si="7"/>
        <v>498.22601991660639</v>
      </c>
      <c r="BH58" s="59">
        <f t="shared" si="8"/>
        <v>791.5593532499397</v>
      </c>
      <c r="BI58" s="59">
        <f ca="1">AVERAGE(OFFSET($BH$3,0,0,'Données projet'!$E$11+1,1))-AVERAGE(OFFSET($H$3,0,0,'Données projet'!$E$11+1,1))</f>
        <v>405.7176439604217</v>
      </c>
      <c r="BJ58" s="59">
        <f t="shared" si="38"/>
        <v>278.21741231699929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4.4545468477065064</v>
      </c>
      <c r="BQ58" s="21">
        <f>EXP(-LN(2)/25)*BQ57+(1-EXP(-LN(2)/25))/(LN(2)/25)*Calculateur!BL58*Calculateur!BN58*VLOOKUP('Données projet'!$B$11,Paramètres!$A$1:$I$89,3,0)*0.475*44/12</f>
        <v>4.6823830637542097</v>
      </c>
      <c r="BR58" s="21">
        <f>EXP(-LN(2)/2)*BR57+(1-EXP(-LN(2)/2))/(LN(2)/2)*BL58*BO58*VLOOKUP('Données projet'!$B$11,Paramètres!$A$1:$I$89,3,0)*0.475*44/12</f>
        <v>1.4733979492706621E-3</v>
      </c>
      <c r="BS58" s="22">
        <f t="shared" si="9"/>
        <v>9.1384033094099859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232</v>
      </c>
      <c r="CR58" s="12">
        <f>VLOOKUP(A58,'Données projet'!$A$139:$I$159,9,0)</f>
        <v>6</v>
      </c>
      <c r="CS58" s="12">
        <f t="array" ref="CS58">INDEX(CR:CR,MIN(IF(ISNUMBER(CR58:CR254),ROW(CR58:CR254),"")))</f>
        <v>6</v>
      </c>
      <c r="CT58" s="12">
        <f>IF('Données projet'!$A$140&gt;35,CT57+CS58-DB57,IF(A58&lt;'Données projet'!$A$140,$CQ$205^A58,IF(A58='Données projet'!$A$140,'Données projet'!$B$140,CT57+CS58-DB57)))</f>
        <v>231.99999999999989</v>
      </c>
      <c r="CU58" s="17">
        <f>CT58*VLOOKUP('Données projet'!$B$13,Paramètres!$A$1:$I$89,3,0)*VLOOKUP('Données projet'!$B$13,Paramètres!$A$1:$I$89,5,0)</f>
        <v>184.57919999999993</v>
      </c>
      <c r="CV58" s="13">
        <f t="shared" si="41"/>
        <v>46.339479465836618</v>
      </c>
      <c r="CW58" s="20">
        <f t="shared" si="13"/>
        <v>402.18336673633195</v>
      </c>
      <c r="CX58" s="59">
        <f t="shared" si="14"/>
        <v>695.51670006966526</v>
      </c>
      <c r="CY58" s="59">
        <f ca="1">AVERAGE(OFFSET($CX$3,0,0,'Données projet'!$E$13+1,1))-AVERAGE(OFFSET($H$3,0,0,'Données projet'!$E$13+1,1))</f>
        <v>299.10536994156814</v>
      </c>
      <c r="CZ58" s="59">
        <f t="shared" si="42"/>
        <v>292.57799203101769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13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5.1328274453155309</v>
      </c>
      <c r="DG58" s="21">
        <f>EXP(-LN(2)/25)*DG57+(1-EXP(-LN(2)/25))/(LN(2)/25)*Calculateur!DB58*Calculateur!DD58*VLOOKUP('Données projet'!$B$13,Paramètres!$A$1:$I$89,3,0)*0.475*44/12</f>
        <v>5.4063762142665164</v>
      </c>
      <c r="DH58" s="21">
        <f>EXP(-LN(2)/2)*DH57+(1-EXP(-LN(2)/2))/(LN(2)/2)*DB58*DE58*VLOOKUP('Données projet'!$B$13,Paramètres!$A$1:$I$89,3,0)*0.475*44/12</f>
        <v>1.5489796507895932E-3</v>
      </c>
      <c r="DI58" s="22">
        <f t="shared" si="15"/>
        <v>10.540752639232837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253</v>
      </c>
      <c r="DM58" s="12">
        <f>VLOOKUP(A58,'Données projet'!$A$165:$I$185,9,0)</f>
        <v>6.8</v>
      </c>
      <c r="DN58" s="12">
        <f t="array" ref="DN58">INDEX(DM:DM,MIN(IF(ISNUMBER(DM58:DM254),ROW(DM58:DM254),"")))</f>
        <v>6.8</v>
      </c>
      <c r="DO58" s="12">
        <f>IF('Données projet'!$A$166&gt;35,DO57+DN58-DW57,IF(A58&lt;'Données projet'!$A$166,$DL$205^A58,IF(A58='Données projet'!$A$166,'Données projet'!$B$166,DO57+DN58-DW57)))</f>
        <v>253.00000000000006</v>
      </c>
      <c r="DP58" s="17">
        <f>DO58*VLOOKUP('Données projet'!$B$14,Paramètres!$A$1:$I$89,3,0)*VLOOKUP('Données projet'!$B$14,Paramètres!$A$1:$I$89,5,0)</f>
        <v>165.76560000000003</v>
      </c>
      <c r="DQ58" s="13">
        <f t="shared" si="43"/>
        <v>42.140271125684265</v>
      </c>
      <c r="DR58" s="20">
        <f t="shared" si="16"/>
        <v>362.10272554390014</v>
      </c>
      <c r="DS58" s="59">
        <f t="shared" si="17"/>
        <v>655.43605887723345</v>
      </c>
      <c r="DT58" s="59">
        <f ca="1">AVERAGE(OFFSET($DS$3,0,0,'Données projet'!$E$14+1,1))-AVERAGE(OFFSET($H$3,0,0,'Données projet'!$E$14+1,1))</f>
        <v>295.92103934364718</v>
      </c>
      <c r="DU58" s="59">
        <f t="shared" si="44"/>
        <v>304.84379909635476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25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2.7186152826301551</v>
      </c>
      <c r="EB58" s="21">
        <f>EXP(-LN(2)/25)*EB57+(1-EXP(-LN(2)/25))/(LN(2)/25)*Calculateur!DW58*Calculateur!DY58*VLOOKUP('Données projet'!$B$14,Paramètres!$A$1:$I$89,3,0)*0.475*44/12</f>
        <v>3.5760755879877393</v>
      </c>
      <c r="EC58" s="21">
        <f>EXP(-LN(2)/2)*EC57+(1-EXP(-LN(2)/2))/(LN(2)/2)*DW58*DZ58*VLOOKUP('Données projet'!$B$14,Paramètres!$A$1:$I$89,3,0)*0.475*44/12</f>
        <v>9.9345645697858213E-4</v>
      </c>
      <c r="ED58" s="22">
        <f t="shared" si="18"/>
        <v>6.2956843270748726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2.125</v>
      </c>
      <c r="EJ58" s="12">
        <f>IF('Données projet'!$A$192&gt;35,EJ57+EI58-ER57,IF(A58&lt;'Données projet'!$A$192,$EG$205^A58,IF(A58='Données projet'!$A$192,'Données projet'!$B$192,EJ57+EI58-ER57)))</f>
        <v>226.125</v>
      </c>
      <c r="EK58" s="17">
        <f>EJ58*VLOOKUP('Données projet'!$B$15,Paramètres!$A$1:$I$89,3,0)*VLOOKUP('Données projet'!$B$15,Paramètres!$A$1:$I$89,5,0)</f>
        <v>135.22274999999999</v>
      </c>
      <c r="EL58" s="13">
        <f t="shared" si="45"/>
        <v>35.200403047414646</v>
      </c>
      <c r="EM58" s="20">
        <f t="shared" si="19"/>
        <v>296.82032489091381</v>
      </c>
      <c r="EN58" s="59">
        <f t="shared" si="20"/>
        <v>590.15365822424712</v>
      </c>
      <c r="EO58" s="59">
        <f ca="1">AVERAGE(OFFSET($EN$3,0,0,'Données projet'!$E$15+1,1))-AVERAGE(OFFSET($H$3,0,0,'Données projet'!$E$15+1,1))</f>
        <v>207.2913533618397</v>
      </c>
      <c r="EP58" s="59">
        <f t="shared" si="46"/>
        <v>230.81096055024483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4.2192920256373379</v>
      </c>
      <c r="EW58" s="21">
        <f>EXP(-LN(2)/25)*EW57+(1-EXP(-LN(2)/25))/(LN(2)/25)*Calculateur!ER58*Calculateur!ET58*VLOOKUP('Données projet'!$B$15,Paramètres!$A$1:$I$89,3,0)*0.475*44/12</f>
        <v>3.0155858525892647</v>
      </c>
      <c r="EX58" s="21">
        <f>EXP(-LN(2)/2)*EX57+(1-EXP(-LN(2)/2))/(LN(2)/2)*ER58*EU58*VLOOKUP('Données projet'!$B$15,Paramètres!$A$1:$I$89,3,0)*0.475*44/12</f>
        <v>5.0918379411969911E-4</v>
      </c>
      <c r="EY58" s="22">
        <f t="shared" si="21"/>
        <v>7.2353870620207221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</v>
      </c>
      <c r="N59" s="13">
        <f>IF('Données projet'!$A$36&gt;35,N58+M59-V58,IF(A59&lt;'Données projet'!$A$36,$K$205^A59,IF(A59='Données projet'!$A$36,'Données projet'!$B$36,N58+M59-V58)))</f>
        <v>294.49999999999989</v>
      </c>
      <c r="O59" s="13">
        <f>N59*VLOOKUP('Données projet'!$B$9,Paramètres!$A$1:$I$89,3,0)*VLOOKUP('Données projet'!$B$9,Paramètres!$A$1:$I$89,5,0)</f>
        <v>137.82599999999994</v>
      </c>
      <c r="P59" s="13">
        <f t="shared" si="33"/>
        <v>35.798519897115497</v>
      </c>
      <c r="Q59" s="20">
        <f t="shared" si="53"/>
        <v>302.39603882080934</v>
      </c>
      <c r="R59" s="59">
        <f t="shared" si="0"/>
        <v>595.72937215414265</v>
      </c>
      <c r="S59" s="59">
        <f ca="1">AVERAGE(OFFSET($R$3,0,0,'Données projet'!$E$9+1,1))-AVERAGE(OFFSET($H$3,0,0,'Données projet'!$E$9+1,1))</f>
        <v>319.22903094674564</v>
      </c>
      <c r="T59" s="59">
        <f t="shared" si="34"/>
        <v>254.58690973142848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5.423506964701363</v>
      </c>
      <c r="AA59" s="21">
        <f>EXP(-LN(2)/25)*AA58+(1-EXP(-LN(2)/25))/(LN(2)/25)*Calculateur!V59*Calculateur!X59*VLOOKUP('Données projet'!$B$9,Paramètres!$A$1:$I$89,3,0)*0.475*44/12</f>
        <v>5.423193389471054</v>
      </c>
      <c r="AB59" s="21">
        <f>EXP(-LN(2)/2)*AB58+(1-EXP(-LN(2)/2))/(LN(2)/2)*V59*Y59*VLOOKUP('Données projet'!$B$9,Paramètres!$A$1:$I$89,3,0)*0.475*44/12</f>
        <v>1.3480381645017544E-3</v>
      </c>
      <c r="AC59" s="22">
        <f t="shared" si="3"/>
        <v>10.848048392336917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12.2</v>
      </c>
      <c r="AI59" s="13">
        <f>IF('Données projet'!$A$62&gt;35,AI58+AH59-AQ58,IF(A59&lt;'Données projet'!$A$62,$AF$205^A59,IF(A59='Données projet'!$A$62,'Données projet'!$B$62,AI58+AH59-AQ58)))</f>
        <v>705.19999999999948</v>
      </c>
      <c r="AJ59" s="13">
        <f>AI59*VLOOKUP('Données projet'!$B$10,Paramètres!$A$1:$I$89,3,0)*VLOOKUP('Données projet'!$B$10,Paramètres!$A$1:$I$89,5,0)</f>
        <v>394.2067999999997</v>
      </c>
      <c r="AK59" s="13">
        <f t="shared" si="35"/>
        <v>90.601187466199292</v>
      </c>
      <c r="AL59" s="20">
        <f t="shared" si="4"/>
        <v>844.37391150362998</v>
      </c>
      <c r="AM59" s="59">
        <f t="shared" si="5"/>
        <v>1137.7072448369634</v>
      </c>
      <c r="AN59" s="59">
        <f ca="1">AVERAGE(OFFSET($AM$3,0,0,'Données projet'!$E$10+1,1))-AVERAGE(OFFSET($H$3,0,0,'Données projet'!$E$10+1,1))</f>
        <v>544.48194192356823</v>
      </c>
      <c r="AO59" s="59">
        <f t="shared" si="36"/>
        <v>668.20427590250733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4.3868529459292631</v>
      </c>
      <c r="AV59" s="21">
        <f>EXP(-LN(2)/25)*AV58+(1-EXP(-LN(2)/25))/(LN(2)/25)*Calculateur!AQ59*Calculateur!AS59*VLOOKUP('Données projet'!$B$10,Paramètres!$A$1:$I$89,3,0)*0.475*44/12</f>
        <v>20.72349504487784</v>
      </c>
      <c r="AW59" s="21">
        <f>EXP(-LN(2)/2)*AW58+(1-EXP(-LN(2)/2))/(LN(2)/2)*AQ59*AT59*VLOOKUP('Données projet'!$B$10,Paramètres!$A$1:$I$89,3,0)*0.475*44/12</f>
        <v>1.7600046099533254E-3</v>
      </c>
      <c r="AX59" s="21">
        <f t="shared" si="6"/>
        <v>25.112107995417055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9.4</v>
      </c>
      <c r="BD59" s="12">
        <f>IF('Données projet'!$A$88&gt;35,BD58+BC59-BL58,IF(A59&lt;'Données projet'!$A$88,$BA$205^A59,IF(A59='Données projet'!$A$88,'Données projet'!$B$88,BD58+BC59-BL58)))</f>
        <v>235.39999999999998</v>
      </c>
      <c r="BE59" s="13">
        <f>BD59*VLOOKUP('Données projet'!$B$11,Paramètres!$A$1:$I$89,3,0)*VLOOKUP('Données projet'!$B$11,Paramètres!$A$1:$I$89,5,0)</f>
        <v>212.98991999999998</v>
      </c>
      <c r="BF59" s="13">
        <f t="shared" si="37"/>
        <v>52.588419883221171</v>
      </c>
      <c r="BG59" s="20">
        <f t="shared" si="7"/>
        <v>462.54894196327677</v>
      </c>
      <c r="BH59" s="59">
        <f t="shared" si="8"/>
        <v>755.88227529661003</v>
      </c>
      <c r="BI59" s="59">
        <f ca="1">AVERAGE(OFFSET($BH$3,0,0,'Données projet'!$E$11+1,1))-AVERAGE(OFFSET($H$3,0,0,'Données projet'!$E$11+1,1))</f>
        <v>405.7176439604217</v>
      </c>
      <c r="BJ59" s="59">
        <f t="shared" si="38"/>
        <v>278.21741231699929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4.3671959010282766</v>
      </c>
      <c r="BQ59" s="21">
        <f>EXP(-LN(2)/25)*BQ58+(1-EXP(-LN(2)/25))/(LN(2)/25)*Calculateur!BL59*Calculateur!BN59*VLOOKUP('Données projet'!$B$11,Paramètres!$A$1:$I$89,3,0)*0.475*44/12</f>
        <v>4.5543430526400268</v>
      </c>
      <c r="BR59" s="21">
        <f>EXP(-LN(2)/2)*BR58+(1-EXP(-LN(2)/2))/(LN(2)/2)*BL59*BO59*VLOOKUP('Données projet'!$B$11,Paramètres!$A$1:$I$89,3,0)*0.475*44/12</f>
        <v>1.0418496813156379E-3</v>
      </c>
      <c r="BS59" s="22">
        <f t="shared" si="9"/>
        <v>8.9225808033496197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5.2</v>
      </c>
      <c r="CT59" s="12">
        <f>IF('Données projet'!$A$140&gt;35,CT58+CS59-DB58,IF(A59&lt;'Données projet'!$A$140,$CQ$205^A59,IF(A59='Données projet'!$A$140,'Données projet'!$B$140,CT58+CS59-DB58)))</f>
        <v>224.19999999999987</v>
      </c>
      <c r="CU59" s="17">
        <f>CT59*VLOOKUP('Données projet'!$B$13,Paramètres!$A$1:$I$89,3,0)*VLOOKUP('Données projet'!$B$13,Paramètres!$A$1:$I$89,5,0)</f>
        <v>178.37351999999993</v>
      </c>
      <c r="CV59" s="13">
        <f t="shared" si="41"/>
        <v>44.960133388294842</v>
      </c>
      <c r="CW59" s="20">
        <f t="shared" si="13"/>
        <v>388.97277965128006</v>
      </c>
      <c r="CX59" s="59">
        <f t="shared" si="14"/>
        <v>682.30611298461338</v>
      </c>
      <c r="CY59" s="59">
        <f ca="1">AVERAGE(OFFSET($CX$3,0,0,'Données projet'!$E$13+1,1))-AVERAGE(OFFSET($H$3,0,0,'Données projet'!$E$13+1,1))</f>
        <v>299.10536994156814</v>
      </c>
      <c r="CZ59" s="59">
        <f t="shared" si="42"/>
        <v>292.57799203101769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5.0321758298285024</v>
      </c>
      <c r="DG59" s="21">
        <f>EXP(-LN(2)/25)*DG58+(1-EXP(-LN(2)/25))/(LN(2)/25)*Calculateur!DB59*Calculateur!DD59*VLOOKUP('Données projet'!$B$13,Paramètres!$A$1:$I$89,3,0)*0.475*44/12</f>
        <v>5.2585385723784297</v>
      </c>
      <c r="DH59" s="21">
        <f>EXP(-LN(2)/2)*DH58+(1-EXP(-LN(2)/2))/(LN(2)/2)*DB59*DE59*VLOOKUP('Données projet'!$B$13,Paramètres!$A$1:$I$89,3,0)*0.475*44/12</f>
        <v>1.0952940149932917E-3</v>
      </c>
      <c r="DI59" s="22">
        <f t="shared" si="15"/>
        <v>10.291809696221925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6.4</v>
      </c>
      <c r="DO59" s="12">
        <f>IF('Données projet'!$A$166&gt;35,DO58+DN59-DW58,IF(A59&lt;'Données projet'!$A$166,$DL$205^A59,IF(A59='Données projet'!$A$166,'Données projet'!$B$166,DO58+DN59-DW58)))</f>
        <v>234.40000000000003</v>
      </c>
      <c r="DP59" s="17">
        <f>DO59*VLOOKUP('Données projet'!$B$14,Paramètres!$A$1:$I$89,3,0)*VLOOKUP('Données projet'!$B$14,Paramètres!$A$1:$I$89,5,0)</f>
        <v>153.57888000000003</v>
      </c>
      <c r="DQ59" s="13">
        <f t="shared" si="43"/>
        <v>39.390779474606148</v>
      </c>
      <c r="DR59" s="20">
        <f t="shared" si="16"/>
        <v>336.08882358493906</v>
      </c>
      <c r="DS59" s="59">
        <f t="shared" si="17"/>
        <v>629.42215691827232</v>
      </c>
      <c r="DT59" s="59">
        <f ca="1">AVERAGE(OFFSET($DS$3,0,0,'Données projet'!$E$14+1,1))-AVERAGE(OFFSET($H$3,0,0,'Données projet'!$E$14+1,1))</f>
        <v>295.92103934364718</v>
      </c>
      <c r="DU59" s="59">
        <f t="shared" si="44"/>
        <v>304.84379909635476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2.6653048951293674</v>
      </c>
      <c r="EB59" s="21">
        <f>EXP(-LN(2)/25)*EB58+(1-EXP(-LN(2)/25))/(LN(2)/25)*Calculateur!DW59*Calculateur!DY59*VLOOKUP('Données projet'!$B$14,Paramètres!$A$1:$I$89,3,0)*0.475*44/12</f>
        <v>3.4782876129765725</v>
      </c>
      <c r="EC59" s="21">
        <f>EXP(-LN(2)/2)*EC58+(1-EXP(-LN(2)/2))/(LN(2)/2)*DW59*DZ59*VLOOKUP('Données projet'!$B$14,Paramètres!$A$1:$I$89,3,0)*0.475*44/12</f>
        <v>7.0247979754311705E-4</v>
      </c>
      <c r="ED59" s="22">
        <f t="shared" si="18"/>
        <v>6.1442949879034829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2.125</v>
      </c>
      <c r="EJ59" s="12">
        <f>IF('Données projet'!$A$192&gt;35,EJ58+EI59-ER58,IF(A59&lt;'Données projet'!$A$192,$EG$205^A59,IF(A59='Données projet'!$A$192,'Données projet'!$B$192,EJ58+EI59-ER58)))</f>
        <v>228.25</v>
      </c>
      <c r="EK59" s="17">
        <f>EJ59*VLOOKUP('Données projet'!$B$15,Paramètres!$A$1:$I$89,3,0)*VLOOKUP('Données projet'!$B$15,Paramètres!$A$1:$I$89,5,0)</f>
        <v>136.49350000000001</v>
      </c>
      <c r="EL59" s="13">
        <f t="shared" si="45"/>
        <v>35.492533566506438</v>
      </c>
      <c r="EM59" s="20">
        <f t="shared" si="19"/>
        <v>299.54234179499872</v>
      </c>
      <c r="EN59" s="59">
        <f t="shared" si="20"/>
        <v>592.87567512833198</v>
      </c>
      <c r="EO59" s="59">
        <f ca="1">AVERAGE(OFFSET($EN$3,0,0,'Données projet'!$E$15+1,1))-AVERAGE(OFFSET($H$3,0,0,'Données projet'!$E$15+1,1))</f>
        <v>207.2913533618397</v>
      </c>
      <c r="EP59" s="59">
        <f t="shared" si="46"/>
        <v>230.81096055024483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4.1365542825286115</v>
      </c>
      <c r="EW59" s="21">
        <f>EXP(-LN(2)/25)*EW58+(1-EXP(-LN(2)/25))/(LN(2)/25)*Calculateur!ER59*Calculateur!ET59*VLOOKUP('Données projet'!$B$15,Paramètres!$A$1:$I$89,3,0)*0.475*44/12</f>
        <v>2.9331244988674436</v>
      </c>
      <c r="EX59" s="21">
        <f>EXP(-LN(2)/2)*EX58+(1-EXP(-LN(2)/2))/(LN(2)/2)*ER59*EU59*VLOOKUP('Données projet'!$B$15,Paramètres!$A$1:$I$89,3,0)*0.475*44/12</f>
        <v>3.6004731369233416E-4</v>
      </c>
      <c r="EY59" s="22">
        <f t="shared" si="21"/>
        <v>7.0700388287097473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</v>
      </c>
      <c r="N60" s="13">
        <f>IF('Données projet'!$A$36&gt;35,N59+M60-V59,IF(A60&lt;'Données projet'!$A$36,$K$205^A60,IF(A60='Données projet'!$A$36,'Données projet'!$B$36,N59+M60-V59)))</f>
        <v>307.99999999999989</v>
      </c>
      <c r="O60" s="13">
        <f>N60*VLOOKUP('Données projet'!$B$9,Paramètres!$A$1:$I$89,3,0)*VLOOKUP('Données projet'!$B$9,Paramètres!$A$1:$I$89,5,0)</f>
        <v>144.14399999999995</v>
      </c>
      <c r="P60" s="13">
        <f t="shared" si="33"/>
        <v>37.244720006976216</v>
      </c>
      <c r="Q60" s="20">
        <f t="shared" si="53"/>
        <v>315.91868734548348</v>
      </c>
      <c r="R60" s="59">
        <f t="shared" si="0"/>
        <v>609.25202067881673</v>
      </c>
      <c r="S60" s="59">
        <f ca="1">AVERAGE(OFFSET($R$3,0,0,'Données projet'!$E$9+1,1))-AVERAGE(OFFSET($H$3,0,0,'Données projet'!$E$9+1,1))</f>
        <v>319.22903094674564</v>
      </c>
      <c r="T60" s="59">
        <f t="shared" si="34"/>
        <v>254.58690973142848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5.3171553011361787</v>
      </c>
      <c r="AA60" s="21">
        <f>EXP(-LN(2)/25)*AA59+(1-EXP(-LN(2)/25))/(LN(2)/25)*Calculateur!V60*Calculateur!X60*VLOOKUP('Données projet'!$B$9,Paramètres!$A$1:$I$89,3,0)*0.475*44/12</f>
        <v>5.2748958810426227</v>
      </c>
      <c r="AB60" s="21">
        <f>EXP(-LN(2)/2)*AB59+(1-EXP(-LN(2)/2))/(LN(2)/2)*V60*Y60*VLOOKUP('Données projet'!$B$9,Paramètres!$A$1:$I$89,3,0)*0.475*44/12</f>
        <v>9.5320692741745724E-4</v>
      </c>
      <c r="AC60" s="22">
        <f t="shared" si="3"/>
        <v>10.59300438910622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12.2</v>
      </c>
      <c r="AI60" s="13">
        <f>IF('Données projet'!$A$62&gt;35,AI59+AH60-AQ59,IF(A60&lt;'Données projet'!$A$62,$AF$205^A60,IF(A60='Données projet'!$A$62,'Données projet'!$B$62,AI59+AH60-AQ59)))</f>
        <v>717.39999999999952</v>
      </c>
      <c r="AJ60" s="13">
        <f>AI60*VLOOKUP('Données projet'!$B$10,Paramètres!$A$1:$I$89,3,0)*VLOOKUP('Données projet'!$B$10,Paramètres!$A$1:$I$89,5,0)</f>
        <v>401.02659999999975</v>
      </c>
      <c r="AK60" s="13">
        <f t="shared" si="35"/>
        <v>91.984761558101539</v>
      </c>
      <c r="AL60" s="20">
        <f t="shared" si="4"/>
        <v>858.66145471369293</v>
      </c>
      <c r="AM60" s="59">
        <f t="shared" si="5"/>
        <v>1151.9947880470263</v>
      </c>
      <c r="AN60" s="59">
        <f ca="1">AVERAGE(OFFSET($AM$3,0,0,'Données projet'!$E$10+1,1))-AVERAGE(OFFSET($H$3,0,0,'Données projet'!$E$10+1,1))</f>
        <v>544.48194192356823</v>
      </c>
      <c r="AO60" s="59">
        <f t="shared" si="36"/>
        <v>668.20427590250733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4.3008294353756824</v>
      </c>
      <c r="AV60" s="21">
        <f>EXP(-LN(2)/25)*AV59+(1-EXP(-LN(2)/25))/(LN(2)/25)*Calculateur!AQ60*Calculateur!AS60*VLOOKUP('Données projet'!$B$10,Paramètres!$A$1:$I$89,3,0)*0.475*44/12</f>
        <v>20.156809983074414</v>
      </c>
      <c r="AW60" s="21">
        <f>EXP(-LN(2)/2)*AW59+(1-EXP(-LN(2)/2))/(LN(2)/2)*AQ60*AT60*VLOOKUP('Données projet'!$B$10,Paramètres!$A$1:$I$89,3,0)*0.475*44/12</f>
        <v>1.244511194617581E-3</v>
      </c>
      <c r="AX60" s="21">
        <f t="shared" si="6"/>
        <v>24.458883929644713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9.4</v>
      </c>
      <c r="BD60" s="12">
        <f>IF('Données projet'!$A$88&gt;35,BD59+BC60-BL59,IF(A60&lt;'Données projet'!$A$88,$BA$205^A60,IF(A60='Données projet'!$A$88,'Données projet'!$B$88,BD59+BC60-BL59)))</f>
        <v>244.79999999999998</v>
      </c>
      <c r="BE60" s="13">
        <f>BD60*VLOOKUP('Données projet'!$B$11,Paramètres!$A$1:$I$89,3,0)*VLOOKUP('Données projet'!$B$11,Paramètres!$A$1:$I$89,5,0)</f>
        <v>221.49503999999999</v>
      </c>
      <c r="BF60" s="13">
        <f t="shared" si="37"/>
        <v>54.439697086174412</v>
      </c>
      <c r="BG60" s="20">
        <f t="shared" si="7"/>
        <v>480.58633375842032</v>
      </c>
      <c r="BH60" s="59">
        <f t="shared" si="8"/>
        <v>773.91966709175358</v>
      </c>
      <c r="BI60" s="59">
        <f ca="1">AVERAGE(OFFSET($BH$3,0,0,'Données projet'!$E$11+1,1))-AVERAGE(OFFSET($H$3,0,0,'Données projet'!$E$11+1,1))</f>
        <v>405.7176439604217</v>
      </c>
      <c r="BJ60" s="59">
        <f t="shared" si="38"/>
        <v>278.21741231699929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4.2815578531355909</v>
      </c>
      <c r="BQ60" s="21">
        <f>EXP(-LN(2)/25)*BQ59+(1-EXP(-LN(2)/25))/(LN(2)/25)*Calculateur!BL60*Calculateur!BN60*VLOOKUP('Données projet'!$B$11,Paramètres!$A$1:$I$89,3,0)*0.475*44/12</f>
        <v>4.4298043023630935</v>
      </c>
      <c r="BR60" s="21">
        <f>EXP(-LN(2)/2)*BR59+(1-EXP(-LN(2)/2))/(LN(2)/2)*BL60*BO60*VLOOKUP('Données projet'!$B$11,Paramètres!$A$1:$I$89,3,0)*0.475*44/12</f>
        <v>7.3669897463533103E-4</v>
      </c>
      <c r="BS60" s="22">
        <f t="shared" si="9"/>
        <v>8.712098854473318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5.2</v>
      </c>
      <c r="CT60" s="12">
        <f>IF('Données projet'!$A$140&gt;35,CT59+CS60-DB59,IF(A60&lt;'Données projet'!$A$140,$CQ$205^A60,IF(A60='Données projet'!$A$140,'Données projet'!$B$140,CT59+CS60-DB59)))</f>
        <v>229.39999999999986</v>
      </c>
      <c r="CU60" s="17">
        <f>CT60*VLOOKUP('Données projet'!$B$13,Paramètres!$A$1:$I$89,3,0)*VLOOKUP('Données projet'!$B$13,Paramètres!$A$1:$I$89,5,0)</f>
        <v>182.51063999999988</v>
      </c>
      <c r="CV60" s="13">
        <f t="shared" si="41"/>
        <v>45.880306213791371</v>
      </c>
      <c r="CW60" s="20">
        <f t="shared" si="13"/>
        <v>397.78089798901971</v>
      </c>
      <c r="CX60" s="59">
        <f t="shared" si="14"/>
        <v>691.11423132235302</v>
      </c>
      <c r="CY60" s="59">
        <f ca="1">AVERAGE(OFFSET($CX$3,0,0,'Données projet'!$E$13+1,1))-AVERAGE(OFFSET($H$3,0,0,'Données projet'!$E$13+1,1))</f>
        <v>299.10536994156814</v>
      </c>
      <c r="CZ60" s="59">
        <f t="shared" si="42"/>
        <v>292.57799203101769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4.9334979311297511</v>
      </c>
      <c r="DG60" s="21">
        <f>EXP(-LN(2)/25)*DG59+(1-EXP(-LN(2)/25))/(LN(2)/25)*Calculateur!DB60*Calculateur!DD60*VLOOKUP('Données projet'!$B$13,Paramètres!$A$1:$I$89,3,0)*0.475*44/12</f>
        <v>5.1147435585822167</v>
      </c>
      <c r="DH60" s="21">
        <f>EXP(-LN(2)/2)*DH59+(1-EXP(-LN(2)/2))/(LN(2)/2)*DB60*DE60*VLOOKUP('Données projet'!$B$13,Paramètres!$A$1:$I$89,3,0)*0.475*44/12</f>
        <v>7.7448982539479662E-4</v>
      </c>
      <c r="DI60" s="22">
        <f t="shared" si="15"/>
        <v>10.049015979537362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6.4</v>
      </c>
      <c r="DO60" s="12">
        <f>IF('Données projet'!$A$166&gt;35,DO59+DN60-DW59,IF(A60&lt;'Données projet'!$A$166,$DL$205^A60,IF(A60='Données projet'!$A$166,'Données projet'!$B$166,DO59+DN60-DW59)))</f>
        <v>240.80000000000004</v>
      </c>
      <c r="DP60" s="17">
        <f>DO60*VLOOKUP('Données projet'!$B$14,Paramètres!$A$1:$I$89,3,0)*VLOOKUP('Données projet'!$B$14,Paramètres!$A$1:$I$89,5,0)</f>
        <v>157.77216000000001</v>
      </c>
      <c r="DQ60" s="13">
        <f t="shared" si="43"/>
        <v>40.339610539653599</v>
      </c>
      <c r="DR60" s="20">
        <f t="shared" si="16"/>
        <v>345.04466702323003</v>
      </c>
      <c r="DS60" s="59">
        <f t="shared" si="17"/>
        <v>638.37800035656335</v>
      </c>
      <c r="DT60" s="59">
        <f ca="1">AVERAGE(OFFSET($DS$3,0,0,'Données projet'!$E$14+1,1))-AVERAGE(OFFSET($H$3,0,0,'Données projet'!$E$14+1,1))</f>
        <v>295.92103934364718</v>
      </c>
      <c r="DU60" s="59">
        <f t="shared" si="44"/>
        <v>304.84379909635476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2.6130398918113444</v>
      </c>
      <c r="EB60" s="21">
        <f>EXP(-LN(2)/25)*EB59+(1-EXP(-LN(2)/25))/(LN(2)/25)*Calculateur!DW60*Calculateur!DY60*VLOOKUP('Données projet'!$B$14,Paramètres!$A$1:$I$89,3,0)*0.475*44/12</f>
        <v>3.3831736552845322</v>
      </c>
      <c r="EC60" s="21">
        <f>EXP(-LN(2)/2)*EC59+(1-EXP(-LN(2)/2))/(LN(2)/2)*DW60*DZ60*VLOOKUP('Données projet'!$B$14,Paramètres!$A$1:$I$89,3,0)*0.475*44/12</f>
        <v>4.9672822848929106E-4</v>
      </c>
      <c r="ED60" s="22">
        <f t="shared" si="18"/>
        <v>5.9967102753243662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2.125</v>
      </c>
      <c r="EJ60" s="12">
        <f>IF('Données projet'!$A$192&gt;35,EJ59+EI60-ER59,IF(A60&lt;'Données projet'!$A$192,$EG$205^A60,IF(A60='Données projet'!$A$192,'Données projet'!$B$192,EJ59+EI60-ER59)))</f>
        <v>230.375</v>
      </c>
      <c r="EK60" s="17">
        <f>EJ60*VLOOKUP('Données projet'!$B$15,Paramètres!$A$1:$I$89,3,0)*VLOOKUP('Données projet'!$B$15,Paramètres!$A$1:$I$89,5,0)</f>
        <v>137.76425000000003</v>
      </c>
      <c r="EL60" s="13">
        <f t="shared" si="45"/>
        <v>35.784347676183451</v>
      </c>
      <c r="EM60" s="20">
        <f t="shared" si="19"/>
        <v>302.26380761935292</v>
      </c>
      <c r="EN60" s="59">
        <f t="shared" si="20"/>
        <v>595.59714095268623</v>
      </c>
      <c r="EO60" s="59">
        <f ca="1">AVERAGE(OFFSET($EN$3,0,0,'Données projet'!$E$15+1,1))-AVERAGE(OFFSET($H$3,0,0,'Données projet'!$E$15+1,1))</f>
        <v>207.2913533618397</v>
      </c>
      <c r="EP60" s="59">
        <f t="shared" si="46"/>
        <v>230.81096055024483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4.0554389760972072</v>
      </c>
      <c r="EW60" s="21">
        <f>EXP(-LN(2)/25)*EW59+(1-EXP(-LN(2)/25))/(LN(2)/25)*Calculateur!ER60*Calculateur!ET60*VLOOKUP('Données projet'!$B$15,Paramètres!$A$1:$I$89,3,0)*0.475*44/12</f>
        <v>2.8529180551995998</v>
      </c>
      <c r="EX60" s="21">
        <f>EXP(-LN(2)/2)*EX59+(1-EXP(-LN(2)/2))/(LN(2)/2)*ER60*EU60*VLOOKUP('Données projet'!$B$15,Paramètres!$A$1:$I$89,3,0)*0.475*44/12</f>
        <v>2.5459189705984956E-4</v>
      </c>
      <c r="EY60" s="22">
        <f t="shared" si="21"/>
        <v>6.9086116231938677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13.5</v>
      </c>
      <c r="N61" s="13">
        <f>IF('Données projet'!$A$36&gt;35,N60+M61-V60,IF(A61&lt;'Données projet'!$A$36,$K$205^A61,IF(A61='Données projet'!$A$36,'Données projet'!$B$36,N60+M61-V60)))</f>
        <v>321.49999999999989</v>
      </c>
      <c r="O61" s="13">
        <f>N61*VLOOKUP('Données projet'!$B$9,Paramètres!$A$1:$I$89,3,0)*VLOOKUP('Données projet'!$B$9,Paramètres!$A$1:$I$89,5,0)</f>
        <v>150.46199999999993</v>
      </c>
      <c r="P61" s="13">
        <f t="shared" si="33"/>
        <v>38.683557979918994</v>
      </c>
      <c r="Q61" s="20">
        <f t="shared" si="53"/>
        <v>329.42851348169211</v>
      </c>
      <c r="R61" s="59">
        <f t="shared" si="0"/>
        <v>622.76184681502536</v>
      </c>
      <c r="S61" s="59">
        <f ca="1">AVERAGE(OFFSET($R$3,0,0,'Données projet'!$E$9+1,1))-AVERAGE(OFFSET($H$3,0,0,'Données projet'!$E$9+1,1))</f>
        <v>319.22903094674564</v>
      </c>
      <c r="T61" s="59">
        <f t="shared" si="34"/>
        <v>254.58690973142848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5.212889128825398</v>
      </c>
      <c r="AA61" s="21">
        <f>EXP(-LN(2)/25)*AA60+(1-EXP(-LN(2)/25))/(LN(2)/25)*Calculateur!V61*Calculateur!X61*VLOOKUP('Données projet'!$B$9,Paramètres!$A$1:$I$89,3,0)*0.475*44/12</f>
        <v>5.1306535757807934</v>
      </c>
      <c r="AB61" s="21">
        <f>EXP(-LN(2)/2)*AB60+(1-EXP(-LN(2)/2))/(LN(2)/2)*V61*Y61*VLOOKUP('Données projet'!$B$9,Paramètres!$A$1:$I$89,3,0)*0.475*44/12</f>
        <v>6.7401908225087732E-4</v>
      </c>
      <c r="AC61" s="22">
        <f t="shared" si="3"/>
        <v>10.344216723688442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12.2</v>
      </c>
      <c r="AI61" s="13">
        <f>IF('Données projet'!$A$62&gt;35,AI60+AH61-AQ60,IF(A61&lt;'Données projet'!$A$62,$AF$205^A61,IF(A61='Données projet'!$A$62,'Données projet'!$B$62,AI60+AH61-AQ60)))</f>
        <v>729.59999999999957</v>
      </c>
      <c r="AJ61" s="13">
        <f>AI61*VLOOKUP('Données projet'!$B$10,Paramètres!$A$1:$I$89,3,0)*VLOOKUP('Données projet'!$B$10,Paramètres!$A$1:$I$89,5,0)</f>
        <v>407.84639999999973</v>
      </c>
      <c r="AK61" s="13">
        <f t="shared" si="35"/>
        <v>93.365599460181741</v>
      </c>
      <c r="AL61" s="20">
        <f t="shared" si="4"/>
        <v>872.94423239314926</v>
      </c>
      <c r="AM61" s="59">
        <f t="shared" si="5"/>
        <v>1166.2775657264826</v>
      </c>
      <c r="AN61" s="59">
        <f ca="1">AVERAGE(OFFSET($AM$3,0,0,'Données projet'!$E$10+1,1))-AVERAGE(OFFSET($H$3,0,0,'Données projet'!$E$10+1,1))</f>
        <v>544.48194192356823</v>
      </c>
      <c r="AO61" s="59">
        <f t="shared" si="36"/>
        <v>668.20427590250733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4.216492793394897</v>
      </c>
      <c r="AV61" s="21">
        <f>EXP(-LN(2)/25)*AV60+(1-EXP(-LN(2)/25))/(LN(2)/25)*Calculateur!AQ61*Calculateur!AS61*VLOOKUP('Données projet'!$B$10,Paramètres!$A$1:$I$89,3,0)*0.475*44/12</f>
        <v>19.605620954086675</v>
      </c>
      <c r="AW61" s="21">
        <f>EXP(-LN(2)/2)*AW60+(1-EXP(-LN(2)/2))/(LN(2)/2)*AQ61*AT61*VLOOKUP('Données projet'!$B$10,Paramètres!$A$1:$I$89,3,0)*0.475*44/12</f>
        <v>8.8000230497666269E-4</v>
      </c>
      <c r="AX61" s="21">
        <f t="shared" si="6"/>
        <v>23.822993749786551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9.4</v>
      </c>
      <c r="BD61" s="12">
        <f>IF('Données projet'!$A$88&gt;35,BD60+BC61-BL60,IF(A61&lt;'Données projet'!$A$88,$BA$205^A61,IF(A61='Données projet'!$A$88,'Données projet'!$B$88,BD60+BC61-BL60)))</f>
        <v>254.2</v>
      </c>
      <c r="BE61" s="13">
        <f>BD61*VLOOKUP('Données projet'!$B$11,Paramètres!$A$1:$I$89,3,0)*VLOOKUP('Données projet'!$B$11,Paramètres!$A$1:$I$89,5,0)</f>
        <v>230.00015999999997</v>
      </c>
      <c r="BF61" s="13">
        <f t="shared" si="37"/>
        <v>56.282716126880423</v>
      </c>
      <c r="BG61" s="20">
        <f t="shared" si="7"/>
        <v>498.60934258765002</v>
      </c>
      <c r="BH61" s="59">
        <f t="shared" si="8"/>
        <v>791.94267592098333</v>
      </c>
      <c r="BI61" s="59">
        <f ca="1">AVERAGE(OFFSET($BH$3,0,0,'Données projet'!$E$11+1,1))-AVERAGE(OFFSET($H$3,0,0,'Données projet'!$E$11+1,1))</f>
        <v>405.7176439604217</v>
      </c>
      <c r="BJ61" s="59">
        <f t="shared" si="38"/>
        <v>278.21741231699929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4.1975991151280292</v>
      </c>
      <c r="BQ61" s="21">
        <f>EXP(-LN(2)/25)*BQ60+(1-EXP(-LN(2)/25))/(LN(2)/25)*Calculateur!BL61*Calculateur!BN61*VLOOKUP('Données projet'!$B$11,Paramètres!$A$1:$I$89,3,0)*0.475*44/12</f>
        <v>4.3086710707616911</v>
      </c>
      <c r="BR61" s="21">
        <f>EXP(-LN(2)/2)*BR60+(1-EXP(-LN(2)/2))/(LN(2)/2)*BL61*BO61*VLOOKUP('Données projet'!$B$11,Paramètres!$A$1:$I$89,3,0)*0.475*44/12</f>
        <v>5.2092484065781894E-4</v>
      </c>
      <c r="BS61" s="22">
        <f t="shared" si="9"/>
        <v>8.5067911107303775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5.2</v>
      </c>
      <c r="CT61" s="12">
        <f>IF('Données projet'!$A$140&gt;35,CT60+CS61-DB60,IF(A61&lt;'Données projet'!$A$140,$CQ$205^A61,IF(A61='Données projet'!$A$140,'Données projet'!$B$140,CT60+CS61-DB60)))</f>
        <v>234.59999999999985</v>
      </c>
      <c r="CU61" s="17">
        <f>CT61*VLOOKUP('Données projet'!$B$13,Paramètres!$A$1:$I$89,3,0)*VLOOKUP('Données projet'!$B$13,Paramètres!$A$1:$I$89,5,0)</f>
        <v>186.64775999999989</v>
      </c>
      <c r="CV61" s="13">
        <f t="shared" si="41"/>
        <v>46.79805411155214</v>
      </c>
      <c r="CW61" s="20">
        <f t="shared" si="13"/>
        <v>406.58479291095313</v>
      </c>
      <c r="CX61" s="59">
        <f t="shared" si="14"/>
        <v>699.91812624428644</v>
      </c>
      <c r="CY61" s="59">
        <f ca="1">AVERAGE(OFFSET($CX$3,0,0,'Données projet'!$E$13+1,1))-AVERAGE(OFFSET($H$3,0,0,'Données projet'!$E$13+1,1))</f>
        <v>299.10536994156814</v>
      </c>
      <c r="CZ61" s="59">
        <f t="shared" si="42"/>
        <v>292.57799203101769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4.8367550458369069</v>
      </c>
      <c r="DG61" s="21">
        <f>EXP(-LN(2)/25)*DG60+(1-EXP(-LN(2)/25))/(LN(2)/25)*Calculateur!DB61*Calculateur!DD61*VLOOKUP('Données projet'!$B$13,Paramètres!$A$1:$I$89,3,0)*0.475*44/12</f>
        <v>4.974880627000112</v>
      </c>
      <c r="DH61" s="21">
        <f>EXP(-LN(2)/2)*DH60+(1-EXP(-LN(2)/2))/(LN(2)/2)*DB61*DE61*VLOOKUP('Données projet'!$B$13,Paramètres!$A$1:$I$89,3,0)*0.475*44/12</f>
        <v>5.4764700749664584E-4</v>
      </c>
      <c r="DI61" s="22">
        <f t="shared" si="15"/>
        <v>9.8121833198445163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6.4</v>
      </c>
      <c r="DO61" s="12">
        <f>IF('Données projet'!$A$166&gt;35,DO60+DN61-DW60,IF(A61&lt;'Données projet'!$A$166,$DL$205^A61,IF(A61='Données projet'!$A$166,'Données projet'!$B$166,DO60+DN61-DW60)))</f>
        <v>247.20000000000005</v>
      </c>
      <c r="DP61" s="17">
        <f>DO61*VLOOKUP('Données projet'!$B$14,Paramètres!$A$1:$I$89,3,0)*VLOOKUP('Données projet'!$B$14,Paramètres!$A$1:$I$89,5,0)</f>
        <v>161.96544000000003</v>
      </c>
      <c r="DQ61" s="13">
        <f t="shared" si="43"/>
        <v>41.285510388923619</v>
      </c>
      <c r="DR61" s="20">
        <f t="shared" si="16"/>
        <v>353.99540526070876</v>
      </c>
      <c r="DS61" s="59">
        <f t="shared" si="17"/>
        <v>647.32873859404208</v>
      </c>
      <c r="DT61" s="59">
        <f ca="1">AVERAGE(OFFSET($DS$3,0,0,'Données projet'!$E$14+1,1))-AVERAGE(OFFSET($H$3,0,0,'Données projet'!$E$14+1,1))</f>
        <v>295.92103934364718</v>
      </c>
      <c r="DU61" s="59">
        <f t="shared" si="44"/>
        <v>304.84379909635476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2.5617997733298834</v>
      </c>
      <c r="EB61" s="21">
        <f>EXP(-LN(2)/25)*EB60+(1-EXP(-LN(2)/25))/(LN(2)/25)*Calculateur!DW61*Calculateur!DY61*VLOOKUP('Données projet'!$B$14,Paramètres!$A$1:$I$89,3,0)*0.475*44/12</f>
        <v>3.2906605937674063</v>
      </c>
      <c r="EC61" s="21">
        <f>EXP(-LN(2)/2)*EC60+(1-EXP(-LN(2)/2))/(LN(2)/2)*DW61*DZ61*VLOOKUP('Données projet'!$B$14,Paramètres!$A$1:$I$89,3,0)*0.475*44/12</f>
        <v>3.5123989877155852E-4</v>
      </c>
      <c r="ED61" s="22">
        <f t="shared" si="18"/>
        <v>5.8528116069960614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2.125</v>
      </c>
      <c r="EJ61" s="12">
        <f>IF('Données projet'!$A$192&gt;35,EJ60+EI61-ER60,IF(A61&lt;'Données projet'!$A$192,$EG$205^A61,IF(A61='Données projet'!$A$192,'Données projet'!$B$192,EJ60+EI61-ER60)))</f>
        <v>232.5</v>
      </c>
      <c r="EK61" s="17">
        <f>EJ61*VLOOKUP('Données projet'!$B$15,Paramètres!$A$1:$I$89,3,0)*VLOOKUP('Données projet'!$B$15,Paramètres!$A$1:$I$89,5,0)</f>
        <v>139.035</v>
      </c>
      <c r="EL61" s="13">
        <f t="shared" si="45"/>
        <v>36.0758486331029</v>
      </c>
      <c r="EM61" s="20">
        <f t="shared" si="19"/>
        <v>304.98472803598753</v>
      </c>
      <c r="EN61" s="59">
        <f t="shared" si="20"/>
        <v>598.31806136932084</v>
      </c>
      <c r="EO61" s="59">
        <f ca="1">AVERAGE(OFFSET($EN$3,0,0,'Données projet'!$E$15+1,1))-AVERAGE(OFFSET($H$3,0,0,'Données projet'!$E$15+1,1))</f>
        <v>207.2913533618397</v>
      </c>
      <c r="EP61" s="59">
        <f t="shared" si="46"/>
        <v>230.81096055024483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3.9759142913494712</v>
      </c>
      <c r="EW61" s="21">
        <f>EXP(-LN(2)/25)*EW60+(1-EXP(-LN(2)/25))/(LN(2)/25)*Calculateur!ER61*Calculateur!ET61*VLOOKUP('Données projet'!$B$15,Paramètres!$A$1:$I$89,3,0)*0.475*44/12</f>
        <v>2.7749048609517266</v>
      </c>
      <c r="EX61" s="21">
        <f>EXP(-LN(2)/2)*EX60+(1-EXP(-LN(2)/2))/(LN(2)/2)*ER61*EU61*VLOOKUP('Données projet'!$B$15,Paramètres!$A$1:$I$89,3,0)*0.475*44/12</f>
        <v>1.8002365684616708E-4</v>
      </c>
      <c r="EY61" s="22">
        <f t="shared" si="21"/>
        <v>6.7509991759580439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</v>
      </c>
      <c r="N62" s="13">
        <f>IF('Données projet'!$A$36&gt;35,N61+M62-V61,IF(A62&lt;'Données projet'!$A$36,$K$205^A62,IF(A62='Données projet'!$A$36,'Données projet'!$B$36,N61+M62-V61)))</f>
        <v>334.99999999999989</v>
      </c>
      <c r="O62" s="13">
        <f>N62*VLOOKUP('Données projet'!$B$9,Paramètres!$A$1:$I$89,3,0)*VLOOKUP('Données projet'!$B$9,Paramètres!$A$1:$I$89,5,0)</f>
        <v>156.77999999999994</v>
      </c>
      <c r="P62" s="13">
        <f t="shared" si="33"/>
        <v>40.115378305457938</v>
      </c>
      <c r="Q62" s="20">
        <f t="shared" si="53"/>
        <v>342.92611721533916</v>
      </c>
      <c r="R62" s="59">
        <f t="shared" si="0"/>
        <v>636.25945054867248</v>
      </c>
      <c r="S62" s="59">
        <f ca="1">AVERAGE(OFFSET($R$3,0,0,'Données projet'!$E$9+1,1))-AVERAGE(OFFSET($H$3,0,0,'Données projet'!$E$9+1,1))</f>
        <v>319.22903094674564</v>
      </c>
      <c r="T62" s="59">
        <f t="shared" si="34"/>
        <v>254.58690973142848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5.1106675525575458</v>
      </c>
      <c r="AA62" s="21">
        <f>EXP(-LN(2)/25)*AA61+(1-EXP(-LN(2)/25))/(LN(2)/25)*Calculateur!V62*Calculateur!X62*VLOOKUP('Données projet'!$B$9,Paramètres!$A$1:$I$89,3,0)*0.475*44/12</f>
        <v>4.9903555839417226</v>
      </c>
      <c r="AB62" s="21">
        <f>EXP(-LN(2)/2)*AB61+(1-EXP(-LN(2)/2))/(LN(2)/2)*V62*Y62*VLOOKUP('Données projet'!$B$9,Paramètres!$A$1:$I$89,3,0)*0.475*44/12</f>
        <v>4.7660346370872873E-4</v>
      </c>
      <c r="AC62" s="22">
        <f t="shared" si="3"/>
        <v>10.101499739962977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12.2</v>
      </c>
      <c r="AI62" s="13">
        <f>IF('Données projet'!$A$62&gt;35,AI61+AH62-AQ61,IF(A62&lt;'Données projet'!$A$62,$AF$205^A62,IF(A62='Données projet'!$A$62,'Données projet'!$B$62,AI61+AH62-AQ61)))</f>
        <v>741.79999999999961</v>
      </c>
      <c r="AJ62" s="13">
        <f>AI62*VLOOKUP('Données projet'!$B$10,Paramètres!$A$1:$I$89,3,0)*VLOOKUP('Données projet'!$B$10,Paramètres!$A$1:$I$89,5,0)</f>
        <v>414.66619999999978</v>
      </c>
      <c r="AK62" s="13">
        <f t="shared" si="35"/>
        <v>94.743752206399009</v>
      </c>
      <c r="AL62" s="20">
        <f t="shared" si="4"/>
        <v>887.22233342614447</v>
      </c>
      <c r="AM62" s="59">
        <f t="shared" si="5"/>
        <v>1180.5556667594778</v>
      </c>
      <c r="AN62" s="59">
        <f ca="1">AVERAGE(OFFSET($AM$3,0,0,'Données projet'!$E$10+1,1))-AVERAGE(OFFSET($H$3,0,0,'Données projet'!$E$10+1,1))</f>
        <v>544.48194192356823</v>
      </c>
      <c r="AO62" s="59">
        <f t="shared" si="36"/>
        <v>668.20427590250733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4.133809941523082</v>
      </c>
      <c r="AV62" s="21">
        <f>EXP(-LN(2)/25)*AV61+(1-EXP(-LN(2)/25))/(LN(2)/25)*Calculateur!AQ62*Calculateur!AS62*VLOOKUP('Données projet'!$B$10,Paramètres!$A$1:$I$89,3,0)*0.475*44/12</f>
        <v>19.069504218082379</v>
      </c>
      <c r="AW62" s="21">
        <f>EXP(-LN(2)/2)*AW61+(1-EXP(-LN(2)/2))/(LN(2)/2)*AQ62*AT62*VLOOKUP('Données projet'!$B$10,Paramètres!$A$1:$I$89,3,0)*0.475*44/12</f>
        <v>6.2225559730879048E-4</v>
      </c>
      <c r="AX62" s="21">
        <f t="shared" si="6"/>
        <v>23.203936415202772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9.4</v>
      </c>
      <c r="BD62" s="12">
        <f>IF('Données projet'!$A$88&gt;35,BD61+BC62-BL61,IF(A62&lt;'Données projet'!$A$88,$BA$205^A62,IF(A62='Données projet'!$A$88,'Données projet'!$B$88,BD61+BC62-BL61)))</f>
        <v>263.59999999999997</v>
      </c>
      <c r="BE62" s="13">
        <f>BD62*VLOOKUP('Données projet'!$B$11,Paramètres!$A$1:$I$89,3,0)*VLOOKUP('Données projet'!$B$11,Paramètres!$A$1:$I$89,5,0)</f>
        <v>238.50527999999997</v>
      </c>
      <c r="BF62" s="13">
        <f t="shared" si="37"/>
        <v>58.117817352909881</v>
      </c>
      <c r="BG62" s="20">
        <f t="shared" si="7"/>
        <v>516.61856122298457</v>
      </c>
      <c r="BH62" s="59">
        <f t="shared" si="8"/>
        <v>809.95189455631794</v>
      </c>
      <c r="BI62" s="59">
        <f ca="1">AVERAGE(OFFSET($BH$3,0,0,'Données projet'!$E$11+1,1))-AVERAGE(OFFSET($H$3,0,0,'Données projet'!$E$11+1,1))</f>
        <v>405.7176439604217</v>
      </c>
      <c r="BJ62" s="59">
        <f t="shared" si="38"/>
        <v>278.21741231699929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4.1152867567630222</v>
      </c>
      <c r="BQ62" s="21">
        <f>EXP(-LN(2)/25)*BQ61+(1-EXP(-LN(2)/25))/(LN(2)/25)*Calculateur!BL62*Calculateur!BN62*VLOOKUP('Données projet'!$B$11,Paramètres!$A$1:$I$89,3,0)*0.475*44/12</f>
        <v>4.1908502337485487</v>
      </c>
      <c r="BR62" s="21">
        <f>EXP(-LN(2)/2)*BR61+(1-EXP(-LN(2)/2))/(LN(2)/2)*BL62*BO62*VLOOKUP('Données projet'!$B$11,Paramètres!$A$1:$I$89,3,0)*0.475*44/12</f>
        <v>3.6834948731766552E-4</v>
      </c>
      <c r="BS62" s="22">
        <f t="shared" si="9"/>
        <v>8.3065053399988891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5.2</v>
      </c>
      <c r="CT62" s="12">
        <f>IF('Données projet'!$A$140&gt;35,CT61+CS62-DB61,IF(A62&lt;'Données projet'!$A$140,$CQ$205^A62,IF(A62='Données projet'!$A$140,'Données projet'!$B$140,CT61+CS62-DB61)))</f>
        <v>239.79999999999984</v>
      </c>
      <c r="CU62" s="17">
        <f>CT62*VLOOKUP('Données projet'!$B$13,Paramètres!$A$1:$I$89,3,0)*VLOOKUP('Données projet'!$B$13,Paramètres!$A$1:$I$89,5,0)</f>
        <v>190.78487999999987</v>
      </c>
      <c r="CV62" s="13">
        <f t="shared" si="41"/>
        <v>47.713437020051622</v>
      </c>
      <c r="CW62" s="20">
        <f t="shared" si="13"/>
        <v>415.384568809923</v>
      </c>
      <c r="CX62" s="59">
        <f t="shared" si="14"/>
        <v>708.71790214325631</v>
      </c>
      <c r="CY62" s="59">
        <f ca="1">AVERAGE(OFFSET($CX$3,0,0,'Données projet'!$E$13+1,1))-AVERAGE(OFFSET($H$3,0,0,'Données projet'!$E$13+1,1))</f>
        <v>299.10536994156814</v>
      </c>
      <c r="CZ62" s="59">
        <f t="shared" si="42"/>
        <v>292.57799203101769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4.7419092295173222</v>
      </c>
      <c r="DG62" s="21">
        <f>EXP(-LN(2)/25)*DG61+(1-EXP(-LN(2)/25))/(LN(2)/25)*Calculateur!DB62*Calculateur!DD62*VLOOKUP('Données projet'!$B$13,Paramètres!$A$1:$I$89,3,0)*0.475*44/12</f>
        <v>4.8388422546371919</v>
      </c>
      <c r="DH62" s="21">
        <f>EXP(-LN(2)/2)*DH61+(1-EXP(-LN(2)/2))/(LN(2)/2)*DB62*DE62*VLOOKUP('Données projet'!$B$13,Paramètres!$A$1:$I$89,3,0)*0.475*44/12</f>
        <v>3.8724491269739831E-4</v>
      </c>
      <c r="DI62" s="22">
        <f t="shared" si="15"/>
        <v>9.581138729067213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6.4</v>
      </c>
      <c r="DO62" s="12">
        <f>IF('Données projet'!$A$166&gt;35,DO61+DN62-DW61,IF(A62&lt;'Données projet'!$A$166,$DL$205^A62,IF(A62='Données projet'!$A$166,'Données projet'!$B$166,DO61+DN62-DW61)))</f>
        <v>253.60000000000005</v>
      </c>
      <c r="DP62" s="17">
        <f>DO62*VLOOKUP('Données projet'!$B$14,Paramètres!$A$1:$I$89,3,0)*VLOOKUP('Données projet'!$B$14,Paramètres!$A$1:$I$89,5,0)</f>
        <v>166.15872000000002</v>
      </c>
      <c r="DQ62" s="13">
        <f t="shared" si="43"/>
        <v>42.228563636586422</v>
      </c>
      <c r="DR62" s="20">
        <f t="shared" si="16"/>
        <v>362.9411856670547</v>
      </c>
      <c r="DS62" s="59">
        <f t="shared" si="17"/>
        <v>656.27451900038795</v>
      </c>
      <c r="DT62" s="59">
        <f ca="1">AVERAGE(OFFSET($DS$3,0,0,'Données projet'!$E$14+1,1))-AVERAGE(OFFSET($H$3,0,0,'Données projet'!$E$14+1,1))</f>
        <v>295.92103934364718</v>
      </c>
      <c r="DU62" s="59">
        <f t="shared" si="44"/>
        <v>304.84379909635476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2.5115644423184578</v>
      </c>
      <c r="EB62" s="21">
        <f>EXP(-LN(2)/25)*EB61+(1-EXP(-LN(2)/25))/(LN(2)/25)*Calculateur!DW62*Calculateur!DY62*VLOOKUP('Données projet'!$B$14,Paramètres!$A$1:$I$89,3,0)*0.475*44/12</f>
        <v>3.2006773067825169</v>
      </c>
      <c r="EC62" s="21">
        <f>EXP(-LN(2)/2)*EC61+(1-EXP(-LN(2)/2))/(LN(2)/2)*DW62*DZ62*VLOOKUP('Données projet'!$B$14,Paramètres!$A$1:$I$89,3,0)*0.475*44/12</f>
        <v>2.4836411424464553E-4</v>
      </c>
      <c r="ED62" s="22">
        <f t="shared" si="18"/>
        <v>5.7124901132152193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2.125</v>
      </c>
      <c r="EJ62" s="12">
        <f>IF('Données projet'!$A$192&gt;35,EJ61+EI62-ER61,IF(A62&lt;'Données projet'!$A$192,$EG$205^A62,IF(A62='Données projet'!$A$192,'Données projet'!$B$192,EJ61+EI62-ER61)))</f>
        <v>234.625</v>
      </c>
      <c r="EK62" s="17">
        <f>EJ62*VLOOKUP('Données projet'!$B$15,Paramètres!$A$1:$I$89,3,0)*VLOOKUP('Données projet'!$B$15,Paramètres!$A$1:$I$89,5,0)</f>
        <v>140.30575000000002</v>
      </c>
      <c r="EL62" s="13">
        <f t="shared" si="45"/>
        <v>36.367039630957962</v>
      </c>
      <c r="EM62" s="20">
        <f t="shared" si="19"/>
        <v>307.70510860725182</v>
      </c>
      <c r="EN62" s="59">
        <f t="shared" si="20"/>
        <v>601.03844194058513</v>
      </c>
      <c r="EO62" s="59">
        <f ca="1">AVERAGE(OFFSET($EN$3,0,0,'Données projet'!$E$15+1,1))-AVERAGE(OFFSET($H$3,0,0,'Données projet'!$E$15+1,1))</f>
        <v>207.2913533618397</v>
      </c>
      <c r="EP62" s="59">
        <f t="shared" si="46"/>
        <v>230.81096055024483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3.8979490371643704</v>
      </c>
      <c r="EW62" s="21">
        <f>EXP(-LN(2)/25)*EW61+(1-EXP(-LN(2)/25))/(LN(2)/25)*Calculateur!ER62*Calculateur!ET62*VLOOKUP('Données projet'!$B$15,Paramètres!$A$1:$I$89,3,0)*0.475*44/12</f>
        <v>2.6990249416030974</v>
      </c>
      <c r="EX62" s="21">
        <f>EXP(-LN(2)/2)*EX61+(1-EXP(-LN(2)/2))/(LN(2)/2)*ER62*EU62*VLOOKUP('Données projet'!$B$15,Paramètres!$A$1:$I$89,3,0)*0.475*44/12</f>
        <v>1.2729594852992478E-4</v>
      </c>
      <c r="EY62" s="22">
        <f t="shared" si="21"/>
        <v>6.5971012747159969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348.5</v>
      </c>
      <c r="L63" s="12">
        <f>VLOOKUP(A63,'Données projet'!$A$35:$I$55,9,0)</f>
        <v>13.5</v>
      </c>
      <c r="M63" s="12">
        <f t="array" ref="M63">INDEX(L:L,MIN(IF(ISNUMBER(L63:L259),ROW(L63:L259),"")))</f>
        <v>13.5</v>
      </c>
      <c r="N63" s="13">
        <f>IF('Données projet'!$A$36&gt;35,N62+M63-V62,IF(A63&lt;'Données projet'!$A$36,$K$205^A63,IF(A63='Données projet'!$A$36,'Données projet'!$B$36,N62+M63-V62)))</f>
        <v>348.49999999999989</v>
      </c>
      <c r="O63" s="13">
        <f>N63*VLOOKUP('Données projet'!$B$9,Paramètres!$A$1:$I$89,3,0)*VLOOKUP('Données projet'!$B$9,Paramètres!$A$1:$I$89,5,0)</f>
        <v>163.09799999999993</v>
      </c>
      <c r="P63" s="13">
        <f t="shared" si="33"/>
        <v>41.540496136845142</v>
      </c>
      <c r="Q63" s="20">
        <f t="shared" si="53"/>
        <v>356.4120474383385</v>
      </c>
      <c r="R63" s="59">
        <f t="shared" si="0"/>
        <v>649.74538077167176</v>
      </c>
      <c r="S63" s="59">
        <f ca="1">AVERAGE(OFFSET($R$3,0,0,'Données projet'!$E$9+1,1))-AVERAGE(OFFSET($H$3,0,0,'Données projet'!$E$9+1,1))</f>
        <v>319.22903094674564</v>
      </c>
      <c r="T63" s="59">
        <f t="shared" si="34"/>
        <v>254.58690973142848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5.0104504790513014</v>
      </c>
      <c r="AA63" s="21">
        <f>EXP(-LN(2)/25)*AA62+(1-EXP(-LN(2)/25))/(LN(2)/25)*Calculateur!V63*Calculateur!X63*VLOOKUP('Données projet'!$B$9,Paramètres!$A$1:$I$89,3,0)*0.475*44/12</f>
        <v>4.853894048067442</v>
      </c>
      <c r="AB63" s="21">
        <f>EXP(-LN(2)/2)*AB62+(1-EXP(-LN(2)/2))/(LN(2)/2)*V63*Y63*VLOOKUP('Données projet'!$B$9,Paramètres!$A$1:$I$89,3,0)*0.475*44/12</f>
        <v>3.3700954112543871E-4</v>
      </c>
      <c r="AC63" s="22">
        <f t="shared" si="3"/>
        <v>9.8646815366598677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754</v>
      </c>
      <c r="AG63" s="12">
        <f>VLOOKUP(A63,'Données projet'!$A$61:$I$81,9,0)</f>
        <v>12.2</v>
      </c>
      <c r="AH63" s="12">
        <f t="array" ref="AH63">INDEX(AG:AG,MIN(IF(ISNUMBER(AG63:AG259),ROW(AG63:AG259),"")))</f>
        <v>12.2</v>
      </c>
      <c r="AI63" s="13">
        <f>IF('Données projet'!$A$62&gt;35,AI62+AH63-AQ62,IF(A63&lt;'Données projet'!$A$62,$AF$205^A63,IF(A63='Données projet'!$A$62,'Données projet'!$B$62,AI62+AH63-AQ62)))</f>
        <v>753.99999999999966</v>
      </c>
      <c r="AJ63" s="13">
        <f>AI63*VLOOKUP('Données projet'!$B$10,Paramètres!$A$1:$I$89,3,0)*VLOOKUP('Données projet'!$B$10,Paramètres!$A$1:$I$89,5,0)</f>
        <v>421.48599999999982</v>
      </c>
      <c r="AK63" s="13">
        <f t="shared" si="35"/>
        <v>96.119269055816147</v>
      </c>
      <c r="AL63" s="20">
        <f t="shared" si="4"/>
        <v>901.49584360554616</v>
      </c>
      <c r="AM63" s="59">
        <f t="shared" si="5"/>
        <v>1194.8291769388795</v>
      </c>
      <c r="AN63" s="59">
        <f ca="1">AVERAGE(OFFSET($AM$3,0,0,'Données projet'!$E$10+1,1))-AVERAGE(OFFSET($H$3,0,0,'Données projet'!$E$10+1,1))</f>
        <v>544.48194192356823</v>
      </c>
      <c r="AO63" s="59">
        <f t="shared" si="36"/>
        <v>668.20427590250733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35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4.0527484499449136</v>
      </c>
      <c r="AV63" s="21">
        <f>EXP(-LN(2)/25)*AV62+(1-EXP(-LN(2)/25))/(LN(2)/25)*Calculateur!AQ63*Calculateur!AS63*VLOOKUP('Données projet'!$B$10,Paramètres!$A$1:$I$89,3,0)*0.475*44/12</f>
        <v>18.548047622417272</v>
      </c>
      <c r="AW63" s="21">
        <f>EXP(-LN(2)/2)*AW62+(1-EXP(-LN(2)/2))/(LN(2)/2)*AQ63*AT63*VLOOKUP('Données projet'!$B$10,Paramètres!$A$1:$I$89,3,0)*0.475*44/12</f>
        <v>4.4000115248833135E-4</v>
      </c>
      <c r="AX63" s="21">
        <f t="shared" si="6"/>
        <v>22.601236073514674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273</v>
      </c>
      <c r="BB63" s="12">
        <f>VLOOKUP(A63,'Données projet'!$A$87:$I$107,9,0)</f>
        <v>9.4</v>
      </c>
      <c r="BC63" s="12">
        <f t="array" ref="BC63">INDEX(BB:BB,MIN(IF(ISNUMBER(BB63:BB259),ROW(BB63:BB259),"")))</f>
        <v>9.4</v>
      </c>
      <c r="BD63" s="12">
        <f>IF('Données projet'!$A$88&gt;35,BD62+BC63-BL62,IF(A63&lt;'Données projet'!$A$88,$BA$205^A63,IF(A63='Données projet'!$A$88,'Données projet'!$B$88,BD62+BC63-BL62)))</f>
        <v>272.99999999999994</v>
      </c>
      <c r="BE63" s="13">
        <f>BD63*VLOOKUP('Données projet'!$B$11,Paramètres!$A$1:$I$89,3,0)*VLOOKUP('Données projet'!$B$11,Paramètres!$A$1:$I$89,5,0)</f>
        <v>247.01039999999992</v>
      </c>
      <c r="BF63" s="13">
        <f t="shared" si="37"/>
        <v>59.945315462121812</v>
      </c>
      <c r="BG63" s="20">
        <f t="shared" si="7"/>
        <v>534.61453776319524</v>
      </c>
      <c r="BH63" s="59">
        <f t="shared" si="8"/>
        <v>827.94787109652862</v>
      </c>
      <c r="BI63" s="59">
        <f ca="1">AVERAGE(OFFSET($BH$3,0,0,'Données projet'!$E$11+1,1))-AVERAGE(OFFSET($H$3,0,0,'Données projet'!$E$11+1,1))</f>
        <v>405.7176439604217</v>
      </c>
      <c r="BJ63" s="59">
        <f t="shared" si="38"/>
        <v>278.21741231699929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4.0345884935399718</v>
      </c>
      <c r="BQ63" s="21">
        <f>EXP(-LN(2)/25)*BQ62+(1-EXP(-LN(2)/25))/(LN(2)/25)*Calculateur!BL63*Calculateur!BN63*VLOOKUP('Données projet'!$B$11,Paramètres!$A$1:$I$89,3,0)*0.475*44/12</f>
        <v>4.0762512137194591</v>
      </c>
      <c r="BR63" s="21">
        <f>EXP(-LN(2)/2)*BR62+(1-EXP(-LN(2)/2))/(LN(2)/2)*BL63*BO63*VLOOKUP('Données projet'!$B$11,Paramètres!$A$1:$I$89,3,0)*0.475*44/12</f>
        <v>2.6046242032890947E-4</v>
      </c>
      <c r="BS63" s="22">
        <f t="shared" si="9"/>
        <v>8.1111001696797587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245</v>
      </c>
      <c r="CR63" s="12">
        <f>VLOOKUP(A63,'Données projet'!$A$139:$I$159,9,0)</f>
        <v>5.2</v>
      </c>
      <c r="CS63" s="12">
        <f t="array" ref="CS63">INDEX(CR:CR,MIN(IF(ISNUMBER(CR63:CR259),ROW(CR63:CR259),"")))</f>
        <v>5.2</v>
      </c>
      <c r="CT63" s="12">
        <f>IF('Données projet'!$A$140&gt;35,CT62+CS63-DB62,IF(A63&lt;'Données projet'!$A$140,$CQ$205^A63,IF(A63='Données projet'!$A$140,'Données projet'!$B$140,CT62+CS63-DB62)))</f>
        <v>244.99999999999983</v>
      </c>
      <c r="CU63" s="17">
        <f>CT63*VLOOKUP('Données projet'!$B$13,Paramètres!$A$1:$I$89,3,0)*VLOOKUP('Données projet'!$B$13,Paramètres!$A$1:$I$89,5,0)</f>
        <v>194.92199999999988</v>
      </c>
      <c r="CV63" s="13">
        <f t="shared" si="41"/>
        <v>48.626512129794925</v>
      </c>
      <c r="CW63" s="20">
        <f t="shared" si="13"/>
        <v>424.18032529272591</v>
      </c>
      <c r="CX63" s="59">
        <f t="shared" si="14"/>
        <v>717.51365862605917</v>
      </c>
      <c r="CY63" s="59">
        <f ca="1">AVERAGE(OFFSET($CX$3,0,0,'Données projet'!$E$13+1,1))-AVERAGE(OFFSET($H$3,0,0,'Données projet'!$E$13+1,1))</f>
        <v>299.10536994156814</v>
      </c>
      <c r="CZ63" s="59">
        <f t="shared" si="42"/>
        <v>292.57799203101769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12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4.6489232818055291</v>
      </c>
      <c r="DG63" s="21">
        <f>EXP(-LN(2)/25)*DG62+(1-EXP(-LN(2)/25))/(LN(2)/25)*Calculateur!DB63*Calculateur!DD63*VLOOKUP('Données projet'!$B$13,Paramètres!$A$1:$I$89,3,0)*0.475*44/12</f>
        <v>4.706523858720483</v>
      </c>
      <c r="DH63" s="21">
        <f>EXP(-LN(2)/2)*DH62+(1-EXP(-LN(2)/2))/(LN(2)/2)*DB63*DE63*VLOOKUP('Données projet'!$B$13,Paramètres!$A$1:$I$89,3,0)*0.475*44/12</f>
        <v>2.7382350374832292E-4</v>
      </c>
      <c r="DI63" s="22">
        <f t="shared" si="15"/>
        <v>9.3557209640297607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260</v>
      </c>
      <c r="DM63" s="12">
        <f>VLOOKUP(A63,'Données projet'!$A$165:$I$185,9,0)</f>
        <v>6.4</v>
      </c>
      <c r="DN63" s="12">
        <f t="array" ref="DN63">INDEX(DM:DM,MIN(IF(ISNUMBER(DM63:DM259),ROW(DM63:DM259),"")))</f>
        <v>6.4</v>
      </c>
      <c r="DO63" s="12">
        <f>IF('Données projet'!$A$166&gt;35,DO62+DN63-DW62,IF(A63&lt;'Données projet'!$A$166,$DL$205^A63,IF(A63='Données projet'!$A$166,'Données projet'!$B$166,DO62+DN63-DW62)))</f>
        <v>260.00000000000006</v>
      </c>
      <c r="DP63" s="17">
        <f>DO63*VLOOKUP('Données projet'!$B$14,Paramètres!$A$1:$I$89,3,0)*VLOOKUP('Données projet'!$B$14,Paramètres!$A$1:$I$89,5,0)</f>
        <v>170.35200000000003</v>
      </c>
      <c r="DQ63" s="13">
        <f t="shared" si="43"/>
        <v>43.168850382694487</v>
      </c>
      <c r="DR63" s="20">
        <f t="shared" si="16"/>
        <v>371.88214774985954</v>
      </c>
      <c r="DS63" s="59">
        <f t="shared" si="17"/>
        <v>665.2154810831928</v>
      </c>
      <c r="DT63" s="59">
        <f ca="1">AVERAGE(OFFSET($DS$3,0,0,'Données projet'!$E$14+1,1))-AVERAGE(OFFSET($H$3,0,0,'Données projet'!$E$14+1,1))</f>
        <v>295.92103934364718</v>
      </c>
      <c r="DU63" s="59">
        <f t="shared" si="44"/>
        <v>304.84379909635476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24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2.46231419550764</v>
      </c>
      <c r="EB63" s="21">
        <f>EXP(-LN(2)/25)*EB62+(1-EXP(-LN(2)/25))/(LN(2)/25)*Calculateur!DW63*Calculateur!DY63*VLOOKUP('Données projet'!$B$14,Paramètres!$A$1:$I$89,3,0)*0.475*44/12</f>
        <v>3.1131546175122446</v>
      </c>
      <c r="EC63" s="21">
        <f>EXP(-LN(2)/2)*EC62+(1-EXP(-LN(2)/2))/(LN(2)/2)*DW63*DZ63*VLOOKUP('Données projet'!$B$14,Paramètres!$A$1:$I$89,3,0)*0.475*44/12</f>
        <v>1.7561994938577926E-4</v>
      </c>
      <c r="ED63" s="22">
        <f t="shared" si="18"/>
        <v>5.5756444329692707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2.125</v>
      </c>
      <c r="EJ63" s="12">
        <f>IF('Données projet'!$A$192&gt;35,EJ62+EI63-ER62,IF(A63&lt;'Données projet'!$A$192,$EG$205^A63,IF(A63='Données projet'!$A$192,'Données projet'!$B$192,EJ62+EI63-ER62)))</f>
        <v>236.75</v>
      </c>
      <c r="EK63" s="17">
        <f>EJ63*VLOOKUP('Données projet'!$B$15,Paramètres!$A$1:$I$89,3,0)*VLOOKUP('Données projet'!$B$15,Paramètres!$A$1:$I$89,5,0)</f>
        <v>141.57650000000001</v>
      </c>
      <c r="EL63" s="13">
        <f t="shared" si="45"/>
        <v>36.657923802254089</v>
      </c>
      <c r="EM63" s="20">
        <f t="shared" si="19"/>
        <v>310.4249547889259</v>
      </c>
      <c r="EN63" s="59">
        <f t="shared" si="20"/>
        <v>603.75828812225927</v>
      </c>
      <c r="EO63" s="59">
        <f ca="1">AVERAGE(OFFSET($EN$3,0,0,'Données projet'!$E$15+1,1))-AVERAGE(OFFSET($H$3,0,0,'Données projet'!$E$15+1,1))</f>
        <v>207.2913533618397</v>
      </c>
      <c r="EP63" s="59">
        <f t="shared" si="46"/>
        <v>230.81096055024483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3.8215126340597299</v>
      </c>
      <c r="EW63" s="21">
        <f>EXP(-LN(2)/25)*EW62+(1-EXP(-LN(2)/25))/(LN(2)/25)*Calculateur!ER63*Calculateur!ET63*VLOOKUP('Données projet'!$B$15,Paramètres!$A$1:$I$89,3,0)*0.475*44/12</f>
        <v>2.6252199626394077</v>
      </c>
      <c r="EX63" s="21">
        <f>EXP(-LN(2)/2)*EX62+(1-EXP(-LN(2)/2))/(LN(2)/2)*ER63*EU63*VLOOKUP('Données projet'!$B$15,Paramètres!$A$1:$I$89,3,0)*0.475*44/12</f>
        <v>9.0011828423083539E-5</v>
      </c>
      <c r="EY63" s="22">
        <f t="shared" si="21"/>
        <v>6.44682260852756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</v>
      </c>
      <c r="N64" s="13">
        <f>IF('Données projet'!$A$36&gt;35,N63+M64-V63,IF(A64&lt;'Données projet'!$A$36,$K$205^A64,IF(A64='Données projet'!$A$36,'Données projet'!$B$36,N63+M64-V63)))</f>
        <v>283.99999999999989</v>
      </c>
      <c r="O64" s="13">
        <f>N64*VLOOKUP('Données projet'!$B$9,Paramètres!$A$1:$I$89,3,0)*VLOOKUP('Données projet'!$B$9,Paramètres!$A$1:$I$89,5,0)</f>
        <v>132.91199999999995</v>
      </c>
      <c r="P64" s="13">
        <f t="shared" si="33"/>
        <v>34.668367043546574</v>
      </c>
      <c r="Q64" s="20">
        <f t="shared" si="53"/>
        <v>291.86913926751021</v>
      </c>
      <c r="R64" s="59">
        <f t="shared" si="0"/>
        <v>585.20247260084352</v>
      </c>
      <c r="S64" s="59">
        <f ca="1">AVERAGE(OFFSET($R$3,0,0,'Données projet'!$E$9+1,1))-AVERAGE(OFFSET($H$3,0,0,'Données projet'!$E$9+1,1))</f>
        <v>319.22903094674564</v>
      </c>
      <c r="T64" s="59">
        <f t="shared" si="34"/>
        <v>254.58690973142848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4.9121986012301351</v>
      </c>
      <c r="AA64" s="21">
        <f>EXP(-LN(2)/25)*AA63+(1-EXP(-LN(2)/25))/(LN(2)/25)*Calculateur!V64*Calculateur!X64*VLOOKUP('Données projet'!$B$9,Paramètres!$A$1:$I$89,3,0)*0.475*44/12</f>
        <v>4.7211640600678431</v>
      </c>
      <c r="AB64" s="21">
        <f>EXP(-LN(2)/2)*AB63+(1-EXP(-LN(2)/2))/(LN(2)/2)*V64*Y64*VLOOKUP('Données projet'!$B$9,Paramètres!$A$1:$I$89,3,0)*0.475*44/12</f>
        <v>2.3830173185436439E-4</v>
      </c>
      <c r="AC64" s="22">
        <f t="shared" si="3"/>
        <v>9.6336009630298332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</v>
      </c>
      <c r="AI64" s="13">
        <f>IF('Données projet'!$A$62&gt;35,AI63+AH64-AQ63,IF(A64&lt;'Données projet'!$A$62,$AF$205^A64,IF(A64='Données projet'!$A$62,'Données projet'!$B$62,AI63+AH64-AQ63)))</f>
        <v>728.99999999999966</v>
      </c>
      <c r="AJ64" s="13">
        <f>AI64*VLOOKUP('Données projet'!$B$10,Paramètres!$A$1:$I$89,3,0)*VLOOKUP('Données projet'!$B$10,Paramètres!$A$1:$I$89,5,0)</f>
        <v>407.51099999999985</v>
      </c>
      <c r="AK64" s="13">
        <f t="shared" si="35"/>
        <v>93.297752590617137</v>
      </c>
      <c r="AL64" s="20">
        <f t="shared" si="4"/>
        <v>872.24191076199133</v>
      </c>
      <c r="AM64" s="59">
        <f t="shared" si="5"/>
        <v>1165.5752440953247</v>
      </c>
      <c r="AN64" s="59">
        <f ca="1">AVERAGE(OFFSET($AM$3,0,0,'Données projet'!$E$10+1,1))-AVERAGE(OFFSET($H$3,0,0,'Données projet'!$E$10+1,1))</f>
        <v>544.48194192356823</v>
      </c>
      <c r="AO64" s="59">
        <f t="shared" si="36"/>
        <v>668.20427590250733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3.9732765247739654</v>
      </c>
      <c r="AV64" s="21">
        <f>EXP(-LN(2)/25)*AV63+(1-EXP(-LN(2)/25))/(LN(2)/25)*Calculateur!AQ64*Calculateur!AS64*VLOOKUP('Données projet'!$B$10,Paramètres!$A$1:$I$89,3,0)*0.475*44/12</f>
        <v>18.040850284782838</v>
      </c>
      <c r="AW64" s="21">
        <f>EXP(-LN(2)/2)*AW63+(1-EXP(-LN(2)/2))/(LN(2)/2)*AQ64*AT64*VLOOKUP('Données projet'!$B$10,Paramètres!$A$1:$I$89,3,0)*0.475*44/12</f>
        <v>3.1112779865439524E-4</v>
      </c>
      <c r="AX64" s="21">
        <f t="shared" si="6"/>
        <v>22.014437937355456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8.8000000000000007</v>
      </c>
      <c r="BD64" s="12">
        <f>IF('Données projet'!$A$88&gt;35,BD63+BC64-BL63,IF(A64&lt;'Données projet'!$A$88,$BA$205^A64,IF(A64='Données projet'!$A$88,'Données projet'!$B$88,BD63+BC64-BL63)))</f>
        <v>253.79999999999995</v>
      </c>
      <c r="BE64" s="13">
        <f>BD64*VLOOKUP('Données projet'!$B$11,Paramètres!$A$1:$I$89,3,0)*VLOOKUP('Données projet'!$B$11,Paramètres!$A$1:$I$89,5,0)</f>
        <v>229.63823999999994</v>
      </c>
      <c r="BF64" s="13">
        <f t="shared" si="37"/>
        <v>56.204453396569633</v>
      </c>
      <c r="BG64" s="20">
        <f t="shared" si="7"/>
        <v>497.84269099902531</v>
      </c>
      <c r="BH64" s="59">
        <f t="shared" si="8"/>
        <v>791.17602433235857</v>
      </c>
      <c r="BI64" s="59">
        <f ca="1">AVERAGE(OFFSET($BH$3,0,0,'Données projet'!$E$11+1,1))-AVERAGE(OFFSET($H$3,0,0,'Données projet'!$E$11+1,1))</f>
        <v>405.7176439604217</v>
      </c>
      <c r="BJ64" s="59">
        <f t="shared" si="38"/>
        <v>278.21741231699929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3.9554726740376447</v>
      </c>
      <c r="BQ64" s="21">
        <f>EXP(-LN(2)/25)*BQ63+(1-EXP(-LN(2)/25))/(LN(2)/25)*Calculateur!BL64*Calculateur!BN64*VLOOKUP('Données projet'!$B$11,Paramètres!$A$1:$I$89,3,0)*0.475*44/12</f>
        <v>3.9647859099195655</v>
      </c>
      <c r="BR64" s="21">
        <f>EXP(-LN(2)/2)*BR63+(1-EXP(-LN(2)/2))/(LN(2)/2)*BL64*BO64*VLOOKUP('Données projet'!$B$11,Paramètres!$A$1:$I$89,3,0)*0.475*44/12</f>
        <v>1.8417474365883276E-4</v>
      </c>
      <c r="BS64" s="22">
        <f t="shared" si="9"/>
        <v>7.9204427587008688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4.4000000000000004</v>
      </c>
      <c r="CT64" s="12">
        <f>IF('Données projet'!$A$140&gt;35,CT63+CS64-DB63,IF(A64&lt;'Données projet'!$A$140,$CQ$205^A64,IF(A64='Données projet'!$A$140,'Données projet'!$B$140,CT63+CS64-DB63)))</f>
        <v>237.39999999999984</v>
      </c>
      <c r="CU64" s="17">
        <f>CT64*VLOOKUP('Données projet'!$B$13,Paramètres!$A$1:$I$89,3,0)*VLOOKUP('Données projet'!$B$13,Paramètres!$A$1:$I$89,5,0)</f>
        <v>188.87543999999988</v>
      </c>
      <c r="CV64" s="13">
        <f t="shared" si="41"/>
        <v>47.291242769027726</v>
      </c>
      <c r="CW64" s="20">
        <f t="shared" si="13"/>
        <v>411.32363915605634</v>
      </c>
      <c r="CX64" s="59">
        <f t="shared" si="14"/>
        <v>704.65697248938966</v>
      </c>
      <c r="CY64" s="59">
        <f ca="1">AVERAGE(OFFSET($CX$3,0,0,'Données projet'!$E$13+1,1))-AVERAGE(OFFSET($H$3,0,0,'Données projet'!$E$13+1,1))</f>
        <v>299.10536994156814</v>
      </c>
      <c r="CZ64" s="59">
        <f t="shared" si="42"/>
        <v>292.57799203101769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4.5577607318125359</v>
      </c>
      <c r="DG64" s="21">
        <f>EXP(-LN(2)/25)*DG63+(1-EXP(-LN(2)/25))/(LN(2)/25)*Calculateur!DB64*Calculateur!DD64*VLOOKUP('Données projet'!$B$13,Paramètres!$A$1:$I$89,3,0)*0.475*44/12</f>
        <v>4.5778237162984388</v>
      </c>
      <c r="DH64" s="21">
        <f>EXP(-LN(2)/2)*DH63+(1-EXP(-LN(2)/2))/(LN(2)/2)*DB64*DE64*VLOOKUP('Données projet'!$B$13,Paramètres!$A$1:$I$89,3,0)*0.475*44/12</f>
        <v>1.9362245634869916E-4</v>
      </c>
      <c r="DI64" s="22">
        <f t="shared" si="15"/>
        <v>9.1357780705673246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5.8</v>
      </c>
      <c r="DO64" s="12">
        <f>IF('Données projet'!$A$166&gt;35,DO63+DN64-DW63,IF(A64&lt;'Données projet'!$A$166,$DL$205^A64,IF(A64='Données projet'!$A$166,'Données projet'!$B$166,DO63+DN64-DW63)))</f>
        <v>241.80000000000007</v>
      </c>
      <c r="DP64" s="17">
        <f>DO64*VLOOKUP('Données projet'!$B$14,Paramètres!$A$1:$I$89,3,0)*VLOOKUP('Données projet'!$B$14,Paramètres!$A$1:$I$89,5,0)</f>
        <v>158.42736000000005</v>
      </c>
      <c r="DQ64" s="13">
        <f t="shared" si="43"/>
        <v>40.487598405868248</v>
      </c>
      <c r="DR64" s="20">
        <f t="shared" si="16"/>
        <v>346.44355255688725</v>
      </c>
      <c r="DS64" s="59">
        <f t="shared" si="17"/>
        <v>639.77688589022057</v>
      </c>
      <c r="DT64" s="59">
        <f ca="1">AVERAGE(OFFSET($DS$3,0,0,'Données projet'!$E$14+1,1))-AVERAGE(OFFSET($H$3,0,0,'Données projet'!$E$14+1,1))</f>
        <v>295.92103934364718</v>
      </c>
      <c r="DU64" s="59">
        <f t="shared" si="44"/>
        <v>304.84379909635476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2.4140297159970978</v>
      </c>
      <c r="EB64" s="21">
        <f>EXP(-LN(2)/25)*EB63+(1-EXP(-LN(2)/25))/(LN(2)/25)*Calculateur!DW64*Calculateur!DY64*VLOOKUP('Données projet'!$B$14,Paramètres!$A$1:$I$89,3,0)*0.475*44/12</f>
        <v>3.0280252407826862</v>
      </c>
      <c r="EC64" s="21">
        <f>EXP(-LN(2)/2)*EC63+(1-EXP(-LN(2)/2))/(LN(2)/2)*DW64*DZ64*VLOOKUP('Données projet'!$B$14,Paramètres!$A$1:$I$89,3,0)*0.475*44/12</f>
        <v>1.2418205712232277E-4</v>
      </c>
      <c r="ED64" s="22">
        <f t="shared" si="18"/>
        <v>5.4421791388369067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2.125</v>
      </c>
      <c r="EJ64" s="12">
        <f>IF('Données projet'!$A$192&gt;35,EJ63+EI64-ER63,IF(A64&lt;'Données projet'!$A$192,$EG$205^A64,IF(A64='Données projet'!$A$192,'Données projet'!$B$192,EJ63+EI64-ER63)))</f>
        <v>238.875</v>
      </c>
      <c r="EK64" s="17">
        <f>EJ64*VLOOKUP('Données projet'!$B$15,Paramètres!$A$1:$I$89,3,0)*VLOOKUP('Données projet'!$B$15,Paramètres!$A$1:$I$89,5,0)</f>
        <v>142.84725</v>
      </c>
      <c r="EL64" s="13">
        <f t="shared" si="45"/>
        <v>36.948504220019856</v>
      </c>
      <c r="EM64" s="20">
        <f t="shared" si="19"/>
        <v>313.1442719332012</v>
      </c>
      <c r="EN64" s="59">
        <f t="shared" si="20"/>
        <v>606.47760526653451</v>
      </c>
      <c r="EO64" s="59">
        <f ca="1">AVERAGE(OFFSET($EN$3,0,0,'Données projet'!$E$15+1,1))-AVERAGE(OFFSET($H$3,0,0,'Données projet'!$E$15+1,1))</f>
        <v>207.2913533618397</v>
      </c>
      <c r="EP64" s="59">
        <f t="shared" si="46"/>
        <v>230.81096055024483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3.7465751021983689</v>
      </c>
      <c r="EW64" s="21">
        <f>EXP(-LN(2)/25)*EW63+(1-EXP(-LN(2)/25))/(LN(2)/25)*Calculateur!ER64*Calculateur!ET64*VLOOKUP('Données projet'!$B$15,Paramètres!$A$1:$I$89,3,0)*0.475*44/12</f>
        <v>2.5534331847067153</v>
      </c>
      <c r="EX64" s="21">
        <f>EXP(-LN(2)/2)*EX63+(1-EXP(-LN(2)/2))/(LN(2)/2)*ER64*EU64*VLOOKUP('Données projet'!$B$15,Paramètres!$A$1:$I$89,3,0)*0.475*44/12</f>
        <v>6.3647974264962389E-5</v>
      </c>
      <c r="EY64" s="22">
        <f t="shared" si="21"/>
        <v>6.3000719348793499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</v>
      </c>
      <c r="N65" s="13">
        <f>IF('Données projet'!$A$36&gt;35,N64+M65-V64,IF(A65&lt;'Données projet'!$A$36,$K$205^A65,IF(A65='Données projet'!$A$36,'Données projet'!$B$36,N64+M65-V64)))</f>
        <v>299.49999999999989</v>
      </c>
      <c r="O65" s="13">
        <f>N65*VLOOKUP('Données projet'!$B$9,Paramètres!$A$1:$I$89,3,0)*VLOOKUP('Données projet'!$B$9,Paramètres!$A$1:$I$89,5,0)</f>
        <v>140.16599999999994</v>
      </c>
      <c r="P65" s="13">
        <f t="shared" si="33"/>
        <v>36.33503114084008</v>
      </c>
      <c r="Q65" s="20">
        <f t="shared" si="53"/>
        <v>307.40596257029637</v>
      </c>
      <c r="R65" s="59">
        <f t="shared" si="0"/>
        <v>600.73929590362968</v>
      </c>
      <c r="S65" s="59">
        <f ca="1">AVERAGE(OFFSET($R$3,0,0,'Données projet'!$E$9+1,1))-AVERAGE(OFFSET($H$3,0,0,'Données projet'!$E$9+1,1))</f>
        <v>319.22903094674564</v>
      </c>
      <c r="T65" s="59">
        <f t="shared" si="34"/>
        <v>254.58690973142848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4.8158733828053144</v>
      </c>
      <c r="AA65" s="21">
        <f>EXP(-LN(2)/25)*AA64+(1-EXP(-LN(2)/25))/(LN(2)/25)*Calculateur!V65*Calculateur!X65*VLOOKUP('Données projet'!$B$9,Paramètres!$A$1:$I$89,3,0)*0.475*44/12</f>
        <v>4.59206358057006</v>
      </c>
      <c r="AB65" s="21">
        <f>EXP(-LN(2)/2)*AB64+(1-EXP(-LN(2)/2))/(LN(2)/2)*V65*Y65*VLOOKUP('Données projet'!$B$9,Paramètres!$A$1:$I$89,3,0)*0.475*44/12</f>
        <v>1.6850477056271938E-4</v>
      </c>
      <c r="AC65" s="22">
        <f t="shared" si="3"/>
        <v>9.4081054681459371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</v>
      </c>
      <c r="AI65" s="13">
        <f>IF('Données projet'!$A$62&gt;35,AI64+AH65-AQ64,IF(A65&lt;'Données projet'!$A$62,$AF$205^A65,IF(A65='Données projet'!$A$62,'Données projet'!$B$62,AI64+AH65-AQ64)))</f>
        <v>738.99999999999966</v>
      </c>
      <c r="AJ65" s="13">
        <f>AI65*VLOOKUP('Données projet'!$B$10,Paramètres!$A$1:$I$89,3,0)*VLOOKUP('Données projet'!$B$10,Paramètres!$A$1:$I$89,5,0)</f>
        <v>413.10099999999983</v>
      </c>
      <c r="AK65" s="13">
        <f t="shared" si="35"/>
        <v>94.427689670462357</v>
      </c>
      <c r="AL65" s="20">
        <f t="shared" si="4"/>
        <v>883.94580117605494</v>
      </c>
      <c r="AM65" s="59">
        <f t="shared" si="5"/>
        <v>1177.2791345093883</v>
      </c>
      <c r="AN65" s="59">
        <f ca="1">AVERAGE(OFFSET($AM$3,0,0,'Données projet'!$E$10+1,1))-AVERAGE(OFFSET($H$3,0,0,'Données projet'!$E$10+1,1))</f>
        <v>544.48194192356823</v>
      </c>
      <c r="AO65" s="59">
        <f t="shared" si="36"/>
        <v>668.20427590250733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3.8953629955825315</v>
      </c>
      <c r="AV65" s="21">
        <f>EXP(-LN(2)/25)*AV64+(1-EXP(-LN(2)/25))/(LN(2)/25)*Calculateur!AQ65*Calculateur!AS65*VLOOKUP('Données projet'!$B$10,Paramètres!$A$1:$I$89,3,0)*0.475*44/12</f>
        <v>17.547522285018367</v>
      </c>
      <c r="AW65" s="21">
        <f>EXP(-LN(2)/2)*AW64+(1-EXP(-LN(2)/2))/(LN(2)/2)*AQ65*AT65*VLOOKUP('Données projet'!$B$10,Paramètres!$A$1:$I$89,3,0)*0.475*44/12</f>
        <v>2.2000057624416567E-4</v>
      </c>
      <c r="AX65" s="21">
        <f t="shared" si="6"/>
        <v>21.443105281177143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8.8000000000000007</v>
      </c>
      <c r="BD65" s="12">
        <f>IF('Données projet'!$A$88&gt;35,BD64+BC65-BL64,IF(A65&lt;'Données projet'!$A$88,$BA$205^A65,IF(A65='Données projet'!$A$88,'Données projet'!$B$88,BD64+BC65-BL64)))</f>
        <v>262.59999999999997</v>
      </c>
      <c r="BE65" s="13">
        <f>BD65*VLOOKUP('Données projet'!$B$11,Paramètres!$A$1:$I$89,3,0)*VLOOKUP('Données projet'!$B$11,Paramètres!$A$1:$I$89,5,0)</f>
        <v>237.60047999999995</v>
      </c>
      <c r="BF65" s="13">
        <f t="shared" si="37"/>
        <v>57.922960533442058</v>
      </c>
      <c r="BG65" s="20">
        <f t="shared" si="7"/>
        <v>514.70332559574479</v>
      </c>
      <c r="BH65" s="59">
        <f t="shared" si="8"/>
        <v>808.03665892907816</v>
      </c>
      <c r="BI65" s="59">
        <f ca="1">AVERAGE(OFFSET($BH$3,0,0,'Données projet'!$E$11+1,1))-AVERAGE(OFFSET($H$3,0,0,'Données projet'!$E$11+1,1))</f>
        <v>405.7176439604217</v>
      </c>
      <c r="BJ65" s="59">
        <f t="shared" si="38"/>
        <v>278.21741231699929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3.8779082674998731</v>
      </c>
      <c r="BQ65" s="21">
        <f>EXP(-LN(2)/25)*BQ64+(1-EXP(-LN(2)/25))/(LN(2)/25)*Calculateur!BL65*Calculateur!BN65*VLOOKUP('Données projet'!$B$11,Paramètres!$A$1:$I$89,3,0)*0.475*44/12</f>
        <v>3.8563686307137854</v>
      </c>
      <c r="BR65" s="21">
        <f>EXP(-LN(2)/2)*BR64+(1-EXP(-LN(2)/2))/(LN(2)/2)*BL65*BO65*VLOOKUP('Données projet'!$B$11,Paramètres!$A$1:$I$89,3,0)*0.475*44/12</f>
        <v>1.3023121016445473E-4</v>
      </c>
      <c r="BS65" s="22">
        <f t="shared" si="9"/>
        <v>7.7344071294238228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4.4000000000000004</v>
      </c>
      <c r="CT65" s="12">
        <f>IF('Données projet'!$A$140&gt;35,CT64+CS65-DB64,IF(A65&lt;'Données projet'!$A$140,$CQ$205^A65,IF(A65='Données projet'!$A$140,'Données projet'!$B$140,CT64+CS65-DB64)))</f>
        <v>241.79999999999984</v>
      </c>
      <c r="CU65" s="17">
        <f>CT65*VLOOKUP('Données projet'!$B$13,Paramètres!$A$1:$I$89,3,0)*VLOOKUP('Données projet'!$B$13,Paramètres!$A$1:$I$89,5,0)</f>
        <v>192.37607999999989</v>
      </c>
      <c r="CV65" s="13">
        <f t="shared" si="41"/>
        <v>48.064889828485896</v>
      </c>
      <c r="CW65" s="20">
        <f t="shared" si="13"/>
        <v>418.76802245127936</v>
      </c>
      <c r="CX65" s="59">
        <f t="shared" si="14"/>
        <v>712.10135578461268</v>
      </c>
      <c r="CY65" s="59">
        <f ca="1">AVERAGE(OFFSET($CX$3,0,0,'Données projet'!$E$13+1,1))-AVERAGE(OFFSET($H$3,0,0,'Données projet'!$E$13+1,1))</f>
        <v>299.10536994156814</v>
      </c>
      <c r="CZ65" s="59">
        <f t="shared" si="42"/>
        <v>292.57799203101769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4.4683858238212402</v>
      </c>
      <c r="DG65" s="21">
        <f>EXP(-LN(2)/25)*DG64+(1-EXP(-LN(2)/25))/(LN(2)/25)*Calculateur!DB65*Calculateur!DD65*VLOOKUP('Données projet'!$B$13,Paramètres!$A$1:$I$89,3,0)*0.475*44/12</f>
        <v>4.4526428860389711</v>
      </c>
      <c r="DH65" s="21">
        <f>EXP(-LN(2)/2)*DH64+(1-EXP(-LN(2)/2))/(LN(2)/2)*DB65*DE65*VLOOKUP('Données projet'!$B$13,Paramètres!$A$1:$I$89,3,0)*0.475*44/12</f>
        <v>1.3691175187416146E-4</v>
      </c>
      <c r="DI65" s="22">
        <f t="shared" si="15"/>
        <v>8.9211656216120847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5.8</v>
      </c>
      <c r="DO65" s="12">
        <f>IF('Données projet'!$A$166&gt;35,DO64+DN65-DW64,IF(A65&lt;'Données projet'!$A$166,$DL$205^A65,IF(A65='Données projet'!$A$166,'Données projet'!$B$166,DO64+DN65-DW64)))</f>
        <v>247.60000000000008</v>
      </c>
      <c r="DP65" s="17">
        <f>DO65*VLOOKUP('Données projet'!$B$14,Paramètres!$A$1:$I$89,3,0)*VLOOKUP('Données projet'!$B$14,Paramètres!$A$1:$I$89,5,0)</f>
        <v>162.22752000000006</v>
      </c>
      <c r="DQ65" s="13">
        <f t="shared" si="43"/>
        <v>41.34453376038482</v>
      </c>
      <c r="DR65" s="20">
        <f t="shared" si="16"/>
        <v>354.554660299337</v>
      </c>
      <c r="DS65" s="59">
        <f t="shared" si="17"/>
        <v>647.88799363267026</v>
      </c>
      <c r="DT65" s="59">
        <f ca="1">AVERAGE(OFFSET($DS$3,0,0,'Données projet'!$E$14+1,1))-AVERAGE(OFFSET($H$3,0,0,'Données projet'!$E$14+1,1))</f>
        <v>295.92103934364718</v>
      </c>
      <c r="DU65" s="59">
        <f t="shared" si="44"/>
        <v>304.84379909635476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2.3666920656791328</v>
      </c>
      <c r="EB65" s="21">
        <f>EXP(-LN(2)/25)*EB64+(1-EXP(-LN(2)/25))/(LN(2)/25)*Calculateur!DW65*Calculateur!DY65*VLOOKUP('Données projet'!$B$14,Paramètres!$A$1:$I$89,3,0)*0.475*44/12</f>
        <v>2.945223731336557</v>
      </c>
      <c r="EC65" s="21">
        <f>EXP(-LN(2)/2)*EC64+(1-EXP(-LN(2)/2))/(LN(2)/2)*DW65*DZ65*VLOOKUP('Données projet'!$B$14,Paramètres!$A$1:$I$89,3,0)*0.475*44/12</f>
        <v>8.7809974692889631E-5</v>
      </c>
      <c r="ED65" s="22">
        <f t="shared" si="18"/>
        <v>5.3120036069903831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>
        <f>VLOOKUP(A65,'Données projet'!$A$191:$I$211,2,0)</f>
        <v>241</v>
      </c>
      <c r="EH65" s="12">
        <f>VLOOKUP(A65,'Données projet'!$A$191:$I$211,9,0)</f>
        <v>2.125</v>
      </c>
      <c r="EI65" s="12">
        <f t="array" ref="EI65">INDEX(EH:EH,MIN(IF(ISNUMBER(EH65:EH261),ROW(EH65:EH261),"")))</f>
        <v>2.125</v>
      </c>
      <c r="EJ65" s="12">
        <f>IF('Données projet'!$A$192&gt;35,EJ64+EI65-ER64,IF(A65&lt;'Données projet'!$A$192,$EG$205^A65,IF(A65='Données projet'!$A$192,'Données projet'!$B$192,EJ64+EI65-ER64)))</f>
        <v>241</v>
      </c>
      <c r="EK65" s="17">
        <f>EJ65*VLOOKUP('Données projet'!$B$15,Paramètres!$A$1:$I$89,3,0)*VLOOKUP('Données projet'!$B$15,Paramètres!$A$1:$I$89,5,0)</f>
        <v>144.11799999999999</v>
      </c>
      <c r="EL65" s="13">
        <f t="shared" si="45"/>
        <v>37.238783899454731</v>
      </c>
      <c r="EM65" s="20">
        <f t="shared" si="19"/>
        <v>315.8630652915503</v>
      </c>
      <c r="EN65" s="59">
        <f t="shared" si="20"/>
        <v>609.19639862488361</v>
      </c>
      <c r="EO65" s="59">
        <f ca="1">AVERAGE(OFFSET($EN$3,0,0,'Données projet'!$E$15+1,1))-AVERAGE(OFFSET($H$3,0,0,'Données projet'!$E$15+1,1))</f>
        <v>207.2913533618397</v>
      </c>
      <c r="EP65" s="59">
        <f t="shared" si="46"/>
        <v>230.81096055024483</v>
      </c>
      <c r="EQ65" s="15">
        <f>IF(ISNA(VLOOKUP(A65,'Données projet'!$A$191:$I$211,3,0)),0,VLOOKUP(A65,'Données projet'!$A$191:$I$211,3,0))</f>
        <v>9</v>
      </c>
      <c r="ER65" s="15">
        <f>IF(ISNA(VLOOKUP(A65,'Données projet'!$A$191:$I$211,4,0)),0,VLOOKUP(A65,'Données projet'!$A$191:$I$211,4,0))</f>
        <v>241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3.673107049629428</v>
      </c>
      <c r="EW65" s="21">
        <f>EXP(-LN(2)/25)*EW64+(1-EXP(-LN(2)/25))/(LN(2)/25)*Calculateur!ER65*Calculateur!ET65*VLOOKUP('Données projet'!$B$15,Paramètres!$A$1:$I$89,3,0)*0.475*44/12</f>
        <v>2.4836094199916952</v>
      </c>
      <c r="EX65" s="21">
        <f>EXP(-LN(2)/2)*EX64+(1-EXP(-LN(2)/2))/(LN(2)/2)*ER65*EU65*VLOOKUP('Données projet'!$B$15,Paramètres!$A$1:$I$89,3,0)*0.475*44/12</f>
        <v>4.500591421154177E-5</v>
      </c>
      <c r="EY65" s="22">
        <f t="shared" si="21"/>
        <v>6.156761475535335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15.5</v>
      </c>
      <c r="N66" s="13">
        <f>IF('Données projet'!$A$36&gt;35,N65+M66-V65,IF(A66&lt;'Données projet'!$A$36,$K$205^A66,IF(A66='Données projet'!$A$36,'Données projet'!$B$36,N65+M66-V65)))</f>
        <v>314.99999999999989</v>
      </c>
      <c r="O66" s="13">
        <f>N66*VLOOKUP('Données projet'!$B$9,Paramètres!$A$1:$I$89,3,0)*VLOOKUP('Données projet'!$B$9,Paramètres!$A$1:$I$89,5,0)</f>
        <v>147.41999999999993</v>
      </c>
      <c r="P66" s="13">
        <f t="shared" si="33"/>
        <v>37.991680647570291</v>
      </c>
      <c r="Q66" s="20">
        <f t="shared" si="53"/>
        <v>322.92534379451814</v>
      </c>
      <c r="R66" s="59">
        <f t="shared" si="0"/>
        <v>616.25867712785146</v>
      </c>
      <c r="S66" s="59">
        <f ca="1">AVERAGE(OFFSET($R$3,0,0,'Données projet'!$E$9+1,1))-AVERAGE(OFFSET($H$3,0,0,'Données projet'!$E$9+1,1))</f>
        <v>319.22903094674564</v>
      </c>
      <c r="T66" s="59">
        <f t="shared" si="34"/>
        <v>254.58690973142848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4.721437043161222</v>
      </c>
      <c r="AA66" s="21">
        <f>EXP(-LN(2)/25)*AA65+(1-EXP(-LN(2)/25))/(LN(2)/25)*Calculateur!V66*Calculateur!X66*VLOOKUP('Données projet'!$B$9,Paramètres!$A$1:$I$89,3,0)*0.475*44/12</f>
        <v>4.4664933604732431</v>
      </c>
      <c r="AB66" s="21">
        <f>EXP(-LN(2)/2)*AB65+(1-EXP(-LN(2)/2))/(LN(2)/2)*V66*Y66*VLOOKUP('Données projet'!$B$9,Paramètres!$A$1:$I$89,3,0)*0.475*44/12</f>
        <v>1.1915086592718222E-4</v>
      </c>
      <c r="AC66" s="22">
        <f t="shared" si="3"/>
        <v>9.1880495545003917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</v>
      </c>
      <c r="AI66" s="13">
        <f>IF('Données projet'!$A$62&gt;35,AI65+AH66-AQ65,IF(A66&lt;'Données projet'!$A$62,$AF$205^A66,IF(A66='Données projet'!$A$62,'Données projet'!$B$62,AI65+AH66-AQ65)))</f>
        <v>748.99999999999966</v>
      </c>
      <c r="AJ66" s="13">
        <f>AI66*VLOOKUP('Données projet'!$B$10,Paramètres!$A$1:$I$89,3,0)*VLOOKUP('Données projet'!$B$10,Paramètres!$A$1:$I$89,5,0)</f>
        <v>418.6909999999998</v>
      </c>
      <c r="AK66" s="13">
        <f t="shared" si="35"/>
        <v>95.555848328260851</v>
      </c>
      <c r="AL66" s="20">
        <f t="shared" si="4"/>
        <v>895.64659417172061</v>
      </c>
      <c r="AM66" s="59">
        <f t="shared" si="5"/>
        <v>1188.9799275050539</v>
      </c>
      <c r="AN66" s="59">
        <f ca="1">AVERAGE(OFFSET($AM$3,0,0,'Données projet'!$E$10+1,1))-AVERAGE(OFFSET($H$3,0,0,'Données projet'!$E$10+1,1))</f>
        <v>544.48194192356823</v>
      </c>
      <c r="AO66" s="59">
        <f t="shared" si="36"/>
        <v>668.20427590250733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3.8189773031759811</v>
      </c>
      <c r="AV66" s="21">
        <f>EXP(-LN(2)/25)*AV65+(1-EXP(-LN(2)/25))/(LN(2)/25)*Calculateur!AQ66*Calculateur!AS66*VLOOKUP('Données projet'!$B$10,Paramètres!$A$1:$I$89,3,0)*0.475*44/12</f>
        <v>17.067684365350448</v>
      </c>
      <c r="AW66" s="21">
        <f>EXP(-LN(2)/2)*AW65+(1-EXP(-LN(2)/2))/(LN(2)/2)*AQ66*AT66*VLOOKUP('Données projet'!$B$10,Paramètres!$A$1:$I$89,3,0)*0.475*44/12</f>
        <v>1.5556389932719762E-4</v>
      </c>
      <c r="AX66" s="21">
        <f t="shared" si="6"/>
        <v>20.886817232425756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8.8000000000000007</v>
      </c>
      <c r="BD66" s="12">
        <f>IF('Données projet'!$A$88&gt;35,BD65+BC66-BL65,IF(A66&lt;'Données projet'!$A$88,$BA$205^A66,IF(A66='Données projet'!$A$88,'Données projet'!$B$88,BD65+BC66-BL65)))</f>
        <v>271.39999999999998</v>
      </c>
      <c r="BE66" s="13">
        <f>BD66*VLOOKUP('Données projet'!$B$11,Paramètres!$A$1:$I$89,3,0)*VLOOKUP('Données projet'!$B$11,Paramètres!$A$1:$I$89,5,0)</f>
        <v>245.56271999999998</v>
      </c>
      <c r="BF66" s="13">
        <f t="shared" si="37"/>
        <v>59.634776048276898</v>
      </c>
      <c r="BG66" s="20">
        <f t="shared" si="7"/>
        <v>531.55230561741564</v>
      </c>
      <c r="BH66" s="59">
        <f t="shared" si="8"/>
        <v>824.8856389507489</v>
      </c>
      <c r="BI66" s="59">
        <f ca="1">AVERAGE(OFFSET($BH$3,0,0,'Données projet'!$E$11+1,1))-AVERAGE(OFFSET($H$3,0,0,'Données projet'!$E$11+1,1))</f>
        <v>405.7176439604217</v>
      </c>
      <c r="BJ66" s="59">
        <f t="shared" si="38"/>
        <v>278.21741231699929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3.8018648516646905</v>
      </c>
      <c r="BQ66" s="21">
        <f>EXP(-LN(2)/25)*BQ65+(1-EXP(-LN(2)/25))/(LN(2)/25)*Calculateur!BL66*Calculateur!BN66*VLOOKUP('Données projet'!$B$11,Paramètres!$A$1:$I$89,3,0)*0.475*44/12</f>
        <v>3.7509160277093043</v>
      </c>
      <c r="BR66" s="21">
        <f>EXP(-LN(2)/2)*BR65+(1-EXP(-LN(2)/2))/(LN(2)/2)*BL66*BO66*VLOOKUP('Données projet'!$B$11,Paramètres!$A$1:$I$89,3,0)*0.475*44/12</f>
        <v>9.2087371829416379E-5</v>
      </c>
      <c r="BS66" s="22">
        <f t="shared" si="9"/>
        <v>7.5528729667458236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4.4000000000000004</v>
      </c>
      <c r="CT66" s="12">
        <f>IF('Données projet'!$A$140&gt;35,CT65+CS66-DB65,IF(A66&lt;'Données projet'!$A$140,$CQ$205^A66,IF(A66='Données projet'!$A$140,'Données projet'!$B$140,CT65+CS66-DB65)))</f>
        <v>246.19999999999985</v>
      </c>
      <c r="CU66" s="17">
        <f>CT66*VLOOKUP('Données projet'!$B$13,Paramètres!$A$1:$I$89,3,0)*VLOOKUP('Données projet'!$B$13,Paramètres!$A$1:$I$89,5,0)</f>
        <v>195.87671999999989</v>
      </c>
      <c r="CV66" s="13">
        <f t="shared" si="41"/>
        <v>48.836899853879942</v>
      </c>
      <c r="CW66" s="20">
        <f t="shared" si="13"/>
        <v>426.20955457884071</v>
      </c>
      <c r="CX66" s="59">
        <f t="shared" si="14"/>
        <v>719.54288791217402</v>
      </c>
      <c r="CY66" s="59">
        <f ca="1">AVERAGE(OFFSET($CX$3,0,0,'Données projet'!$E$13+1,1))-AVERAGE(OFFSET($H$3,0,0,'Données projet'!$E$13+1,1))</f>
        <v>299.10536994156814</v>
      </c>
      <c r="CZ66" s="59">
        <f t="shared" si="42"/>
        <v>292.57799203101769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4.3807635032623429</v>
      </c>
      <c r="DG66" s="21">
        <f>EXP(-LN(2)/25)*DG65+(1-EXP(-LN(2)/25))/(LN(2)/25)*Calculateur!DB66*Calculateur!DD66*VLOOKUP('Données projet'!$B$13,Paramètres!$A$1:$I$89,3,0)*0.475*44/12</f>
        <v>4.330885132165923</v>
      </c>
      <c r="DH66" s="21">
        <f>EXP(-LN(2)/2)*DH65+(1-EXP(-LN(2)/2))/(LN(2)/2)*DB66*DE66*VLOOKUP('Données projet'!$B$13,Paramètres!$A$1:$I$89,3,0)*0.475*44/12</f>
        <v>9.6811228174349578E-5</v>
      </c>
      <c r="DI66" s="22">
        <f t="shared" si="15"/>
        <v>8.7117454466564386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5.8</v>
      </c>
      <c r="DO66" s="12">
        <f>IF('Données projet'!$A$166&gt;35,DO65+DN66-DW65,IF(A66&lt;'Données projet'!$A$166,$DL$205^A66,IF(A66='Données projet'!$A$166,'Données projet'!$B$166,DO65+DN66-DW65)))</f>
        <v>253.40000000000009</v>
      </c>
      <c r="DP66" s="17">
        <f>DO66*VLOOKUP('Données projet'!$B$14,Paramètres!$A$1:$I$89,3,0)*VLOOKUP('Données projet'!$B$14,Paramètres!$A$1:$I$89,5,0)</f>
        <v>166.02768000000006</v>
      </c>
      <c r="DQ66" s="13">
        <f t="shared" si="43"/>
        <v>42.199135504117315</v>
      </c>
      <c r="DR66" s="20">
        <f t="shared" si="16"/>
        <v>362.66170366967111</v>
      </c>
      <c r="DS66" s="59">
        <f t="shared" si="17"/>
        <v>655.99503700300443</v>
      </c>
      <c r="DT66" s="59">
        <f ca="1">AVERAGE(OFFSET($DS$3,0,0,'Données projet'!$E$14+1,1))-AVERAGE(OFFSET($H$3,0,0,'Données projet'!$E$14+1,1))</f>
        <v>295.92103934364718</v>
      </c>
      <c r="DU66" s="59">
        <f t="shared" si="44"/>
        <v>304.84379909635476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2.3202826778107872</v>
      </c>
      <c r="EB66" s="21">
        <f>EXP(-LN(2)/25)*EB65+(1-EXP(-LN(2)/25))/(LN(2)/25)*Calculateur!DW66*Calculateur!DY66*VLOOKUP('Données projet'!$B$14,Paramètres!$A$1:$I$89,3,0)*0.475*44/12</f>
        <v>2.8646864335205744</v>
      </c>
      <c r="EC66" s="21">
        <f>EXP(-LN(2)/2)*EC65+(1-EXP(-LN(2)/2))/(LN(2)/2)*DW66*DZ66*VLOOKUP('Données projet'!$B$14,Paramètres!$A$1:$I$89,3,0)*0.475*44/12</f>
        <v>6.2091028561161383E-5</v>
      </c>
      <c r="ED66" s="22">
        <f t="shared" si="18"/>
        <v>5.185031202359923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207.2913533618397</v>
      </c>
      <c r="EP66" s="59">
        <f t="shared" si="46"/>
        <v>230.81096055024483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3.6010796607602766</v>
      </c>
      <c r="EW66" s="21">
        <f>EXP(-LN(2)/25)*EW65+(1-EXP(-LN(2)/25))/(LN(2)/25)*Calculateur!ER66*Calculateur!ET66*VLOOKUP('Données projet'!$B$15,Paramètres!$A$1:$I$89,3,0)*0.475*44/12</f>
        <v>2.4156949897946793</v>
      </c>
      <c r="EX66" s="21">
        <f>EXP(-LN(2)/2)*EX65+(1-EXP(-LN(2)/2))/(LN(2)/2)*ER66*EU66*VLOOKUP('Données projet'!$B$15,Paramètres!$A$1:$I$89,3,0)*0.475*44/12</f>
        <v>3.1823987132481194E-5</v>
      </c>
      <c r="EY66" s="22">
        <f t="shared" si="21"/>
        <v>6.0168064745420882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15.5</v>
      </c>
      <c r="N67" s="13">
        <f>IF('Données projet'!$A$36&gt;35,N66+M67-V66,IF(A67&lt;'Données projet'!$A$36,$K$205^A67,IF(A67='Données projet'!$A$36,'Données projet'!$B$36,N66+M67-V66)))</f>
        <v>330.49999999999989</v>
      </c>
      <c r="O67" s="13">
        <f>N67*VLOOKUP('Données projet'!$B$9,Paramètres!$A$1:$I$89,3,0)*VLOOKUP('Données projet'!$B$9,Paramètres!$A$1:$I$89,5,0)</f>
        <v>154.67399999999995</v>
      </c>
      <c r="P67" s="13">
        <f t="shared" si="33"/>
        <v>39.63886458604275</v>
      </c>
      <c r="Q67" s="20">
        <f t="shared" ref="Q67:Q98" si="54">(O67+P67)*0.475*44/12</f>
        <v>338.42823915402437</v>
      </c>
      <c r="R67" s="59">
        <f t="shared" ref="R67:R130" si="55">Q67+(I67+J67)*44/12</f>
        <v>631.76157248735763</v>
      </c>
      <c r="S67" s="59">
        <f ca="1">AVERAGE(OFFSET($R$3,0,0,'Données projet'!$E$9+1,1))-AVERAGE(OFFSET($H$3,0,0,'Données projet'!$E$9+1,1))</f>
        <v>319.22903094674564</v>
      </c>
      <c r="T67" s="59">
        <f t="shared" si="34"/>
        <v>254.58690973142848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4.6288525425370706</v>
      </c>
      <c r="AA67" s="21">
        <f>EXP(-LN(2)/25)*AA66+(1-EXP(-LN(2)/25))/(LN(2)/25)*Calculateur!V67*Calculateur!X67*VLOOKUP('Données projet'!$B$9,Paramètres!$A$1:$I$89,3,0)*0.475*44/12</f>
        <v>4.3443568646484243</v>
      </c>
      <c r="AB67" s="21">
        <f>EXP(-LN(2)/2)*AB66+(1-EXP(-LN(2)/2))/(LN(2)/2)*V67*Y67*VLOOKUP('Données projet'!$B$9,Paramètres!$A$1:$I$89,3,0)*0.475*44/12</f>
        <v>8.4252385281359705E-5</v>
      </c>
      <c r="AC67" s="22">
        <f t="shared" si="3"/>
        <v>8.9732936595707766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</v>
      </c>
      <c r="AI67" s="13">
        <f>IF('Données projet'!$A$62&gt;35,AI66+AH67-AQ66,IF(A67&lt;'Données projet'!$A$62,$AF$205^A67,IF(A67='Données projet'!$A$62,'Données projet'!$B$62,AI66+AH67-AQ66)))</f>
        <v>758.99999999999966</v>
      </c>
      <c r="AJ67" s="13">
        <f>AI67*VLOOKUP('Données projet'!$B$10,Paramètres!$A$1:$I$89,3,0)*VLOOKUP('Données projet'!$B$10,Paramètres!$A$1:$I$89,5,0)</f>
        <v>424.28099999999978</v>
      </c>
      <c r="AK67" s="13">
        <f t="shared" si="35"/>
        <v>96.682255052757768</v>
      </c>
      <c r="AL67" s="20">
        <f t="shared" si="4"/>
        <v>907.34433588355262</v>
      </c>
      <c r="AM67" s="59">
        <f t="shared" si="5"/>
        <v>1200.677669216886</v>
      </c>
      <c r="AN67" s="59">
        <f ca="1">AVERAGE(OFFSET($AM$3,0,0,'Données projet'!$E$10+1,1))-AVERAGE(OFFSET($H$3,0,0,'Données projet'!$E$10+1,1))</f>
        <v>544.48194192356823</v>
      </c>
      <c r="AO67" s="59">
        <f t="shared" si="36"/>
        <v>668.20427590250733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3.7440894876068511</v>
      </c>
      <c r="AV67" s="21">
        <f>EXP(-LN(2)/25)*AV66+(1-EXP(-LN(2)/25))/(LN(2)/25)*Calculateur!AQ67*Calculateur!AS67*VLOOKUP('Données projet'!$B$10,Paramètres!$A$1:$I$89,3,0)*0.475*44/12</f>
        <v>16.600967638829427</v>
      </c>
      <c r="AW67" s="21">
        <f>EXP(-LN(2)/2)*AW66+(1-EXP(-LN(2)/2))/(LN(2)/2)*AQ67*AT67*VLOOKUP('Données projet'!$B$10,Paramètres!$A$1:$I$89,3,0)*0.475*44/12</f>
        <v>1.1000028812208284E-4</v>
      </c>
      <c r="AX67" s="21">
        <f t="shared" si="6"/>
        <v>20.345167126724398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8.8000000000000007</v>
      </c>
      <c r="BD67" s="12">
        <f>IF('Données projet'!$A$88&gt;35,BD66+BC67-BL66,IF(A67&lt;'Données projet'!$A$88,$BA$205^A67,IF(A67='Données projet'!$A$88,'Données projet'!$B$88,BD66+BC67-BL66)))</f>
        <v>280.2</v>
      </c>
      <c r="BE67" s="13">
        <f>BD67*VLOOKUP('Données projet'!$B$11,Paramètres!$A$1:$I$89,3,0)*VLOOKUP('Données projet'!$B$11,Paramètres!$A$1:$I$89,5,0)</f>
        <v>253.52495999999999</v>
      </c>
      <c r="BF67" s="13">
        <f t="shared" si="37"/>
        <v>61.340141798422209</v>
      </c>
      <c r="BG67" s="20">
        <f t="shared" si="7"/>
        <v>548.39005229891859</v>
      </c>
      <c r="BH67" s="59">
        <f t="shared" si="8"/>
        <v>841.72338563225185</v>
      </c>
      <c r="BI67" s="59">
        <f ca="1">AVERAGE(OFFSET($BH$3,0,0,'Données projet'!$E$11+1,1))-AVERAGE(OFFSET($H$3,0,0,'Données projet'!$E$11+1,1))</f>
        <v>405.7176439604217</v>
      </c>
      <c r="BJ67" s="59">
        <f t="shared" si="38"/>
        <v>278.21741231699929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3.727312600832132</v>
      </c>
      <c r="BQ67" s="21">
        <f>EXP(-LN(2)/25)*BQ66+(1-EXP(-LN(2)/25))/(LN(2)/25)*Calculateur!BL67*Calculateur!BN67*VLOOKUP('Données projet'!$B$11,Paramètres!$A$1:$I$89,3,0)*0.475*44/12</f>
        <v>3.6483470316794921</v>
      </c>
      <c r="BR67" s="21">
        <f>EXP(-LN(2)/2)*BR66+(1-EXP(-LN(2)/2))/(LN(2)/2)*BL67*BO67*VLOOKUP('Données projet'!$B$11,Paramètres!$A$1:$I$89,3,0)*0.475*44/12</f>
        <v>6.5115605082227367E-5</v>
      </c>
      <c r="BS67" s="22">
        <f t="shared" si="9"/>
        <v>7.3757247481167063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4.4000000000000004</v>
      </c>
      <c r="CT67" s="12">
        <f>IF('Données projet'!$A$140&gt;35,CT66+CS67-DB66,IF(A67&lt;'Données projet'!$A$140,$CQ$205^A67,IF(A67='Données projet'!$A$140,'Données projet'!$B$140,CT66+CS67-DB66)))</f>
        <v>250.59999999999985</v>
      </c>
      <c r="CU67" s="17">
        <f>CT67*VLOOKUP('Données projet'!$B$13,Paramètres!$A$1:$I$89,3,0)*VLOOKUP('Données projet'!$B$13,Paramètres!$A$1:$I$89,5,0)</f>
        <v>199.3773599999999</v>
      </c>
      <c r="CV67" s="13">
        <f t="shared" si="41"/>
        <v>49.607305476717762</v>
      </c>
      <c r="CW67" s="20">
        <f t="shared" si="13"/>
        <v>433.64829237194994</v>
      </c>
      <c r="CX67" s="59">
        <f t="shared" si="14"/>
        <v>726.98162570528325</v>
      </c>
      <c r="CY67" s="59">
        <f ca="1">AVERAGE(OFFSET($CX$3,0,0,'Données projet'!$E$13+1,1))-AVERAGE(OFFSET($H$3,0,0,'Données projet'!$E$13+1,1))</f>
        <v>299.10536994156814</v>
      </c>
      <c r="CZ67" s="59">
        <f t="shared" si="42"/>
        <v>292.57799203101769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4.2948594029652671</v>
      </c>
      <c r="DG67" s="21">
        <f>EXP(-LN(2)/25)*DG66+(1-EXP(-LN(2)/25))/(LN(2)/25)*Calculateur!DB67*Calculateur!DD67*VLOOKUP('Données projet'!$B$13,Paramètres!$A$1:$I$89,3,0)*0.475*44/12</f>
        <v>4.2124568504754949</v>
      </c>
      <c r="DH67" s="21">
        <f>EXP(-LN(2)/2)*DH66+(1-EXP(-LN(2)/2))/(LN(2)/2)*DB67*DE67*VLOOKUP('Données projet'!$B$13,Paramètres!$A$1:$I$89,3,0)*0.475*44/12</f>
        <v>6.845587593708073E-5</v>
      </c>
      <c r="DI67" s="22">
        <f t="shared" si="15"/>
        <v>8.5073847093166997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5.8</v>
      </c>
      <c r="DO67" s="12">
        <f>IF('Données projet'!$A$166&gt;35,DO66+DN67-DW66,IF(A67&lt;'Données projet'!$A$166,$DL$205^A67,IF(A67='Données projet'!$A$166,'Données projet'!$B$166,DO66+DN67-DW66)))</f>
        <v>259.2000000000001</v>
      </c>
      <c r="DP67" s="17">
        <f>DO67*VLOOKUP('Données projet'!$B$14,Paramètres!$A$1:$I$89,3,0)*VLOOKUP('Données projet'!$B$14,Paramètres!$A$1:$I$89,5,0)</f>
        <v>169.82784000000007</v>
      </c>
      <c r="DQ67" s="13">
        <f t="shared" si="43"/>
        <v>43.051463198873812</v>
      </c>
      <c r="DR67" s="20">
        <f t="shared" si="16"/>
        <v>370.76478640470532</v>
      </c>
      <c r="DS67" s="59">
        <f t="shared" si="17"/>
        <v>664.09811973803858</v>
      </c>
      <c r="DT67" s="59">
        <f ca="1">AVERAGE(OFFSET($DS$3,0,0,'Données projet'!$E$14+1,1))-AVERAGE(OFFSET($H$3,0,0,'Données projet'!$E$14+1,1))</f>
        <v>295.92103934364718</v>
      </c>
      <c r="DU67" s="59">
        <f t="shared" si="44"/>
        <v>304.84379909635476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2.2747833497316083</v>
      </c>
      <c r="EB67" s="21">
        <f>EXP(-LN(2)/25)*EB66+(1-EXP(-LN(2)/25))/(LN(2)/25)*Calculateur!DW67*Calculateur!DY67*VLOOKUP('Données projet'!$B$14,Paramètres!$A$1:$I$89,3,0)*0.475*44/12</f>
        <v>2.786351432348642</v>
      </c>
      <c r="EC67" s="21">
        <f>EXP(-LN(2)/2)*EC66+(1-EXP(-LN(2)/2))/(LN(2)/2)*DW67*DZ67*VLOOKUP('Données projet'!$B$14,Paramètres!$A$1:$I$89,3,0)*0.475*44/12</f>
        <v>4.3904987346444815E-5</v>
      </c>
      <c r="ED67" s="22">
        <f t="shared" si="18"/>
        <v>5.0611786870675965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207.2913533618397</v>
      </c>
      <c r="EP67" s="59">
        <f t="shared" si="46"/>
        <v>230.81096055024483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3.5304646850544801</v>
      </c>
      <c r="EW67" s="21">
        <f>EXP(-LN(2)/25)*EW66+(1-EXP(-LN(2)/25))/(LN(2)/25)*Calculateur!ER67*Calculateur!ET67*VLOOKUP('Données projet'!$B$15,Paramètres!$A$1:$I$89,3,0)*0.475*44/12</f>
        <v>2.3496376832628654</v>
      </c>
      <c r="EX67" s="21">
        <f>EXP(-LN(2)/2)*EX66+(1-EXP(-LN(2)/2))/(LN(2)/2)*ER67*EU67*VLOOKUP('Données projet'!$B$15,Paramètres!$A$1:$I$89,3,0)*0.475*44/12</f>
        <v>2.2502957105770885E-5</v>
      </c>
      <c r="EY67" s="22">
        <f t="shared" si="21"/>
        <v>5.8801248712744512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15.5</v>
      </c>
      <c r="N68" s="13">
        <f>IF('Données projet'!$A$36&gt;35,N67+M68-V67,IF(A68&lt;'Données projet'!$A$36,$K$205^A68,IF(A68='Données projet'!$A$36,'Données projet'!$B$36,N67+M68-V67)))</f>
        <v>345.99999999999989</v>
      </c>
      <c r="O68" s="13">
        <f>N68*VLOOKUP('Données projet'!$B$9,Paramètres!$A$1:$I$89,3,0)*VLOOKUP('Données projet'!$B$9,Paramètres!$A$1:$I$89,5,0)</f>
        <v>161.92799999999994</v>
      </c>
      <c r="P68" s="13">
        <f t="shared" si="33"/>
        <v>41.277077571585316</v>
      </c>
      <c r="Q68" s="20">
        <f t="shared" si="54"/>
        <v>353.91551010384433</v>
      </c>
      <c r="R68" s="59">
        <f t="shared" si="55"/>
        <v>647.24884343717758</v>
      </c>
      <c r="S68" s="59">
        <f ca="1">AVERAGE(OFFSET($R$3,0,0,'Données projet'!$E$9+1,1))-AVERAGE(OFFSET($H$3,0,0,'Données projet'!$E$9+1,1))</f>
        <v>319.22903094674564</v>
      </c>
      <c r="T68" s="59">
        <f t="shared" si="34"/>
        <v>254.58690973142848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4.5380835674991902</v>
      </c>
      <c r="AA68" s="21">
        <f>EXP(-LN(2)/25)*AA67+(1-EXP(-LN(2)/25))/(LN(2)/25)*Calculateur!V68*Calculateur!X68*VLOOKUP('Données projet'!$B$9,Paramètres!$A$1:$I$89,3,0)*0.475*44/12</f>
        <v>4.2255601977248149</v>
      </c>
      <c r="AB68" s="21">
        <f>EXP(-LN(2)/2)*AB67+(1-EXP(-LN(2)/2))/(LN(2)/2)*V68*Y68*VLOOKUP('Données projet'!$B$9,Paramètres!$A$1:$I$89,3,0)*0.475*44/12</f>
        <v>5.9575432963591118E-5</v>
      </c>
      <c r="AC68" s="22">
        <f t="shared" ref="AC68:AC131" si="57">SUM(Z68:AB68)</f>
        <v>8.7637033406569689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769</v>
      </c>
      <c r="AG68" s="12">
        <f>VLOOKUP(A68,'Données projet'!$A$61:$I$81,9,0)</f>
        <v>10</v>
      </c>
      <c r="AH68" s="12">
        <f t="array" ref="AH68">INDEX(AG:AG,MIN(IF(ISNUMBER(AG68:AG264),ROW(AG68:AG264),"")))</f>
        <v>10</v>
      </c>
      <c r="AI68" s="13">
        <f>IF('Données projet'!$A$62&gt;35,AI67+AH68-AQ67,IF(A68&lt;'Données projet'!$A$62,$AF$205^A68,IF(A68='Données projet'!$A$62,'Données projet'!$B$62,AI67+AH68-AQ67)))</f>
        <v>768.99999999999966</v>
      </c>
      <c r="AJ68" s="13">
        <f>AI68*VLOOKUP('Données projet'!$B$10,Paramètres!$A$1:$I$89,3,0)*VLOOKUP('Données projet'!$B$10,Paramètres!$A$1:$I$89,5,0)</f>
        <v>429.87099999999981</v>
      </c>
      <c r="AK68" s="13">
        <f t="shared" si="35"/>
        <v>97.806935594587088</v>
      </c>
      <c r="AL68" s="20">
        <f t="shared" ref="AL68:AL131" si="58">(AJ68+AK68)*0.475*44/12</f>
        <v>919.03907116057201</v>
      </c>
      <c r="AM68" s="59">
        <f t="shared" ref="AM68:AM131" si="59">AL68+(AD68+AE68)*44/12</f>
        <v>1212.3724044939054</v>
      </c>
      <c r="AN68" s="59">
        <f ca="1">AVERAGE(OFFSET($AM$3,0,0,'Données projet'!$E$10+1,1))-AVERAGE(OFFSET($H$3,0,0,'Données projet'!$E$10+1,1))</f>
        <v>544.48194192356823</v>
      </c>
      <c r="AO68" s="59">
        <f t="shared" si="36"/>
        <v>668.20427590250733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769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3.6706701764239744</v>
      </c>
      <c r="AV68" s="21">
        <f>EXP(-LN(2)/25)*AV67+(1-EXP(-LN(2)/25))/(LN(2)/25)*Calculateur!AQ68*Calculateur!AS68*VLOOKUP('Données projet'!$B$10,Paramètres!$A$1:$I$89,3,0)*0.475*44/12</f>
        <v>16.147013305738689</v>
      </c>
      <c r="AW68" s="21">
        <f>EXP(-LN(2)/2)*AW67+(1-EXP(-LN(2)/2))/(LN(2)/2)*AQ68*AT68*VLOOKUP('Données projet'!$B$10,Paramètres!$A$1:$I$89,3,0)*0.475*44/12</f>
        <v>7.778194966359881E-5</v>
      </c>
      <c r="AX68" s="21">
        <f t="shared" ref="AX68:AX131" si="60">SUM(AU68:AW68)</f>
        <v>19.817761264112328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289</v>
      </c>
      <c r="BB68" s="12">
        <f>VLOOKUP(A68,'Données projet'!$A$87:$I$107,9,0)</f>
        <v>8.8000000000000007</v>
      </c>
      <c r="BC68" s="12">
        <f t="array" ref="BC68">INDEX(BB:BB,MIN(IF(ISNUMBER(BB68:BB264),ROW(BB68:BB264),"")))</f>
        <v>8.8000000000000007</v>
      </c>
      <c r="BD68" s="12">
        <f>IF('Données projet'!$A$88&gt;35,BD67+BC68-BL67,IF(A68&lt;'Données projet'!$A$88,$BA$205^A68,IF(A68='Données projet'!$A$88,'Données projet'!$B$88,BD67+BC68-BL67)))</f>
        <v>289</v>
      </c>
      <c r="BE68" s="13">
        <f>BD68*VLOOKUP('Données projet'!$B$11,Paramètres!$A$1:$I$89,3,0)*VLOOKUP('Données projet'!$B$11,Paramètres!$A$1:$I$89,5,0)</f>
        <v>261.48719999999997</v>
      </c>
      <c r="BF68" s="13">
        <f t="shared" si="37"/>
        <v>63.039283586802391</v>
      </c>
      <c r="BG68" s="20">
        <f t="shared" ref="BG68:BG131" si="61">(BE68+BF68)*0.475*44/12</f>
        <v>565.21695891368086</v>
      </c>
      <c r="BH68" s="59">
        <f t="shared" ref="BH68:BH131" si="62">BG68+(AY68+AZ68)*44/12</f>
        <v>858.55029224701411</v>
      </c>
      <c r="BI68" s="59">
        <f ca="1">AVERAGE(OFFSET($BH$3,0,0,'Données projet'!$E$11+1,1))-AVERAGE(OFFSET($H$3,0,0,'Données projet'!$E$11+1,1))</f>
        <v>405.7176439604217</v>
      </c>
      <c r="BJ68" s="59">
        <f t="shared" si="38"/>
        <v>278.21741231699929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3.6542222741660173</v>
      </c>
      <c r="BQ68" s="21">
        <f>EXP(-LN(2)/25)*BQ67+(1-EXP(-LN(2)/25))/(LN(2)/25)*Calculateur!BL68*Calculateur!BN68*VLOOKUP('Données projet'!$B$11,Paramètres!$A$1:$I$89,3,0)*0.475*44/12</f>
        <v>3.5485827902399842</v>
      </c>
      <c r="BR68" s="21">
        <f>EXP(-LN(2)/2)*BR67+(1-EXP(-LN(2)/2))/(LN(2)/2)*BL68*BO68*VLOOKUP('Données projet'!$B$11,Paramètres!$A$1:$I$89,3,0)*0.475*44/12</f>
        <v>4.604368591470819E-5</v>
      </c>
      <c r="BS68" s="22">
        <f t="shared" ref="BS68:BS131" si="63">SUM(BP68:BR68)</f>
        <v>7.2028511080919166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255</v>
      </c>
      <c r="CR68" s="12">
        <f>VLOOKUP(A68,'Données projet'!$A$139:$I$159,9,0)</f>
        <v>4.4000000000000004</v>
      </c>
      <c r="CS68" s="12">
        <f t="array" ref="CS68">INDEX(CR:CR,MIN(IF(ISNUMBER(CR68:CR264),ROW(CR68:CR264),"")))</f>
        <v>4.4000000000000004</v>
      </c>
      <c r="CT68" s="12">
        <f>IF('Données projet'!$A$140&gt;35,CT67+CS68-DB67,IF(A68&lt;'Données projet'!$A$140,$CQ$205^A68,IF(A68='Données projet'!$A$140,'Données projet'!$B$140,CT67+CS68-DB67)))</f>
        <v>254.99999999999986</v>
      </c>
      <c r="CU68" s="17">
        <f>CT68*VLOOKUP('Données projet'!$B$13,Paramètres!$A$1:$I$89,3,0)*VLOOKUP('Données projet'!$B$13,Paramètres!$A$1:$I$89,5,0)</f>
        <v>202.8779999999999</v>
      </c>
      <c r="CV68" s="13">
        <f t="shared" si="41"/>
        <v>50.376138116990084</v>
      </c>
      <c r="CW68" s="20">
        <f t="shared" ref="CW68:CW131" si="67">(CU68+CV68)*0.475*44/12</f>
        <v>441.08429055375751</v>
      </c>
      <c r="CX68" s="59">
        <f t="shared" ref="CX68:CX131" si="68">CW68+(CO68+CP68)*44/12</f>
        <v>734.41762388709083</v>
      </c>
      <c r="CY68" s="59">
        <f ca="1">AVERAGE(OFFSET($CX$3,0,0,'Données projet'!$E$13+1,1))-AVERAGE(OFFSET($H$3,0,0,'Données projet'!$E$13+1,1))</f>
        <v>299.10536994156814</v>
      </c>
      <c r="CZ68" s="59">
        <f t="shared" si="42"/>
        <v>292.57799203101769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11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4.2106398296786898</v>
      </c>
      <c r="DG68" s="21">
        <f>EXP(-LN(2)/25)*DG67+(1-EXP(-LN(2)/25))/(LN(2)/25)*Calculateur!DB68*Calculateur!DD68*VLOOKUP('Données projet'!$B$13,Paramètres!$A$1:$I$89,3,0)*0.475*44/12</f>
        <v>4.0972669963757644</v>
      </c>
      <c r="DH68" s="21">
        <f>EXP(-LN(2)/2)*DH67+(1-EXP(-LN(2)/2))/(LN(2)/2)*DB68*DE68*VLOOKUP('Données projet'!$B$13,Paramètres!$A$1:$I$89,3,0)*0.475*44/12</f>
        <v>4.8405614087174789E-5</v>
      </c>
      <c r="DI68" s="22">
        <f t="shared" ref="DI68:DI131" si="69">SUM(DF68:DH68)</f>
        <v>8.3079552316685419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265</v>
      </c>
      <c r="DM68" s="12">
        <f>VLOOKUP(A68,'Données projet'!$A$165:$I$185,9,0)</f>
        <v>5.8</v>
      </c>
      <c r="DN68" s="12">
        <f t="array" ref="DN68">INDEX(DM:DM,MIN(IF(ISNUMBER(DM68:DM264),ROW(DM68:DM264),"")))</f>
        <v>5.8</v>
      </c>
      <c r="DO68" s="12">
        <f>IF('Données projet'!$A$166&gt;35,DO67+DN68-DW67,IF(A68&lt;'Données projet'!$A$166,$DL$205^A68,IF(A68='Données projet'!$A$166,'Données projet'!$B$166,DO67+DN68-DW67)))</f>
        <v>265.00000000000011</v>
      </c>
      <c r="DP68" s="17">
        <f>DO68*VLOOKUP('Données projet'!$B$14,Paramètres!$A$1:$I$89,3,0)*VLOOKUP('Données projet'!$B$14,Paramètres!$A$1:$I$89,5,0)</f>
        <v>173.62800000000007</v>
      </c>
      <c r="DQ68" s="13">
        <f t="shared" si="43"/>
        <v>43.901573588714463</v>
      </c>
      <c r="DR68" s="20">
        <f t="shared" ref="DR68:DR131" si="70">(DP68+DQ68)*0.475*44/12</f>
        <v>378.86400733367782</v>
      </c>
      <c r="DS68" s="59">
        <f t="shared" ref="DS68:DS131" si="71">DR68+(DJ68+DK68)*44/12</f>
        <v>672.19734066701108</v>
      </c>
      <c r="DT68" s="59">
        <f ca="1">AVERAGE(OFFSET($DS$3,0,0,'Données projet'!$E$14+1,1))-AVERAGE(OFFSET($H$3,0,0,'Données projet'!$E$14+1,1))</f>
        <v>295.92103934364718</v>
      </c>
      <c r="DU68" s="59">
        <f t="shared" si="44"/>
        <v>304.84379909635476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22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2.2301762357242123</v>
      </c>
      <c r="EB68" s="21">
        <f>EXP(-LN(2)/25)*EB67+(1-EXP(-LN(2)/25))/(LN(2)/25)*Calculateur!DW68*Calculateur!DY68*VLOOKUP('Données projet'!$B$14,Paramètres!$A$1:$I$89,3,0)*0.475*44/12</f>
        <v>2.7101585059032147</v>
      </c>
      <c r="EC68" s="21">
        <f>EXP(-LN(2)/2)*EC67+(1-EXP(-LN(2)/2))/(LN(2)/2)*DW68*DZ68*VLOOKUP('Données projet'!$B$14,Paramètres!$A$1:$I$89,3,0)*0.475*44/12</f>
        <v>3.1045514280580692E-5</v>
      </c>
      <c r="ED68" s="22">
        <f t="shared" ref="ED68:ED131" si="72">SUM(EA68:EC68)</f>
        <v>4.9403657871417073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207.2913533618397</v>
      </c>
      <c r="EP68" s="59">
        <f t="shared" si="46"/>
        <v>230.81096055024483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3.4612344259513921</v>
      </c>
      <c r="EW68" s="21">
        <f>EXP(-LN(2)/25)*EW67+(1-EXP(-LN(2)/25))/(LN(2)/25)*Calculateur!ER68*Calculateur!ET68*VLOOKUP('Données projet'!$B$15,Paramètres!$A$1:$I$89,3,0)*0.475*44/12</f>
        <v>2.2853867172519666</v>
      </c>
      <c r="EX68" s="21">
        <f>EXP(-LN(2)/2)*EX67+(1-EXP(-LN(2)/2))/(LN(2)/2)*ER68*EU68*VLOOKUP('Données projet'!$B$15,Paramètres!$A$1:$I$89,3,0)*0.475*44/12</f>
        <v>1.5911993566240597E-5</v>
      </c>
      <c r="EY68" s="22">
        <f t="shared" ref="EY68:EY131" si="75">SUM(EV68:EX68)</f>
        <v>5.746637055196925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15.5</v>
      </c>
      <c r="N69" s="13">
        <f>IF('Données projet'!$A$36&gt;35,N68+M69-V68,IF(A69&lt;'Données projet'!$A$36,$K$205^A69,IF(A69='Données projet'!$A$36,'Données projet'!$B$36,N68+M69-V68)))</f>
        <v>361.49999999999989</v>
      </c>
      <c r="O69" s="13">
        <f>N69*VLOOKUP('Données projet'!$B$9,Paramètres!$A$1:$I$89,3,0)*VLOOKUP('Données projet'!$B$9,Paramètres!$A$1:$I$89,5,0)</f>
        <v>169.18199999999996</v>
      </c>
      <c r="P69" s="13">
        <f t="shared" ref="P69:P132" si="87">EXP(-1.0587+0.8836*LN(O69)+0.284)</f>
        <v>42.906767398977124</v>
      </c>
      <c r="Q69" s="20">
        <f t="shared" si="54"/>
        <v>369.38793655321842</v>
      </c>
      <c r="R69" s="59">
        <f t="shared" si="55"/>
        <v>662.72126988655168</v>
      </c>
      <c r="S69" s="59">
        <f ca="1">AVERAGE(OFFSET($R$3,0,0,'Données projet'!$E$9+1,1))-AVERAGE(OFFSET($H$3,0,0,'Données projet'!$E$9+1,1))</f>
        <v>319.22903094674564</v>
      </c>
      <c r="T69" s="59">
        <f t="shared" ref="T69:T132" si="88">$T$3</f>
        <v>254.58690973142848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4.4490945166981941</v>
      </c>
      <c r="AA69" s="21">
        <f>EXP(-LN(2)/25)*AA68+(1-EXP(-LN(2)/25))/(LN(2)/25)*Calculateur!V69*Calculateur!X69*VLOOKUP('Données projet'!$B$9,Paramètres!$A$1:$I$89,3,0)*0.475*44/12</f>
        <v>4.1100120319054767</v>
      </c>
      <c r="AB69" s="21">
        <f>EXP(-LN(2)/2)*AB68+(1-EXP(-LN(2)/2))/(LN(2)/2)*V69*Y69*VLOOKUP('Données projet'!$B$9,Paramètres!$A$1:$I$89,3,0)*0.475*44/12</f>
        <v>4.212619264067986E-5</v>
      </c>
      <c r="AC69" s="22">
        <f t="shared" si="57"/>
        <v>8.5591486747963117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-3.4106051316484809E-13</v>
      </c>
      <c r="AJ69" s="13">
        <f>AI69*VLOOKUP('Données projet'!$B$10,Paramètres!$A$1:$I$89,3,0)*VLOOKUP('Données projet'!$B$10,Paramètres!$A$1:$I$89,5,0)</f>
        <v>-1.9065282685915009E-13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544.48194192356823</v>
      </c>
      <c r="AO69" s="59">
        <f t="shared" ref="AO69:AO132" si="90">$AO$3</f>
        <v>668.20427590250733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3.598690573152036</v>
      </c>
      <c r="AV69" s="21">
        <f>EXP(-LN(2)/25)*AV68+(1-EXP(-LN(2)/25))/(LN(2)/25)*Calculateur!AQ69*Calculateur!AS69*VLOOKUP('Données projet'!$B$10,Paramètres!$A$1:$I$89,3,0)*0.475*44/12</f>
        <v>15.705472377758738</v>
      </c>
      <c r="AW69" s="21">
        <f>EXP(-LN(2)/2)*AW68+(1-EXP(-LN(2)/2))/(LN(2)/2)*AQ69*AT69*VLOOKUP('Données projet'!$B$10,Paramètres!$A$1:$I$89,3,0)*0.475*44/12</f>
        <v>5.5000144061041418E-5</v>
      </c>
      <c r="AX69" s="21">
        <f t="shared" si="60"/>
        <v>19.304217951054838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8.1999999999999993</v>
      </c>
      <c r="BD69" s="12">
        <f>IF('Données projet'!$A$88&gt;35,BD68+BC69-BL68,IF(A69&lt;'Données projet'!$A$88,$BA$205^A69,IF(A69='Données projet'!$A$88,'Données projet'!$B$88,BD68+BC69-BL68)))</f>
        <v>269.2</v>
      </c>
      <c r="BE69" s="13">
        <f>BD69*VLOOKUP('Données projet'!$B$11,Paramètres!$A$1:$I$89,3,0)*VLOOKUP('Données projet'!$B$11,Paramètres!$A$1:$I$89,5,0)</f>
        <v>243.57216</v>
      </c>
      <c r="BF69" s="13">
        <f t="shared" ref="BF69:BF132" si="91">EXP(-1.0587+0.8836*LN(BE69)+0.284)</f>
        <v>59.207435995642292</v>
      </c>
      <c r="BG69" s="20">
        <f t="shared" si="61"/>
        <v>527.34112969241028</v>
      </c>
      <c r="BH69" s="59">
        <f t="shared" si="62"/>
        <v>820.67446302574353</v>
      </c>
      <c r="BI69" s="59">
        <f ca="1">AVERAGE(OFFSET($BH$3,0,0,'Données projet'!$E$11+1,1))-AVERAGE(OFFSET($H$3,0,0,'Données projet'!$E$11+1,1))</f>
        <v>405.7176439604217</v>
      </c>
      <c r="BJ69" s="59">
        <f t="shared" ref="BJ69:BJ132" si="92">$BJ$3</f>
        <v>278.21741231699929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3.5825652042251277</v>
      </c>
      <c r="BQ69" s="21">
        <f>EXP(-LN(2)/25)*BQ68+(1-EXP(-LN(2)/25))/(LN(2)/25)*Calculateur!BL69*Calculateur!BN69*VLOOKUP('Données projet'!$B$11,Paramètres!$A$1:$I$89,3,0)*0.475*44/12</f>
        <v>3.4515466072290133</v>
      </c>
      <c r="BR69" s="21">
        <f>EXP(-LN(2)/2)*BR68+(1-EXP(-LN(2)/2))/(LN(2)/2)*BL69*BO69*VLOOKUP('Données projet'!$B$11,Paramètres!$A$1:$I$89,3,0)*0.475*44/12</f>
        <v>3.2557802541113684E-5</v>
      </c>
      <c r="BS69" s="22">
        <f t="shared" si="63"/>
        <v>7.0341443692566816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3.8</v>
      </c>
      <c r="CT69" s="12">
        <f>IF('Données projet'!$A$140&gt;35,CT68+CS69-DB68,IF(A69&lt;'Données projet'!$A$140,$CQ$205^A69,IF(A69='Données projet'!$A$140,'Données projet'!$B$140,CT68+CS69-DB68)))</f>
        <v>247.79999999999984</v>
      </c>
      <c r="CU69" s="17">
        <f>CT69*VLOOKUP('Données projet'!$B$13,Paramètres!$A$1:$I$89,3,0)*VLOOKUP('Données projet'!$B$13,Paramètres!$A$1:$I$89,5,0)</f>
        <v>197.14967999999988</v>
      </c>
      <c r="CV69" s="13">
        <f t="shared" ref="CV69:CV132" si="95">EXP(-1.0587+0.8836*LN(CU69)+0.284)</f>
        <v>49.11723130862363</v>
      </c>
      <c r="CW69" s="20">
        <f t="shared" si="67"/>
        <v>428.91487052918592</v>
      </c>
      <c r="CX69" s="59">
        <f t="shared" si="68"/>
        <v>722.24820386251918</v>
      </c>
      <c r="CY69" s="59">
        <f ca="1">AVERAGE(OFFSET($CX$3,0,0,'Données projet'!$E$13+1,1))-AVERAGE(OFFSET($H$3,0,0,'Données projet'!$E$13+1,1))</f>
        <v>299.10536994156814</v>
      </c>
      <c r="CZ69" s="59">
        <f t="shared" ref="CZ69:CZ132" si="96">$CZ$3</f>
        <v>292.57799203101769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4.1280717508553941</v>
      </c>
      <c r="DG69" s="21">
        <f>EXP(-LN(2)/25)*DG68+(1-EXP(-LN(2)/25))/(LN(2)/25)*Calculateur!DB69*Calculateur!DD69*VLOOKUP('Données projet'!$B$13,Paramètres!$A$1:$I$89,3,0)*0.475*44/12</f>
        <v>3.9852270148939621</v>
      </c>
      <c r="DH69" s="21">
        <f>EXP(-LN(2)/2)*DH68+(1-EXP(-LN(2)/2))/(LN(2)/2)*DB69*DE69*VLOOKUP('Données projet'!$B$13,Paramètres!$A$1:$I$89,3,0)*0.475*44/12</f>
        <v>3.4227937968540365E-5</v>
      </c>
      <c r="DI69" s="22">
        <f t="shared" si="69"/>
        <v>8.1133329936873242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5.4</v>
      </c>
      <c r="DO69" s="12">
        <f>IF('Données projet'!$A$166&gt;35,DO68+DN69-DW68,IF(A69&lt;'Données projet'!$A$166,$DL$205^A69,IF(A69='Données projet'!$A$166,'Données projet'!$B$166,DO68+DN69-DW68)))</f>
        <v>248.40000000000009</v>
      </c>
      <c r="DP69" s="17">
        <f>DO69*VLOOKUP('Données projet'!$B$14,Paramètres!$A$1:$I$89,3,0)*VLOOKUP('Données projet'!$B$14,Paramètres!$A$1:$I$89,5,0)</f>
        <v>162.75168000000005</v>
      </c>
      <c r="DQ69" s="13">
        <f t="shared" ref="DQ69:DQ132" si="97">EXP(-1.0587+0.8836*LN(DP69)+0.284)</f>
        <v>41.462547229213008</v>
      </c>
      <c r="DR69" s="20">
        <f t="shared" si="70"/>
        <v>355.67311242421277</v>
      </c>
      <c r="DS69" s="59">
        <f t="shared" si="71"/>
        <v>649.00644575754609</v>
      </c>
      <c r="DT69" s="59">
        <f ca="1">AVERAGE(OFFSET($DS$3,0,0,'Données projet'!$E$14+1,1))-AVERAGE(OFFSET($H$3,0,0,'Données projet'!$E$14+1,1))</f>
        <v>295.92103934364718</v>
      </c>
      <c r="DU69" s="59">
        <f t="shared" ref="DU69:DU132" si="98">$DU$3</f>
        <v>304.84379909635476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2.1864438400148485</v>
      </c>
      <c r="EB69" s="21">
        <f>EXP(-LN(2)/25)*EB68+(1-EXP(-LN(2)/25))/(LN(2)/25)*Calculateur!DW69*Calculateur!DY69*VLOOKUP('Données projet'!$B$14,Paramètres!$A$1:$I$89,3,0)*0.475*44/12</f>
        <v>2.6360490790382496</v>
      </c>
      <c r="EC69" s="21">
        <f>EXP(-LN(2)/2)*EC68+(1-EXP(-LN(2)/2))/(LN(2)/2)*DW69*DZ69*VLOOKUP('Données projet'!$B$14,Paramètres!$A$1:$I$89,3,0)*0.475*44/12</f>
        <v>2.1952493673222408E-5</v>
      </c>
      <c r="ED69" s="22">
        <f t="shared" si="72"/>
        <v>4.8225148715467716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207.2913533618397</v>
      </c>
      <c r="EP69" s="59">
        <f t="shared" ref="EP69:EP132" si="100">$EP$3</f>
        <v>230.81096055024483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3.393361730003027</v>
      </c>
      <c r="EW69" s="21">
        <f>EXP(-LN(2)/25)*EW68+(1-EXP(-LN(2)/25))/(LN(2)/25)*Calculateur!ER69*Calculateur!ET69*VLOOKUP('Données projet'!$B$15,Paramètres!$A$1:$I$89,3,0)*0.475*44/12</f>
        <v>2.2228926972854475</v>
      </c>
      <c r="EX69" s="21">
        <f>EXP(-LN(2)/2)*EX68+(1-EXP(-LN(2)/2))/(LN(2)/2)*ER69*EU69*VLOOKUP('Données projet'!$B$15,Paramètres!$A$1:$I$89,3,0)*0.475*44/12</f>
        <v>1.1251478552885442E-5</v>
      </c>
      <c r="EY69" s="22">
        <f t="shared" si="75"/>
        <v>5.6162656787670278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15.5</v>
      </c>
      <c r="N70" s="13">
        <f>IF('Données projet'!$A$36&gt;35,N69+M70-V69,IF(A70&lt;'Données projet'!$A$36,$K$205^A70,IF(A70='Données projet'!$A$36,'Données projet'!$B$36,N69+M70-V69)))</f>
        <v>376.99999999999989</v>
      </c>
      <c r="O70" s="13">
        <f>N70*VLOOKUP('Données projet'!$B$9,Paramètres!$A$1:$I$89,3,0)*VLOOKUP('Données projet'!$B$9,Paramètres!$A$1:$I$89,5,0)</f>
        <v>176.43599999999992</v>
      </c>
      <c r="P70" s="13">
        <f t="shared" si="87"/>
        <v>44.52834129105058</v>
      </c>
      <c r="Q70" s="20">
        <f t="shared" si="54"/>
        <v>384.84622774857962</v>
      </c>
      <c r="R70" s="59">
        <f t="shared" si="55"/>
        <v>678.17956108191288</v>
      </c>
      <c r="S70" s="59">
        <f ca="1">AVERAGE(OFFSET($R$3,0,0,'Données projet'!$E$9+1,1))-AVERAGE(OFFSET($H$3,0,0,'Données projet'!$E$9+1,1))</f>
        <v>319.22903094674564</v>
      </c>
      <c r="T70" s="59">
        <f t="shared" si="88"/>
        <v>254.58690973142848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4.3618504869054444</v>
      </c>
      <c r="AA70" s="21">
        <f>EXP(-LN(2)/25)*AA69+(1-EXP(-LN(2)/25))/(LN(2)/25)*Calculateur!V70*Calculateur!X70*VLOOKUP('Données projet'!$B$9,Paramètres!$A$1:$I$89,3,0)*0.475*44/12</f>
        <v>3.9976235367568824</v>
      </c>
      <c r="AB70" s="21">
        <f>EXP(-LN(2)/2)*AB69+(1-EXP(-LN(2)/2))/(LN(2)/2)*V70*Y70*VLOOKUP('Données projet'!$B$9,Paramètres!$A$1:$I$89,3,0)*0.475*44/12</f>
        <v>2.9787716481795566E-5</v>
      </c>
      <c r="AC70" s="22">
        <f t="shared" si="57"/>
        <v>8.3595038113788078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-3.4106051316484809E-13</v>
      </c>
      <c r="AJ70" s="13">
        <f>AI70*VLOOKUP('Données projet'!$B$10,Paramètres!$A$1:$I$89,3,0)*VLOOKUP('Données projet'!$B$10,Paramètres!$A$1:$I$89,5,0)</f>
        <v>-1.9065282685915009E-13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544.48194192356823</v>
      </c>
      <c r="AO70" s="59">
        <f t="shared" si="90"/>
        <v>668.20427590250733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3.5281224459970373</v>
      </c>
      <c r="AV70" s="21">
        <f>EXP(-LN(2)/25)*AV69+(1-EXP(-LN(2)/25))/(LN(2)/25)*Calculateur!AQ70*Calculateur!AS70*VLOOKUP('Données projet'!$B$10,Paramètres!$A$1:$I$89,3,0)*0.475*44/12</f>
        <v>15.276005409674029</v>
      </c>
      <c r="AW70" s="21">
        <f>EXP(-LN(2)/2)*AW69+(1-EXP(-LN(2)/2))/(LN(2)/2)*AQ70*AT70*VLOOKUP('Données projet'!$B$10,Paramètres!$A$1:$I$89,3,0)*0.475*44/12</f>
        <v>3.8890974831799405E-5</v>
      </c>
      <c r="AX70" s="21">
        <f t="shared" si="60"/>
        <v>18.804166746645897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8.1999999999999993</v>
      </c>
      <c r="BD70" s="12">
        <f>IF('Données projet'!$A$88&gt;35,BD69+BC70-BL69,IF(A70&lt;'Données projet'!$A$88,$BA$205^A70,IF(A70='Données projet'!$A$88,'Données projet'!$B$88,BD69+BC70-BL69)))</f>
        <v>277.39999999999998</v>
      </c>
      <c r="BE70" s="13">
        <f>BD70*VLOOKUP('Données projet'!$B$11,Paramètres!$A$1:$I$89,3,0)*VLOOKUP('Données projet'!$B$11,Paramètres!$A$1:$I$89,5,0)</f>
        <v>250.99151999999995</v>
      </c>
      <c r="BF70" s="13">
        <f t="shared" si="91"/>
        <v>60.798211000769406</v>
      </c>
      <c r="BG70" s="20">
        <f t="shared" si="61"/>
        <v>543.03378149300659</v>
      </c>
      <c r="BH70" s="59">
        <f t="shared" si="62"/>
        <v>836.36711482633996</v>
      </c>
      <c r="BI70" s="59">
        <f ca="1">AVERAGE(OFFSET($BH$3,0,0,'Données projet'!$E$11+1,1))-AVERAGE(OFFSET($H$3,0,0,'Données projet'!$E$11+1,1))</f>
        <v>405.7176439604217</v>
      </c>
      <c r="BJ70" s="59">
        <f t="shared" si="92"/>
        <v>278.21741231699929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3.5123132857192818</v>
      </c>
      <c r="BQ70" s="21">
        <f>EXP(-LN(2)/25)*BQ69+(1-EXP(-LN(2)/25))/(LN(2)/25)*Calculateur!BL70*Calculateur!BN70*VLOOKUP('Données projet'!$B$11,Paramètres!$A$1:$I$89,3,0)*0.475*44/12</f>
        <v>3.3571638837453883</v>
      </c>
      <c r="BR70" s="21">
        <f>EXP(-LN(2)/2)*BR69+(1-EXP(-LN(2)/2))/(LN(2)/2)*BL70*BO70*VLOOKUP('Données projet'!$B$11,Paramètres!$A$1:$I$89,3,0)*0.475*44/12</f>
        <v>2.3021842957354095E-5</v>
      </c>
      <c r="BS70" s="22">
        <f t="shared" si="63"/>
        <v>6.869500191307627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3.8</v>
      </c>
      <c r="CT70" s="12">
        <f>IF('Données projet'!$A$140&gt;35,CT69+CS70-DB69,IF(A70&lt;'Données projet'!$A$140,$CQ$205^A70,IF(A70='Données projet'!$A$140,'Données projet'!$B$140,CT69+CS70-DB69)))</f>
        <v>251.59999999999985</v>
      </c>
      <c r="CU70" s="17">
        <f>CT70*VLOOKUP('Données projet'!$B$13,Paramètres!$A$1:$I$89,3,0)*VLOOKUP('Données projet'!$B$13,Paramètres!$A$1:$I$89,5,0)</f>
        <v>200.17295999999988</v>
      </c>
      <c r="CV70" s="13">
        <f t="shared" si="95"/>
        <v>49.782177185855986</v>
      </c>
      <c r="CW70" s="20">
        <f t="shared" si="67"/>
        <v>435.33853059869892</v>
      </c>
      <c r="CX70" s="59">
        <f t="shared" si="68"/>
        <v>728.67186393203224</v>
      </c>
      <c r="CY70" s="59">
        <f ca="1">AVERAGE(OFFSET($CX$3,0,0,'Données projet'!$E$13+1,1))-AVERAGE(OFFSET($H$3,0,0,'Données projet'!$E$13+1,1))</f>
        <v>299.10536994156814</v>
      </c>
      <c r="CZ70" s="59">
        <f t="shared" si="96"/>
        <v>292.57799203101769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4.0471227816962685</v>
      </c>
      <c r="DG70" s="21">
        <f>EXP(-LN(2)/25)*DG69+(1-EXP(-LN(2)/25))/(LN(2)/25)*Calculateur!DB70*Calculateur!DD70*VLOOKUP('Données projet'!$B$13,Paramètres!$A$1:$I$89,3,0)*0.475*44/12</f>
        <v>3.8762507725977065</v>
      </c>
      <c r="DH70" s="21">
        <f>EXP(-LN(2)/2)*DH69+(1-EXP(-LN(2)/2))/(LN(2)/2)*DB70*DE70*VLOOKUP('Données projet'!$B$13,Paramètres!$A$1:$I$89,3,0)*0.475*44/12</f>
        <v>2.4202807043587394E-5</v>
      </c>
      <c r="DI70" s="22">
        <f t="shared" si="69"/>
        <v>7.9233977571010188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5.4</v>
      </c>
      <c r="DO70" s="12">
        <f>IF('Données projet'!$A$166&gt;35,DO69+DN70-DW69,IF(A70&lt;'Données projet'!$A$166,$DL$205^A70,IF(A70='Données projet'!$A$166,'Données projet'!$B$166,DO69+DN70-DW69)))</f>
        <v>253.8000000000001</v>
      </c>
      <c r="DP70" s="17">
        <f>DO70*VLOOKUP('Données projet'!$B$14,Paramètres!$A$1:$I$89,3,0)*VLOOKUP('Données projet'!$B$14,Paramètres!$A$1:$I$89,5,0)</f>
        <v>166.28976000000006</v>
      </c>
      <c r="DQ70" s="13">
        <f t="shared" si="97"/>
        <v>42.257989067732332</v>
      </c>
      <c r="DR70" s="20">
        <f t="shared" si="70"/>
        <v>363.2206629596339</v>
      </c>
      <c r="DS70" s="59">
        <f t="shared" si="71"/>
        <v>656.55399629296721</v>
      </c>
      <c r="DT70" s="59">
        <f ca="1">AVERAGE(OFFSET($DS$3,0,0,'Données projet'!$E$14+1,1))-AVERAGE(OFFSET($H$3,0,0,'Données projet'!$E$14+1,1))</f>
        <v>295.92103934364718</v>
      </c>
      <c r="DU70" s="59">
        <f t="shared" si="98"/>
        <v>304.84379909635476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2.1435690099112179</v>
      </c>
      <c r="EB70" s="21">
        <f>EXP(-LN(2)/25)*EB69+(1-EXP(-LN(2)/25))/(LN(2)/25)*Calculateur!DW70*Calculateur!DY70*VLOOKUP('Données projet'!$B$14,Paramètres!$A$1:$I$89,3,0)*0.475*44/12</f>
        <v>2.5639661783481524</v>
      </c>
      <c r="EC70" s="21">
        <f>EXP(-LN(2)/2)*EC69+(1-EXP(-LN(2)/2))/(LN(2)/2)*DW70*DZ70*VLOOKUP('Données projet'!$B$14,Paramètres!$A$1:$I$89,3,0)*0.475*44/12</f>
        <v>1.5522757140290346E-5</v>
      </c>
      <c r="ED70" s="22">
        <f t="shared" si="72"/>
        <v>4.7075507110165109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207.2913533618397</v>
      </c>
      <c r="EP70" s="59">
        <f t="shared" si="100"/>
        <v>230.81096055024483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3.3268199762239523</v>
      </c>
      <c r="EW70" s="21">
        <f>EXP(-LN(2)/25)*EW69+(1-EXP(-LN(2)/25))/(LN(2)/25)*Calculateur!ER70*Calculateur!ET70*VLOOKUP('Données projet'!$B$15,Paramètres!$A$1:$I$89,3,0)*0.475*44/12</f>
        <v>2.1621075795813303</v>
      </c>
      <c r="EX70" s="21">
        <f>EXP(-LN(2)/2)*EX69+(1-EXP(-LN(2)/2))/(LN(2)/2)*ER70*EU70*VLOOKUP('Données projet'!$B$15,Paramètres!$A$1:$I$89,3,0)*0.475*44/12</f>
        <v>7.9559967831202986E-6</v>
      </c>
      <c r="EY70" s="22">
        <f t="shared" si="75"/>
        <v>5.4889355118020662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15.5</v>
      </c>
      <c r="N71" s="13">
        <f>IF('Données projet'!$A$36&gt;35,N70+M71-V70,IF(A71&lt;'Données projet'!$A$36,$K$205^A71,IF(A71='Données projet'!$A$36,'Données projet'!$B$36,N70+M71-V70)))</f>
        <v>392.49999999999989</v>
      </c>
      <c r="O71" s="13">
        <f>N71*VLOOKUP('Données projet'!$B$9,Paramètres!$A$1:$I$89,3,0)*VLOOKUP('Données projet'!$B$9,Paramètres!$A$1:$I$89,5,0)</f>
        <v>183.68999999999994</v>
      </c>
      <c r="P71" s="13">
        <f t="shared" si="87"/>
        <v>46.14217109072662</v>
      </c>
      <c r="Q71" s="20">
        <f t="shared" si="54"/>
        <v>400.29103131634878</v>
      </c>
      <c r="R71" s="59">
        <f t="shared" si="55"/>
        <v>693.62436464968209</v>
      </c>
      <c r="S71" s="59">
        <f ca="1">AVERAGE(OFFSET($R$3,0,0,'Données projet'!$E$9+1,1))-AVERAGE(OFFSET($H$3,0,0,'Données projet'!$E$9+1,1))</f>
        <v>319.22903094674564</v>
      </c>
      <c r="T71" s="59">
        <f t="shared" si="88"/>
        <v>254.58690973142848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4.2763172593233261</v>
      </c>
      <c r="AA71" s="21">
        <f>EXP(-LN(2)/25)*AA70+(1-EXP(-LN(2)/25))/(LN(2)/25)*Calculateur!V71*Calculateur!X71*VLOOKUP('Données projet'!$B$9,Paramètres!$A$1:$I$89,3,0)*0.475*44/12</f>
        <v>3.8883083109183803</v>
      </c>
      <c r="AB71" s="21">
        <f>EXP(-LN(2)/2)*AB70+(1-EXP(-LN(2)/2))/(LN(2)/2)*V71*Y71*VLOOKUP('Données projet'!$B$9,Paramètres!$A$1:$I$89,3,0)*0.475*44/12</f>
        <v>2.1063096320339933E-5</v>
      </c>
      <c r="AC71" s="22">
        <f t="shared" si="57"/>
        <v>8.1646466333380268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-3.4106051316484809E-13</v>
      </c>
      <c r="AJ71" s="13">
        <f>AI71*VLOOKUP('Données projet'!$B$10,Paramètres!$A$1:$I$89,3,0)*VLOOKUP('Données projet'!$B$10,Paramètres!$A$1:$I$89,5,0)</f>
        <v>-1.9065282685915009E-13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544.48194192356823</v>
      </c>
      <c r="AO71" s="59">
        <f t="shared" si="90"/>
        <v>668.20427590250733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3.4589381167732407</v>
      </c>
      <c r="AV71" s="21">
        <f>EXP(-LN(2)/25)*AV70+(1-EXP(-LN(2)/25))/(LN(2)/25)*Calculateur!AQ71*Calculateur!AS71*VLOOKUP('Données projet'!$B$10,Paramètres!$A$1:$I$89,3,0)*0.475*44/12</f>
        <v>14.858282238416283</v>
      </c>
      <c r="AW71" s="21">
        <f>EXP(-LN(2)/2)*AW70+(1-EXP(-LN(2)/2))/(LN(2)/2)*AQ71*AT71*VLOOKUP('Données projet'!$B$10,Paramètres!$A$1:$I$89,3,0)*0.475*44/12</f>
        <v>2.7500072030520709E-5</v>
      </c>
      <c r="AX71" s="21">
        <f t="shared" si="60"/>
        <v>18.317247855261552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8.1999999999999993</v>
      </c>
      <c r="BD71" s="12">
        <f>IF('Données projet'!$A$88&gt;35,BD70+BC71-BL70,IF(A71&lt;'Données projet'!$A$88,$BA$205^A71,IF(A71='Données projet'!$A$88,'Données projet'!$B$88,BD70+BC71-BL70)))</f>
        <v>285.59999999999997</v>
      </c>
      <c r="BE71" s="13">
        <f>BD71*VLOOKUP('Données projet'!$B$11,Paramètres!$A$1:$I$89,3,0)*VLOOKUP('Données projet'!$B$11,Paramètres!$A$1:$I$89,5,0)</f>
        <v>258.41087999999996</v>
      </c>
      <c r="BF71" s="13">
        <f t="shared" si="91"/>
        <v>62.383521020316756</v>
      </c>
      <c r="BG71" s="20">
        <f t="shared" si="61"/>
        <v>558.71691511038489</v>
      </c>
      <c r="BH71" s="59">
        <f t="shared" si="62"/>
        <v>852.05024844371815</v>
      </c>
      <c r="BI71" s="59">
        <f ca="1">AVERAGE(OFFSET($BH$3,0,0,'Données projet'!$E$11+1,1))-AVERAGE(OFFSET($H$3,0,0,'Données projet'!$E$11+1,1))</f>
        <v>405.7176439604217</v>
      </c>
      <c r="BJ71" s="59">
        <f t="shared" si="92"/>
        <v>278.21741231699929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3.4434389644858965</v>
      </c>
      <c r="BQ71" s="21">
        <f>EXP(-LN(2)/25)*BQ70+(1-EXP(-LN(2)/25))/(LN(2)/25)*Calculateur!BL71*Calculateur!BN71*VLOOKUP('Données projet'!$B$11,Paramètres!$A$1:$I$89,3,0)*0.475*44/12</f>
        <v>3.265362060798795</v>
      </c>
      <c r="BR71" s="21">
        <f>EXP(-LN(2)/2)*BR70+(1-EXP(-LN(2)/2))/(LN(2)/2)*BL71*BO71*VLOOKUP('Données projet'!$B$11,Paramètres!$A$1:$I$89,3,0)*0.475*44/12</f>
        <v>1.6278901270556842E-5</v>
      </c>
      <c r="BS71" s="22">
        <f t="shared" si="63"/>
        <v>6.7088173041859616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3.8</v>
      </c>
      <c r="CT71" s="12">
        <f>IF('Données projet'!$A$140&gt;35,CT70+CS71-DB70,IF(A71&lt;'Données projet'!$A$140,$CQ$205^A71,IF(A71='Données projet'!$A$140,'Données projet'!$B$140,CT70+CS71-DB70)))</f>
        <v>255.39999999999986</v>
      </c>
      <c r="CU71" s="17">
        <f>CT71*VLOOKUP('Données projet'!$B$13,Paramètres!$A$1:$I$89,3,0)*VLOOKUP('Données projet'!$B$13,Paramètres!$A$1:$I$89,5,0)</f>
        <v>203.1962399999999</v>
      </c>
      <c r="CV71" s="13">
        <f t="shared" si="95"/>
        <v>50.445955049216174</v>
      </c>
      <c r="CW71" s="20">
        <f t="shared" si="67"/>
        <v>441.76015637738465</v>
      </c>
      <c r="CX71" s="59">
        <f t="shared" si="68"/>
        <v>735.0934897107179</v>
      </c>
      <c r="CY71" s="59">
        <f ca="1">AVERAGE(OFFSET($CX$3,0,0,'Données projet'!$E$13+1,1))-AVERAGE(OFFSET($H$3,0,0,'Données projet'!$E$13+1,1))</f>
        <v>299.10536994156814</v>
      </c>
      <c r="CZ71" s="59">
        <f t="shared" si="96"/>
        <v>292.57799203101769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3.9677611724483572</v>
      </c>
      <c r="DG71" s="21">
        <f>EXP(-LN(2)/25)*DG70+(1-EXP(-LN(2)/25))/(LN(2)/25)*Calculateur!DB71*Calculateur!DD71*VLOOKUP('Données projet'!$B$13,Paramètres!$A$1:$I$89,3,0)*0.475*44/12</f>
        <v>3.7702544913778535</v>
      </c>
      <c r="DH71" s="21">
        <f>EXP(-LN(2)/2)*DH70+(1-EXP(-LN(2)/2))/(LN(2)/2)*DB71*DE71*VLOOKUP('Données projet'!$B$13,Paramètres!$A$1:$I$89,3,0)*0.475*44/12</f>
        <v>1.7113968984270182E-5</v>
      </c>
      <c r="DI71" s="22">
        <f t="shared" si="69"/>
        <v>7.7380327777951949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5.4</v>
      </c>
      <c r="DO71" s="12">
        <f>IF('Données projet'!$A$166&gt;35,DO70+DN71-DW70,IF(A71&lt;'Données projet'!$A$166,$DL$205^A71,IF(A71='Données projet'!$A$166,'Données projet'!$B$166,DO70+DN71-DW70)))</f>
        <v>259.2000000000001</v>
      </c>
      <c r="DP71" s="17">
        <f>DO71*VLOOKUP('Données projet'!$B$14,Paramètres!$A$1:$I$89,3,0)*VLOOKUP('Données projet'!$B$14,Paramètres!$A$1:$I$89,5,0)</f>
        <v>169.82784000000007</v>
      </c>
      <c r="DQ71" s="13">
        <f t="shared" si="97"/>
        <v>43.051463198873812</v>
      </c>
      <c r="DR71" s="20">
        <f t="shared" si="70"/>
        <v>370.76478640470532</v>
      </c>
      <c r="DS71" s="59">
        <f t="shared" si="71"/>
        <v>664.09811973803858</v>
      </c>
      <c r="DT71" s="59">
        <f ca="1">AVERAGE(OFFSET($DS$3,0,0,'Données projet'!$E$14+1,1))-AVERAGE(OFFSET($H$3,0,0,'Données projet'!$E$14+1,1))</f>
        <v>295.92103934364718</v>
      </c>
      <c r="DU71" s="59">
        <f t="shared" si="98"/>
        <v>304.84379909635476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2.1015349290748553</v>
      </c>
      <c r="EB71" s="21">
        <f>EXP(-LN(2)/25)*EB70+(1-EXP(-LN(2)/25))/(LN(2)/25)*Calculateur!DW71*Calculateur!DY71*VLOOKUP('Données projet'!$B$14,Paramètres!$A$1:$I$89,3,0)*0.475*44/12</f>
        <v>2.493854388368101</v>
      </c>
      <c r="EC71" s="21">
        <f>EXP(-LN(2)/2)*EC70+(1-EXP(-LN(2)/2))/(LN(2)/2)*DW71*DZ71*VLOOKUP('Données projet'!$B$14,Paramètres!$A$1:$I$89,3,0)*0.475*44/12</f>
        <v>1.0976246836611204E-5</v>
      </c>
      <c r="ED71" s="22">
        <f t="shared" si="72"/>
        <v>4.5954002936897931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207.2913533618397</v>
      </c>
      <c r="EP71" s="59">
        <f t="shared" si="100"/>
        <v>230.81096055024483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3.2615830656500231</v>
      </c>
      <c r="EW71" s="21">
        <f>EXP(-LN(2)/25)*EW70+(1-EXP(-LN(2)/25))/(LN(2)/25)*Calculateur!ER71*Calculateur!ET71*VLOOKUP('Données projet'!$B$15,Paramètres!$A$1:$I$89,3,0)*0.475*44/12</f>
        <v>2.1029846341173828</v>
      </c>
      <c r="EX71" s="21">
        <f>EXP(-LN(2)/2)*EX70+(1-EXP(-LN(2)/2))/(LN(2)/2)*ER71*EU71*VLOOKUP('Données projet'!$B$15,Paramètres!$A$1:$I$89,3,0)*0.475*44/12</f>
        <v>5.6257392764427212E-6</v>
      </c>
      <c r="EY71" s="22">
        <f t="shared" si="75"/>
        <v>5.3645733255066821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15.5</v>
      </c>
      <c r="N72" s="13">
        <f>IF('Données projet'!$A$36&gt;35,N71+M72-V71,IF(A72&lt;'Données projet'!$A$36,$K$205^A72,IF(A72='Données projet'!$A$36,'Données projet'!$B$36,N71+M72-V71)))</f>
        <v>407.99999999999989</v>
      </c>
      <c r="O72" s="13">
        <f>N72*VLOOKUP('Données projet'!$B$9,Paramètres!$A$1:$I$89,3,0)*VLOOKUP('Données projet'!$B$9,Paramètres!$A$1:$I$89,5,0)</f>
        <v>190.94399999999996</v>
      </c>
      <c r="P72" s="13">
        <f t="shared" si="87"/>
        <v>47.748597609826554</v>
      </c>
      <c r="Q72" s="20">
        <f t="shared" si="54"/>
        <v>415.72294083711449</v>
      </c>
      <c r="R72" s="59">
        <f t="shared" si="55"/>
        <v>709.05627417044775</v>
      </c>
      <c r="S72" s="59">
        <f ca="1">AVERAGE(OFFSET($R$3,0,0,'Données projet'!$E$9+1,1))-AVERAGE(OFFSET($H$3,0,0,'Données projet'!$E$9+1,1))</f>
        <v>319.22903094674564</v>
      </c>
      <c r="T72" s="59">
        <f t="shared" si="88"/>
        <v>254.58690973142848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4.1924612861639758</v>
      </c>
      <c r="AA72" s="21">
        <f>EXP(-LN(2)/25)*AA71+(1-EXP(-LN(2)/25))/(LN(2)/25)*Calculateur!V72*Calculateur!X72*VLOOKUP('Données projet'!$B$9,Paramètres!$A$1:$I$89,3,0)*0.475*44/12</f>
        <v>3.7819823156790697</v>
      </c>
      <c r="AB72" s="21">
        <f>EXP(-LN(2)/2)*AB71+(1-EXP(-LN(2)/2))/(LN(2)/2)*V72*Y72*VLOOKUP('Données projet'!$B$9,Paramètres!$A$1:$I$89,3,0)*0.475*44/12</f>
        <v>1.4893858240897785E-5</v>
      </c>
      <c r="AC72" s="22">
        <f t="shared" si="57"/>
        <v>7.9744584957012865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-3.4106051316484809E-13</v>
      </c>
      <c r="AJ72" s="13">
        <f>AI72*VLOOKUP('Données projet'!$B$10,Paramètres!$A$1:$I$89,3,0)*VLOOKUP('Données projet'!$B$10,Paramètres!$A$1:$I$89,5,0)</f>
        <v>-1.9065282685915009E-13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544.48194192356823</v>
      </c>
      <c r="AO72" s="59">
        <f t="shared" si="90"/>
        <v>668.20427590250733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3.3911104500472486</v>
      </c>
      <c r="AV72" s="21">
        <f>EXP(-LN(2)/25)*AV71+(1-EXP(-LN(2)/25))/(LN(2)/25)*Calculateur!AQ72*Calculateur!AS72*VLOOKUP('Données projet'!$B$10,Paramètres!$A$1:$I$89,3,0)*0.475*44/12</f>
        <v>14.451981729243686</v>
      </c>
      <c r="AW72" s="21">
        <f>EXP(-LN(2)/2)*AW71+(1-EXP(-LN(2)/2))/(LN(2)/2)*AQ72*AT72*VLOOKUP('Données projet'!$B$10,Paramètres!$A$1:$I$89,3,0)*0.475*44/12</f>
        <v>1.9445487415899702E-5</v>
      </c>
      <c r="AX72" s="21">
        <f t="shared" si="60"/>
        <v>17.843111624778352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8.1999999999999993</v>
      </c>
      <c r="BD72" s="12">
        <f>IF('Données projet'!$A$88&gt;35,BD71+BC72-BL71,IF(A72&lt;'Données projet'!$A$88,$BA$205^A72,IF(A72='Données projet'!$A$88,'Données projet'!$B$88,BD71+BC72-BL71)))</f>
        <v>293.79999999999995</v>
      </c>
      <c r="BE72" s="13">
        <f>BD72*VLOOKUP('Données projet'!$B$11,Paramètres!$A$1:$I$89,3,0)*VLOOKUP('Données projet'!$B$11,Paramètres!$A$1:$I$89,5,0)</f>
        <v>265.83023999999995</v>
      </c>
      <c r="BF72" s="13">
        <f t="shared" si="91"/>
        <v>63.963540982526439</v>
      </c>
      <c r="BG72" s="20">
        <f t="shared" si="61"/>
        <v>574.39083521123348</v>
      </c>
      <c r="BH72" s="59">
        <f t="shared" si="62"/>
        <v>867.72416854456674</v>
      </c>
      <c r="BI72" s="59">
        <f ca="1">AVERAGE(OFFSET($BH$3,0,0,'Données projet'!$E$11+1,1))-AVERAGE(OFFSET($H$3,0,0,'Données projet'!$E$11+1,1))</f>
        <v>405.7176439604217</v>
      </c>
      <c r="BJ72" s="59">
        <f t="shared" si="92"/>
        <v>278.21741231699929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3.3759152266827099</v>
      </c>
      <c r="BQ72" s="21">
        <f>EXP(-LN(2)/25)*BQ71+(1-EXP(-LN(2)/25))/(LN(2)/25)*Calculateur!BL72*Calculateur!BN72*VLOOKUP('Données projet'!$B$11,Paramètres!$A$1:$I$89,3,0)*0.475*44/12</f>
        <v>3.1760705635283242</v>
      </c>
      <c r="BR72" s="21">
        <f>EXP(-LN(2)/2)*BR71+(1-EXP(-LN(2)/2))/(LN(2)/2)*BL72*BO72*VLOOKUP('Données projet'!$B$11,Paramètres!$A$1:$I$89,3,0)*0.475*44/12</f>
        <v>1.1510921478677047E-5</v>
      </c>
      <c r="BS72" s="22">
        <f t="shared" si="63"/>
        <v>6.5519973011325137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3.8</v>
      </c>
      <c r="CT72" s="12">
        <f>IF('Données projet'!$A$140&gt;35,CT71+CS72-DB71,IF(A72&lt;'Données projet'!$A$140,$CQ$205^A72,IF(A72='Données projet'!$A$140,'Données projet'!$B$140,CT71+CS72-DB71)))</f>
        <v>259.19999999999987</v>
      </c>
      <c r="CU72" s="17">
        <f>CT72*VLOOKUP('Données projet'!$B$13,Paramètres!$A$1:$I$89,3,0)*VLOOKUP('Données projet'!$B$13,Paramètres!$A$1:$I$89,5,0)</f>
        <v>206.21951999999993</v>
      </c>
      <c r="CV72" s="13">
        <f t="shared" si="95"/>
        <v>51.10858428464028</v>
      </c>
      <c r="CW72" s="20">
        <f t="shared" si="67"/>
        <v>448.17978162908167</v>
      </c>
      <c r="CX72" s="59">
        <f t="shared" si="68"/>
        <v>741.51311496241499</v>
      </c>
      <c r="CY72" s="59">
        <f ca="1">AVERAGE(OFFSET($CX$3,0,0,'Données projet'!$E$13+1,1))-AVERAGE(OFFSET($H$3,0,0,'Données projet'!$E$13+1,1))</f>
        <v>299.10536994156814</v>
      </c>
      <c r="CZ72" s="59">
        <f t="shared" si="96"/>
        <v>292.57799203101769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3.8899557959519955</v>
      </c>
      <c r="DG72" s="21">
        <f>EXP(-LN(2)/25)*DG71+(1-EXP(-LN(2)/25))/(LN(2)/25)*Calculateur!DB72*Calculateur!DD72*VLOOKUP('Données projet'!$B$13,Paramètres!$A$1:$I$89,3,0)*0.475*44/12</f>
        <v>3.6671566840420593</v>
      </c>
      <c r="DH72" s="21">
        <f>EXP(-LN(2)/2)*DH71+(1-EXP(-LN(2)/2))/(LN(2)/2)*DB72*DE72*VLOOKUP('Données projet'!$B$13,Paramètres!$A$1:$I$89,3,0)*0.475*44/12</f>
        <v>1.2101403521793697E-5</v>
      </c>
      <c r="DI72" s="22">
        <f t="shared" si="69"/>
        <v>7.5571245813975771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5.4</v>
      </c>
      <c r="DO72" s="12">
        <f>IF('Données projet'!$A$166&gt;35,DO71+DN72-DW71,IF(A72&lt;'Données projet'!$A$166,$DL$205^A72,IF(A72='Données projet'!$A$166,'Données projet'!$B$166,DO71+DN72-DW71)))</f>
        <v>264.60000000000008</v>
      </c>
      <c r="DP72" s="17">
        <f>DO72*VLOOKUP('Données projet'!$B$14,Paramètres!$A$1:$I$89,3,0)*VLOOKUP('Données projet'!$B$14,Paramètres!$A$1:$I$89,5,0)</f>
        <v>173.36592000000005</v>
      </c>
      <c r="DQ72" s="13">
        <f t="shared" si="97"/>
        <v>43.843015339462696</v>
      </c>
      <c r="DR72" s="20">
        <f t="shared" si="70"/>
        <v>378.30556238289756</v>
      </c>
      <c r="DS72" s="59">
        <f t="shared" si="71"/>
        <v>671.63889571623088</v>
      </c>
      <c r="DT72" s="59">
        <f ca="1">AVERAGE(OFFSET($DS$3,0,0,'Données projet'!$E$14+1,1))-AVERAGE(OFFSET($H$3,0,0,'Données projet'!$E$14+1,1))</f>
        <v>295.92103934364718</v>
      </c>
      <c r="DU72" s="59">
        <f t="shared" si="98"/>
        <v>304.84379909635476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2.0603251109254357</v>
      </c>
      <c r="EB72" s="21">
        <f>EXP(-LN(2)/25)*EB71+(1-EXP(-LN(2)/25))/(LN(2)/25)*Calculateur!DW72*Calculateur!DY72*VLOOKUP('Données projet'!$B$14,Paramètres!$A$1:$I$89,3,0)*0.475*44/12</f>
        <v>2.4256598089720729</v>
      </c>
      <c r="EC72" s="21">
        <f>EXP(-LN(2)/2)*EC71+(1-EXP(-LN(2)/2))/(LN(2)/2)*DW72*DZ72*VLOOKUP('Données projet'!$B$14,Paramètres!$A$1:$I$89,3,0)*0.475*44/12</f>
        <v>7.7613785701451729E-6</v>
      </c>
      <c r="ED72" s="22">
        <f t="shared" si="72"/>
        <v>4.4859926812760786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207.2913533618397</v>
      </c>
      <c r="EP72" s="59">
        <f t="shared" si="100"/>
        <v>230.81096055024483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3.1976254111018623</v>
      </c>
      <c r="EW72" s="21">
        <f>EXP(-LN(2)/25)*EW71+(1-EXP(-LN(2)/25))/(LN(2)/25)*Calculateur!ER72*Calculateur!ET72*VLOOKUP('Données projet'!$B$15,Paramètres!$A$1:$I$89,3,0)*0.475*44/12</f>
        <v>2.0454784087062876</v>
      </c>
      <c r="EX72" s="21">
        <f>EXP(-LN(2)/2)*EX71+(1-EXP(-LN(2)/2))/(LN(2)/2)*ER72*EU72*VLOOKUP('Données projet'!$B$15,Paramètres!$A$1:$I$89,3,0)*0.475*44/12</f>
        <v>3.9779983915601493E-6</v>
      </c>
      <c r="EY72" s="22">
        <f t="shared" si="75"/>
        <v>5.243107797806541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423.5</v>
      </c>
      <c r="L73" s="12">
        <f>VLOOKUP(A73,'Données projet'!$A$35:$I$55,9,0)</f>
        <v>15.5</v>
      </c>
      <c r="M73" s="12">
        <f t="array" ref="M73">INDEX(L:L,MIN(IF(ISNUMBER(L73:L269),ROW(L73:L269),"")))</f>
        <v>15.5</v>
      </c>
      <c r="N73" s="13">
        <f>IF('Données projet'!$A$36&gt;35,N72+M73-V72,IF(A73&lt;'Données projet'!$A$36,$K$205^A73,IF(A73='Données projet'!$A$36,'Données projet'!$B$36,N72+M73-V72)))</f>
        <v>423.49999999999989</v>
      </c>
      <c r="O73" s="13">
        <f>N73*VLOOKUP('Données projet'!$B$9,Paramètres!$A$1:$I$89,3,0)*VLOOKUP('Données projet'!$B$9,Paramètres!$A$1:$I$89,5,0)</f>
        <v>198.19799999999995</v>
      </c>
      <c r="P73" s="13">
        <f t="shared" si="87"/>
        <v>49.347934298451406</v>
      </c>
      <c r="Q73" s="20">
        <f t="shared" si="54"/>
        <v>431.14250223646945</v>
      </c>
      <c r="R73" s="59">
        <f t="shared" si="55"/>
        <v>724.47583556980271</v>
      </c>
      <c r="S73" s="59">
        <f ca="1">AVERAGE(OFFSET($R$3,0,0,'Données projet'!$E$9+1,1))-AVERAGE(OFFSET($H$3,0,0,'Données projet'!$E$9+1,1))</f>
        <v>319.22903094674564</v>
      </c>
      <c r="T73" s="59">
        <f t="shared" si="88"/>
        <v>254.58690973142848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4.1102496774911872</v>
      </c>
      <c r="AA73" s="21">
        <f>EXP(-LN(2)/25)*AA72+(1-EXP(-LN(2)/25))/(LN(2)/25)*Calculateur!V73*Calculateur!X73*VLOOKUP('Données projet'!$B$9,Paramètres!$A$1:$I$89,3,0)*0.475*44/12</f>
        <v>3.6785638103710192</v>
      </c>
      <c r="AB73" s="21">
        <f>EXP(-LN(2)/2)*AB72+(1-EXP(-LN(2)/2))/(LN(2)/2)*V73*Y73*VLOOKUP('Données projet'!$B$9,Paramètres!$A$1:$I$89,3,0)*0.475*44/12</f>
        <v>1.0531548160169968E-5</v>
      </c>
      <c r="AC73" s="22">
        <f t="shared" si="57"/>
        <v>7.7888240194103666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-3.4106051316484809E-13</v>
      </c>
      <c r="AJ73" s="13">
        <f>AI73*VLOOKUP('Données projet'!$B$10,Paramètres!$A$1:$I$89,3,0)*VLOOKUP('Données projet'!$B$10,Paramètres!$A$1:$I$89,5,0)</f>
        <v>-1.9065282685915009E-13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544.48194192356823</v>
      </c>
      <c r="AO73" s="59">
        <f t="shared" si="90"/>
        <v>668.20427590250733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3.3246128424949619</v>
      </c>
      <c r="AV73" s="21">
        <f>EXP(-LN(2)/25)*AV72+(1-EXP(-LN(2)/25))/(LN(2)/25)*Calculateur!AQ73*Calculateur!AS73*VLOOKUP('Données projet'!$B$10,Paramètres!$A$1:$I$89,3,0)*0.475*44/12</f>
        <v>14.056791528860829</v>
      </c>
      <c r="AW73" s="21">
        <f>EXP(-LN(2)/2)*AW72+(1-EXP(-LN(2)/2))/(LN(2)/2)*AQ73*AT73*VLOOKUP('Données projet'!$B$10,Paramètres!$A$1:$I$89,3,0)*0.475*44/12</f>
        <v>1.3750036015260355E-5</v>
      </c>
      <c r="AX73" s="21">
        <f t="shared" si="60"/>
        <v>17.381418121391807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302</v>
      </c>
      <c r="BB73" s="12">
        <f>VLOOKUP(A73,'Données projet'!$A$87:$I$107,9,0)</f>
        <v>8.1999999999999993</v>
      </c>
      <c r="BC73" s="12">
        <f t="array" ref="BC73">INDEX(BB:BB,MIN(IF(ISNUMBER(BB73:BB269),ROW(BB73:BB269),"")))</f>
        <v>8.1999999999999993</v>
      </c>
      <c r="BD73" s="12">
        <f>IF('Données projet'!$A$88&gt;35,BD72+BC73-BL72,IF(A73&lt;'Données projet'!$A$88,$BA$205^A73,IF(A73='Données projet'!$A$88,'Données projet'!$B$88,BD72+BC73-BL72)))</f>
        <v>301.99999999999994</v>
      </c>
      <c r="BE73" s="13">
        <f>BD73*VLOOKUP('Données projet'!$B$11,Paramètres!$A$1:$I$89,3,0)*VLOOKUP('Données projet'!$B$11,Paramètres!$A$1:$I$89,5,0)</f>
        <v>273.24959999999999</v>
      </c>
      <c r="BF73" s="13">
        <f t="shared" si="91"/>
        <v>65.538435495514321</v>
      </c>
      <c r="BG73" s="20">
        <f t="shared" si="61"/>
        <v>590.05582848802067</v>
      </c>
      <c r="BH73" s="59">
        <f t="shared" si="62"/>
        <v>883.38916182135404</v>
      </c>
      <c r="BI73" s="59">
        <f ca="1">AVERAGE(OFFSET($BH$3,0,0,'Données projet'!$E$11+1,1))-AVERAGE(OFFSET($H$3,0,0,'Données projet'!$E$11+1,1))</f>
        <v>405.7176439604217</v>
      </c>
      <c r="BJ73" s="59">
        <f t="shared" si="92"/>
        <v>278.21741231699929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3.3097155881924305</v>
      </c>
      <c r="BQ73" s="21">
        <f>EXP(-LN(2)/25)*BQ72+(1-EXP(-LN(2)/25))/(LN(2)/25)*Calculateur!BL73*Calculateur!BN73*VLOOKUP('Données projet'!$B$11,Paramètres!$A$1:$I$89,3,0)*0.475*44/12</f>
        <v>3.0892207469463502</v>
      </c>
      <c r="BR73" s="21">
        <f>EXP(-LN(2)/2)*BR72+(1-EXP(-LN(2)/2))/(LN(2)/2)*BL73*BO73*VLOOKUP('Données projet'!$B$11,Paramètres!$A$1:$I$89,3,0)*0.475*44/12</f>
        <v>8.1394506352784209E-6</v>
      </c>
      <c r="BS73" s="22">
        <f t="shared" si="63"/>
        <v>6.398944474589416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263</v>
      </c>
      <c r="CR73" s="12">
        <f>VLOOKUP(A73,'Données projet'!$A$139:$I$159,9,0)</f>
        <v>3.8</v>
      </c>
      <c r="CS73" s="12">
        <f t="array" ref="CS73">INDEX(CR:CR,MIN(IF(ISNUMBER(CR73:CR269),ROW(CR73:CR269),"")))</f>
        <v>3.8</v>
      </c>
      <c r="CT73" s="12">
        <f>IF('Données projet'!$A$140&gt;35,CT72+CS73-DB72,IF(A73&lt;'Données projet'!$A$140,$CQ$205^A73,IF(A73='Données projet'!$A$140,'Données projet'!$B$140,CT72+CS73-DB72)))</f>
        <v>262.99999999999989</v>
      </c>
      <c r="CU73" s="17">
        <f>CT73*VLOOKUP('Données projet'!$B$13,Paramètres!$A$1:$I$89,3,0)*VLOOKUP('Données projet'!$B$13,Paramètres!$A$1:$I$89,5,0)</f>
        <v>209.2427999999999</v>
      </c>
      <c r="CV73" s="13">
        <f t="shared" si="95"/>
        <v>51.770083677016814</v>
      </c>
      <c r="CW73" s="20">
        <f t="shared" si="67"/>
        <v>454.59743907080406</v>
      </c>
      <c r="CX73" s="59">
        <f t="shared" si="68"/>
        <v>747.93077240413731</v>
      </c>
      <c r="CY73" s="59">
        <f ca="1">AVERAGE(OFFSET($CX$3,0,0,'Données projet'!$E$13+1,1))-AVERAGE(OFFSET($H$3,0,0,'Données projet'!$E$13+1,1))</f>
        <v>299.10536994156814</v>
      </c>
      <c r="CZ73" s="59">
        <f t="shared" si="96"/>
        <v>292.57799203101769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3.8136761354321336</v>
      </c>
      <c r="DG73" s="21">
        <f>EXP(-LN(2)/25)*DG72+(1-EXP(-LN(2)/25))/(LN(2)/25)*Calculateur!DB73*Calculateur!DD73*VLOOKUP('Données projet'!$B$13,Paramètres!$A$1:$I$89,3,0)*0.475*44/12</f>
        <v>3.5668780916695404</v>
      </c>
      <c r="DH73" s="21">
        <f>EXP(-LN(2)/2)*DH72+(1-EXP(-LN(2)/2))/(LN(2)/2)*DB73*DE73*VLOOKUP('Données projet'!$B$13,Paramètres!$A$1:$I$89,3,0)*0.475*44/12</f>
        <v>8.5569844921350912E-6</v>
      </c>
      <c r="DI73" s="22">
        <f t="shared" si="69"/>
        <v>7.3805627840861669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270</v>
      </c>
      <c r="DM73" s="12">
        <f>VLOOKUP(A73,'Données projet'!$A$165:$I$185,9,0)</f>
        <v>5.4</v>
      </c>
      <c r="DN73" s="12">
        <f t="array" ref="DN73">INDEX(DM:DM,MIN(IF(ISNUMBER(DM73:DM269),ROW(DM73:DM269),"")))</f>
        <v>5.4</v>
      </c>
      <c r="DO73" s="12">
        <f>IF('Données projet'!$A$166&gt;35,DO72+DN73-DW72,IF(A73&lt;'Données projet'!$A$166,$DL$205^A73,IF(A73='Données projet'!$A$166,'Données projet'!$B$166,DO72+DN73-DW72)))</f>
        <v>270.00000000000006</v>
      </c>
      <c r="DP73" s="17">
        <f>DO73*VLOOKUP('Données projet'!$B$14,Paramètres!$A$1:$I$89,3,0)*VLOOKUP('Données projet'!$B$14,Paramètres!$A$1:$I$89,5,0)</f>
        <v>176.90400000000002</v>
      </c>
      <c r="DQ73" s="13">
        <f t="shared" si="97"/>
        <v>44.632689233663157</v>
      </c>
      <c r="DR73" s="20">
        <f t="shared" si="70"/>
        <v>385.8430670819634</v>
      </c>
      <c r="DS73" s="59">
        <f t="shared" si="71"/>
        <v>679.17640041529671</v>
      </c>
      <c r="DT73" s="59">
        <f ca="1">AVERAGE(OFFSET($DS$3,0,0,'Données projet'!$E$14+1,1))-AVERAGE(OFFSET($H$3,0,0,'Données projet'!$E$14+1,1))</f>
        <v>295.92103934364718</v>
      </c>
      <c r="DU73" s="59">
        <f t="shared" si="98"/>
        <v>304.84379909635476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21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2.0199233921744191</v>
      </c>
      <c r="EB73" s="21">
        <f>EXP(-LN(2)/25)*EB72+(1-EXP(-LN(2)/25))/(LN(2)/25)*Calculateur!DW73*Calculateur!DY73*VLOOKUP('Données projet'!$B$14,Paramètres!$A$1:$I$89,3,0)*0.475*44/12</f>
        <v>2.3593300139358262</v>
      </c>
      <c r="EC73" s="21">
        <f>EXP(-LN(2)/2)*EC72+(1-EXP(-LN(2)/2))/(LN(2)/2)*DW73*DZ73*VLOOKUP('Données projet'!$B$14,Paramètres!$A$1:$I$89,3,0)*0.475*44/12</f>
        <v>5.4881234183056019E-6</v>
      </c>
      <c r="ED73" s="22">
        <f t="shared" si="72"/>
        <v>4.3792588942336632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207.2913533618397</v>
      </c>
      <c r="EP73" s="59">
        <f t="shared" si="100"/>
        <v>230.81096055024483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3.1349219271490734</v>
      </c>
      <c r="EW73" s="21">
        <f>EXP(-LN(2)/25)*EW72+(1-EXP(-LN(2)/25))/(LN(2)/25)*Calculateur!ER73*Calculateur!ET73*VLOOKUP('Données projet'!$B$15,Paramètres!$A$1:$I$89,3,0)*0.475*44/12</f>
        <v>1.9895446940531796</v>
      </c>
      <c r="EX73" s="21">
        <f>EXP(-LN(2)/2)*EX72+(1-EXP(-LN(2)/2))/(LN(2)/2)*ER73*EU73*VLOOKUP('Données projet'!$B$15,Paramètres!$A$1:$I$89,3,0)*0.475*44/12</f>
        <v>2.8128696382213606E-6</v>
      </c>
      <c r="EY73" s="22">
        <f t="shared" si="75"/>
        <v>5.1244694340718917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353.49999999999989</v>
      </c>
      <c r="O74" s="13">
        <f>N74*VLOOKUP('Données projet'!$B$9,Paramètres!$A$1:$I$89,3,0)*VLOOKUP('Données projet'!$B$9,Paramètres!$A$1:$I$89,5,0)</f>
        <v>165.43799999999993</v>
      </c>
      <c r="P74" s="13">
        <f t="shared" si="87"/>
        <v>42.066675415215769</v>
      </c>
      <c r="Q74" s="20">
        <f t="shared" si="54"/>
        <v>361.40397634816736</v>
      </c>
      <c r="R74" s="59">
        <f t="shared" si="55"/>
        <v>654.73730968150062</v>
      </c>
      <c r="S74" s="59">
        <f ca="1">AVERAGE(OFFSET($R$3,0,0,'Données projet'!$E$9+1,1))-AVERAGE(OFFSET($H$3,0,0,'Données projet'!$E$9+1,1))</f>
        <v>319.22903094674564</v>
      </c>
      <c r="T74" s="59">
        <f t="shared" si="88"/>
        <v>254.58690973142848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4.0296501883203417</v>
      </c>
      <c r="AA74" s="21">
        <f>EXP(-LN(2)/25)*AA73+(1-EXP(-LN(2)/25))/(LN(2)/25)*Calculateur!V74*Calculateur!X74*VLOOKUP('Données projet'!$B$9,Paramètres!$A$1:$I$89,3,0)*0.475*44/12</f>
        <v>3.5779732895291603</v>
      </c>
      <c r="AB74" s="21">
        <f>EXP(-LN(2)/2)*AB73+(1-EXP(-LN(2)/2))/(LN(2)/2)*V74*Y74*VLOOKUP('Données projet'!$B$9,Paramètres!$A$1:$I$89,3,0)*0.475*44/12</f>
        <v>7.4469291204488931E-6</v>
      </c>
      <c r="AC74" s="22">
        <f t="shared" si="57"/>
        <v>7.6076309247786229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-3.4106051316484809E-13</v>
      </c>
      <c r="AJ74" s="13">
        <f>AI74*VLOOKUP('Données projet'!$B$10,Paramètres!$A$1:$I$89,3,0)*VLOOKUP('Données projet'!$B$10,Paramètres!$A$1:$I$89,5,0)</f>
        <v>-1.9065282685915009E-13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544.48194192356823</v>
      </c>
      <c r="AO74" s="59">
        <f t="shared" si="90"/>
        <v>668.20427590250733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3.2594192124672396</v>
      </c>
      <c r="AV74" s="21">
        <f>EXP(-LN(2)/25)*AV73+(1-EXP(-LN(2)/25))/(LN(2)/25)*Calculateur!AQ74*Calculateur!AS74*VLOOKUP('Données projet'!$B$10,Paramètres!$A$1:$I$89,3,0)*0.475*44/12</f>
        <v>13.672407825289591</v>
      </c>
      <c r="AW74" s="21">
        <f>EXP(-LN(2)/2)*AW73+(1-EXP(-LN(2)/2))/(LN(2)/2)*AQ74*AT74*VLOOKUP('Données projet'!$B$10,Paramètres!$A$1:$I$89,3,0)*0.475*44/12</f>
        <v>9.7227437079498512E-6</v>
      </c>
      <c r="AX74" s="21">
        <f t="shared" si="60"/>
        <v>16.931836760500541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7.6</v>
      </c>
      <c r="BD74" s="12">
        <f>IF('Données projet'!$A$88&gt;35,BD73+BC74-BL73,IF(A74&lt;'Données projet'!$A$88,$BA$205^A74,IF(A74='Données projet'!$A$88,'Données projet'!$B$88,BD73+BC74-BL73)))</f>
        <v>281.59999999999997</v>
      </c>
      <c r="BE74" s="13">
        <f>BD74*VLOOKUP('Données projet'!$B$11,Paramètres!$A$1:$I$89,3,0)*VLOOKUP('Données projet'!$B$11,Paramètres!$A$1:$I$89,5,0)</f>
        <v>254.79167999999996</v>
      </c>
      <c r="BF74" s="13">
        <f t="shared" si="91"/>
        <v>61.610870508448471</v>
      </c>
      <c r="BG74" s="20">
        <f t="shared" si="61"/>
        <v>551.067775468881</v>
      </c>
      <c r="BH74" s="59">
        <f t="shared" si="62"/>
        <v>844.40110880221437</v>
      </c>
      <c r="BI74" s="59">
        <f ca="1">AVERAGE(OFFSET($BH$3,0,0,'Données projet'!$E$11+1,1))-AVERAGE(OFFSET($H$3,0,0,'Données projet'!$E$11+1,1))</f>
        <v>405.7176439604217</v>
      </c>
      <c r="BJ74" s="59">
        <f t="shared" si="92"/>
        <v>278.21741231699929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3.2448140842351529</v>
      </c>
      <c r="BQ74" s="21">
        <f>EXP(-LN(2)/25)*BQ73+(1-EXP(-LN(2)/25))/(LN(2)/25)*Calculateur!BL74*Calculateur!BN74*VLOOKUP('Données projet'!$B$11,Paramètres!$A$1:$I$89,3,0)*0.475*44/12</f>
        <v>3.0047458431660439</v>
      </c>
      <c r="BR74" s="21">
        <f>EXP(-LN(2)/2)*BR73+(1-EXP(-LN(2)/2))/(LN(2)/2)*BL74*BO74*VLOOKUP('Données projet'!$B$11,Paramètres!$A$1:$I$89,3,0)*0.475*44/12</f>
        <v>5.7554607393385237E-6</v>
      </c>
      <c r="BS74" s="22">
        <f t="shared" si="63"/>
        <v>6.2495656828619364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3.4</v>
      </c>
      <c r="CT74" s="12">
        <f>IF('Données projet'!$A$140&gt;35,CT73+CS74-DB73,IF(A74&lt;'Données projet'!$A$140,$CQ$205^A74,IF(A74='Données projet'!$A$140,'Données projet'!$B$140,CT73+CS74-DB73)))</f>
        <v>256.39999999999986</v>
      </c>
      <c r="CU74" s="17">
        <f>CT74*VLOOKUP('Données projet'!$B$13,Paramètres!$A$1:$I$89,3,0)*VLOOKUP('Données projet'!$B$13,Paramètres!$A$1:$I$89,5,0)</f>
        <v>203.99183999999988</v>
      </c>
      <c r="CV74" s="13">
        <f t="shared" si="95"/>
        <v>50.620441749347997</v>
      </c>
      <c r="CW74" s="20">
        <f t="shared" si="67"/>
        <v>443.44972404678083</v>
      </c>
      <c r="CX74" s="59">
        <f t="shared" si="68"/>
        <v>736.78305738011409</v>
      </c>
      <c r="CY74" s="59">
        <f ca="1">AVERAGE(OFFSET($CX$3,0,0,'Données projet'!$E$13+1,1))-AVERAGE(OFFSET($H$3,0,0,'Données projet'!$E$13+1,1))</f>
        <v>299.10536994156814</v>
      </c>
      <c r="CZ74" s="59">
        <f t="shared" si="96"/>
        <v>292.57799203101769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3.7388922725290676</v>
      </c>
      <c r="DG74" s="21">
        <f>EXP(-LN(2)/25)*DG73+(1-EXP(-LN(2)/25))/(LN(2)/25)*Calculateur!DB74*Calculateur!DD74*VLOOKUP('Données projet'!$B$13,Paramètres!$A$1:$I$89,3,0)*0.475*44/12</f>
        <v>3.4693416226788703</v>
      </c>
      <c r="DH74" s="21">
        <f>EXP(-LN(2)/2)*DH73+(1-EXP(-LN(2)/2))/(LN(2)/2)*DB74*DE74*VLOOKUP('Données projet'!$B$13,Paramètres!$A$1:$I$89,3,0)*0.475*44/12</f>
        <v>6.0507017608968486E-6</v>
      </c>
      <c r="DI74" s="22">
        <f t="shared" si="69"/>
        <v>7.2082399459096989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4.8</v>
      </c>
      <c r="DO74" s="12">
        <f>IF('Données projet'!$A$166&gt;35,DO73+DN74-DW73,IF(A74&lt;'Données projet'!$A$166,$DL$205^A74,IF(A74='Données projet'!$A$166,'Données projet'!$B$166,DO73+DN74-DW73)))</f>
        <v>253.80000000000007</v>
      </c>
      <c r="DP74" s="17">
        <f>DO74*VLOOKUP('Données projet'!$B$14,Paramètres!$A$1:$I$89,3,0)*VLOOKUP('Données projet'!$B$14,Paramètres!$A$1:$I$89,5,0)</f>
        <v>166.28976000000003</v>
      </c>
      <c r="DQ74" s="13">
        <f t="shared" si="97"/>
        <v>42.257989067732332</v>
      </c>
      <c r="DR74" s="20">
        <f t="shared" si="70"/>
        <v>363.2206629596339</v>
      </c>
      <c r="DS74" s="59">
        <f t="shared" si="71"/>
        <v>656.55399629296721</v>
      </c>
      <c r="DT74" s="59">
        <f ca="1">AVERAGE(OFFSET($DS$3,0,0,'Données projet'!$E$14+1,1))-AVERAGE(OFFSET($H$3,0,0,'Données projet'!$E$14+1,1))</f>
        <v>295.92103934364718</v>
      </c>
      <c r="DU74" s="59">
        <f t="shared" si="98"/>
        <v>304.84379909635476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1.980313926485495</v>
      </c>
      <c r="EB74" s="21">
        <f>EXP(-LN(2)/25)*EB73+(1-EXP(-LN(2)/25))/(LN(2)/25)*Calculateur!DW74*Calculateur!DY74*VLOOKUP('Données projet'!$B$14,Paramètres!$A$1:$I$89,3,0)*0.475*44/12</f>
        <v>2.2948140106329777</v>
      </c>
      <c r="EC74" s="21">
        <f>EXP(-LN(2)/2)*EC73+(1-EXP(-LN(2)/2))/(LN(2)/2)*DW74*DZ74*VLOOKUP('Données projet'!$B$14,Paramètres!$A$1:$I$89,3,0)*0.475*44/12</f>
        <v>3.8806892850725864E-6</v>
      </c>
      <c r="ED74" s="22">
        <f t="shared" si="72"/>
        <v>4.2751318178077584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207.2913533618397</v>
      </c>
      <c r="EP74" s="59">
        <f t="shared" si="100"/>
        <v>230.81096055024483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3.07344802027125</v>
      </c>
      <c r="EW74" s="21">
        <f>EXP(-LN(2)/25)*EW73+(1-EXP(-LN(2)/25))/(LN(2)/25)*Calculateur!ER74*Calculateur!ET74*VLOOKUP('Données projet'!$B$15,Paramètres!$A$1:$I$89,3,0)*0.475*44/12</f>
        <v>1.935140489768687</v>
      </c>
      <c r="EX74" s="21">
        <f>EXP(-LN(2)/2)*EX73+(1-EXP(-LN(2)/2))/(LN(2)/2)*ER74*EU74*VLOOKUP('Données projet'!$B$15,Paramètres!$A$1:$I$89,3,0)*0.475*44/12</f>
        <v>1.9889991957800746E-6</v>
      </c>
      <c r="EY74" s="22">
        <f t="shared" si="75"/>
        <v>5.0085904990391326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370.49999999999989</v>
      </c>
      <c r="O75" s="13">
        <f>N75*VLOOKUP('Données projet'!$B$9,Paramètres!$A$1:$I$89,3,0)*VLOOKUP('Données projet'!$B$9,Paramètres!$A$1:$I$89,5,0)</f>
        <v>173.39399999999998</v>
      </c>
      <c r="P75" s="13">
        <f t="shared" si="87"/>
        <v>43.849289930196633</v>
      </c>
      <c r="Q75" s="20">
        <f t="shared" si="54"/>
        <v>378.36539662842574</v>
      </c>
      <c r="R75" s="59">
        <f t="shared" si="55"/>
        <v>671.698729961759</v>
      </c>
      <c r="S75" s="59">
        <f ca="1">AVERAGE(OFFSET($R$3,0,0,'Données projet'!$E$9+1,1))-AVERAGE(OFFSET($H$3,0,0,'Données projet'!$E$9+1,1))</f>
        <v>319.22903094674564</v>
      </c>
      <c r="T75" s="59">
        <f t="shared" si="88"/>
        <v>254.58690973142848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3.9506312059713027</v>
      </c>
      <c r="AA75" s="21">
        <f>EXP(-LN(2)/25)*AA74+(1-EXP(-LN(2)/25))/(LN(2)/25)*Calculateur!V75*Calculateur!X75*VLOOKUP('Données projet'!$B$9,Paramètres!$A$1:$I$89,3,0)*0.475*44/12</f>
        <v>3.4801334217695477</v>
      </c>
      <c r="AB75" s="21">
        <f>EXP(-LN(2)/2)*AB74+(1-EXP(-LN(2)/2))/(LN(2)/2)*V75*Y75*VLOOKUP('Données projet'!$B$9,Paramètres!$A$1:$I$89,3,0)*0.475*44/12</f>
        <v>5.265774080084985E-6</v>
      </c>
      <c r="AC75" s="22">
        <f t="shared" si="57"/>
        <v>7.4307698935149302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-3.4106051316484809E-13</v>
      </c>
      <c r="AJ75" s="13">
        <f>AI75*VLOOKUP('Données projet'!$B$10,Paramètres!$A$1:$I$89,3,0)*VLOOKUP('Données projet'!$B$10,Paramètres!$A$1:$I$89,5,0)</f>
        <v>-1.9065282685915009E-13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544.48194192356823</v>
      </c>
      <c r="AO75" s="59">
        <f t="shared" si="90"/>
        <v>668.20427590250733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3.1955039897601729</v>
      </c>
      <c r="AV75" s="21">
        <f>EXP(-LN(2)/25)*AV74+(1-EXP(-LN(2)/25))/(LN(2)/25)*Calculateur!AQ75*Calculateur!AS75*VLOOKUP('Données projet'!$B$10,Paramètres!$A$1:$I$89,3,0)*0.475*44/12</f>
        <v>13.298535114306368</v>
      </c>
      <c r="AW75" s="21">
        <f>EXP(-LN(2)/2)*AW74+(1-EXP(-LN(2)/2))/(LN(2)/2)*AQ75*AT75*VLOOKUP('Données projet'!$B$10,Paramètres!$A$1:$I$89,3,0)*0.475*44/12</f>
        <v>6.8750180076301773E-6</v>
      </c>
      <c r="AX75" s="21">
        <f t="shared" si="60"/>
        <v>16.49404597908455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7.6</v>
      </c>
      <c r="BD75" s="12">
        <f>IF('Données projet'!$A$88&gt;35,BD74+BC75-BL74,IF(A75&lt;'Données projet'!$A$88,$BA$205^A75,IF(A75='Données projet'!$A$88,'Données projet'!$B$88,BD74+BC75-BL74)))</f>
        <v>289.2</v>
      </c>
      <c r="BE75" s="13">
        <f>BD75*VLOOKUP('Données projet'!$B$11,Paramètres!$A$1:$I$89,3,0)*VLOOKUP('Données projet'!$B$11,Paramètres!$A$1:$I$89,5,0)</f>
        <v>261.66816</v>
      </c>
      <c r="BF75" s="13">
        <f t="shared" si="91"/>
        <v>63.077829793082856</v>
      </c>
      <c r="BG75" s="20">
        <f t="shared" si="61"/>
        <v>565.5992655562859</v>
      </c>
      <c r="BH75" s="59">
        <f t="shared" si="62"/>
        <v>858.93259888961916</v>
      </c>
      <c r="BI75" s="59">
        <f ca="1">AVERAGE(OFFSET($BH$3,0,0,'Données projet'!$E$11+1,1))-AVERAGE(OFFSET($H$3,0,0,'Données projet'!$E$11+1,1))</f>
        <v>405.7176439604217</v>
      </c>
      <c r="BJ75" s="59">
        <f t="shared" si="92"/>
        <v>278.21741231699929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3.1811852591844691</v>
      </c>
      <c r="BQ75" s="21">
        <f>EXP(-LN(2)/25)*BQ74+(1-EXP(-LN(2)/25))/(LN(2)/25)*Calculateur!BL75*Calculateur!BN75*VLOOKUP('Données projet'!$B$11,Paramètres!$A$1:$I$89,3,0)*0.475*44/12</f>
        <v>2.922580910071952</v>
      </c>
      <c r="BR75" s="21">
        <f>EXP(-LN(2)/2)*BR74+(1-EXP(-LN(2)/2))/(LN(2)/2)*BL75*BO75*VLOOKUP('Données projet'!$B$11,Paramètres!$A$1:$I$89,3,0)*0.475*44/12</f>
        <v>4.0697253176392105E-6</v>
      </c>
      <c r="BS75" s="22">
        <f t="shared" si="63"/>
        <v>6.1037702389817383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3.4</v>
      </c>
      <c r="CT75" s="12">
        <f>IF('Données projet'!$A$140&gt;35,CT74+CS75-DB74,IF(A75&lt;'Données projet'!$A$140,$CQ$205^A75,IF(A75='Données projet'!$A$140,'Données projet'!$B$140,CT74+CS75-DB74)))</f>
        <v>259.79999999999984</v>
      </c>
      <c r="CU75" s="17">
        <f>CT75*VLOOKUP('Données projet'!$B$13,Paramètres!$A$1:$I$89,3,0)*VLOOKUP('Données projet'!$B$13,Paramètres!$A$1:$I$89,5,0)</f>
        <v>206.69687999999991</v>
      </c>
      <c r="CV75" s="13">
        <f t="shared" si="95"/>
        <v>51.213106197404436</v>
      </c>
      <c r="CW75" s="20">
        <f t="shared" si="67"/>
        <v>449.1932259604792</v>
      </c>
      <c r="CX75" s="59">
        <f t="shared" si="68"/>
        <v>742.52655929381251</v>
      </c>
      <c r="CY75" s="59">
        <f ca="1">AVERAGE(OFFSET($CX$3,0,0,'Données projet'!$E$13+1,1))-AVERAGE(OFFSET($H$3,0,0,'Données projet'!$E$13+1,1))</f>
        <v>299.10536994156814</v>
      </c>
      <c r="CZ75" s="59">
        <f t="shared" si="96"/>
        <v>292.57799203101769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3.6655748755638782</v>
      </c>
      <c r="DG75" s="21">
        <f>EXP(-LN(2)/25)*DG74+(1-EXP(-LN(2)/25))/(LN(2)/25)*Calculateur!DB75*Calculateur!DD75*VLOOKUP('Données projet'!$B$13,Paramètres!$A$1:$I$89,3,0)*0.475*44/12</f>
        <v>3.3744722935619698</v>
      </c>
      <c r="DH75" s="21">
        <f>EXP(-LN(2)/2)*DH74+(1-EXP(-LN(2)/2))/(LN(2)/2)*DB75*DE75*VLOOKUP('Données projet'!$B$13,Paramètres!$A$1:$I$89,3,0)*0.475*44/12</f>
        <v>4.2784922460675456E-6</v>
      </c>
      <c r="DI75" s="22">
        <f t="shared" si="69"/>
        <v>7.0400514476180938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4.8</v>
      </c>
      <c r="DO75" s="12">
        <f>IF('Données projet'!$A$166&gt;35,DO74+DN75-DW74,IF(A75&lt;'Données projet'!$A$166,$DL$205^A75,IF(A75='Données projet'!$A$166,'Données projet'!$B$166,DO74+DN75-DW74)))</f>
        <v>258.60000000000008</v>
      </c>
      <c r="DP75" s="17">
        <f>DO75*VLOOKUP('Données projet'!$B$14,Paramètres!$A$1:$I$89,3,0)*VLOOKUP('Données projet'!$B$14,Paramètres!$A$1:$I$89,5,0)</f>
        <v>169.43472000000006</v>
      </c>
      <c r="DQ75" s="13">
        <f t="shared" si="97"/>
        <v>42.963395138288874</v>
      </c>
      <c r="DR75" s="20">
        <f t="shared" si="70"/>
        <v>369.9267171991865</v>
      </c>
      <c r="DS75" s="59">
        <f t="shared" si="71"/>
        <v>663.26005053251981</v>
      </c>
      <c r="DT75" s="59">
        <f ca="1">AVERAGE(OFFSET($DS$3,0,0,'Données projet'!$E$14+1,1))-AVERAGE(OFFSET($H$3,0,0,'Données projet'!$E$14+1,1))</f>
        <v>295.92103934364718</v>
      </c>
      <c r="DU75" s="59">
        <f t="shared" si="98"/>
        <v>304.84379909635476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1.9414811782593422</v>
      </c>
      <c r="EB75" s="21">
        <f>EXP(-LN(2)/25)*EB74+(1-EXP(-LN(2)/25))/(LN(2)/25)*Calculateur!DW75*Calculateur!DY75*VLOOKUP('Données projet'!$B$14,Paramètres!$A$1:$I$89,3,0)*0.475*44/12</f>
        <v>2.232062200833195</v>
      </c>
      <c r="EC75" s="21">
        <f>EXP(-LN(2)/2)*EC74+(1-EXP(-LN(2)/2))/(LN(2)/2)*DW75*DZ75*VLOOKUP('Données projet'!$B$14,Paramètres!$A$1:$I$89,3,0)*0.475*44/12</f>
        <v>2.744061709152801E-6</v>
      </c>
      <c r="ED75" s="22">
        <f t="shared" si="72"/>
        <v>4.1735461231542468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207.2913533618397</v>
      </c>
      <c r="EP75" s="59">
        <f t="shared" si="100"/>
        <v>230.81096055024483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3.0131795792119198</v>
      </c>
      <c r="EW75" s="21">
        <f>EXP(-LN(2)/25)*EW74+(1-EXP(-LN(2)/25))/(LN(2)/25)*Calculateur!ER75*Calculateur!ET75*VLOOKUP('Données projet'!$B$15,Paramètres!$A$1:$I$89,3,0)*0.475*44/12</f>
        <v>1.8822239713113467</v>
      </c>
      <c r="EX75" s="21">
        <f>EXP(-LN(2)/2)*EX74+(1-EXP(-LN(2)/2))/(LN(2)/2)*ER75*EU75*VLOOKUP('Données projet'!$B$15,Paramètres!$A$1:$I$89,3,0)*0.475*44/12</f>
        <v>1.4064348191106803E-6</v>
      </c>
      <c r="EY75" s="22">
        <f t="shared" si="75"/>
        <v>4.8954049569580853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387.49999999999989</v>
      </c>
      <c r="O76" s="13">
        <f>N76*VLOOKUP('Données projet'!$B$9,Paramètres!$A$1:$I$89,3,0)*VLOOKUP('Données projet'!$B$9,Paramètres!$A$1:$I$89,5,0)</f>
        <v>181.34999999999994</v>
      </c>
      <c r="P76" s="13">
        <f t="shared" si="87"/>
        <v>45.622405555921837</v>
      </c>
      <c r="Q76" s="20">
        <f t="shared" si="54"/>
        <v>395.310273009897</v>
      </c>
      <c r="R76" s="59">
        <f t="shared" si="55"/>
        <v>688.64360634323032</v>
      </c>
      <c r="S76" s="59">
        <f ca="1">AVERAGE(OFFSET($R$3,0,0,'Données projet'!$E$9+1,1))-AVERAGE(OFFSET($H$3,0,0,'Données projet'!$E$9+1,1))</f>
        <v>319.22903094674564</v>
      </c>
      <c r="T76" s="59">
        <f t="shared" si="88"/>
        <v>254.58690973142848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3.8731617376693084</v>
      </c>
      <c r="AA76" s="21">
        <f>EXP(-LN(2)/25)*AA75+(1-EXP(-LN(2)/25))/(LN(2)/25)*Calculateur!V76*Calculateur!X76*VLOOKUP('Données projet'!$B$9,Paramètres!$A$1:$I$89,3,0)*0.475*44/12</f>
        <v>3.3849689903389968</v>
      </c>
      <c r="AB76" s="21">
        <f>EXP(-LN(2)/2)*AB75+(1-EXP(-LN(2)/2))/(LN(2)/2)*V76*Y76*VLOOKUP('Données projet'!$B$9,Paramètres!$A$1:$I$89,3,0)*0.475*44/12</f>
        <v>3.7234645602244474E-6</v>
      </c>
      <c r="AC76" s="22">
        <f t="shared" si="57"/>
        <v>7.2581344514728654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-3.4106051316484809E-13</v>
      </c>
      <c r="AJ76" s="13">
        <f>AI76*VLOOKUP('Données projet'!$B$10,Paramètres!$A$1:$I$89,3,0)*VLOOKUP('Données projet'!$B$10,Paramètres!$A$1:$I$89,5,0)</f>
        <v>-1.9065282685915009E-13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544.48194192356823</v>
      </c>
      <c r="AO76" s="59">
        <f t="shared" si="90"/>
        <v>668.20427590250733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3.1328421055859557</v>
      </c>
      <c r="AV76" s="21">
        <f>EXP(-LN(2)/25)*AV75+(1-EXP(-LN(2)/25))/(LN(2)/25)*Calculateur!AQ76*Calculateur!AS76*VLOOKUP('Données projet'!$B$10,Paramètres!$A$1:$I$89,3,0)*0.475*44/12</f>
        <v>12.934885972266093</v>
      </c>
      <c r="AW76" s="21">
        <f>EXP(-LN(2)/2)*AW75+(1-EXP(-LN(2)/2))/(LN(2)/2)*AQ76*AT76*VLOOKUP('Données projet'!$B$10,Paramètres!$A$1:$I$89,3,0)*0.475*44/12</f>
        <v>4.8613718539749256E-6</v>
      </c>
      <c r="AX76" s="21">
        <f t="shared" si="60"/>
        <v>16.067732939223902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7.6</v>
      </c>
      <c r="BD76" s="12">
        <f>IF('Données projet'!$A$88&gt;35,BD75+BC76-BL75,IF(A76&lt;'Données projet'!$A$88,$BA$205^A76,IF(A76='Données projet'!$A$88,'Données projet'!$B$88,BD75+BC76-BL75)))</f>
        <v>296.8</v>
      </c>
      <c r="BE76" s="13">
        <f>BD76*VLOOKUP('Données projet'!$B$11,Paramètres!$A$1:$I$89,3,0)*VLOOKUP('Données projet'!$B$11,Paramètres!$A$1:$I$89,5,0)</f>
        <v>268.54464000000002</v>
      </c>
      <c r="BF76" s="13">
        <f t="shared" si="91"/>
        <v>64.54030807605065</v>
      </c>
      <c r="BG76" s="20">
        <f t="shared" si="61"/>
        <v>580.12295123245474</v>
      </c>
      <c r="BH76" s="59">
        <f t="shared" si="62"/>
        <v>873.45628456578811</v>
      </c>
      <c r="BI76" s="59">
        <f ca="1">AVERAGE(OFFSET($BH$3,0,0,'Données projet'!$E$11+1,1))-AVERAGE(OFFSET($H$3,0,0,'Données projet'!$E$11+1,1))</f>
        <v>405.7176439604217</v>
      </c>
      <c r="BJ76" s="59">
        <f t="shared" si="92"/>
        <v>278.21741231699929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3.1188041565832778</v>
      </c>
      <c r="BQ76" s="21">
        <f>EXP(-LN(2)/25)*BQ75+(1-EXP(-LN(2)/25))/(LN(2)/25)*Calculateur!BL76*Calculateur!BN76*VLOOKUP('Données projet'!$B$11,Paramètres!$A$1:$I$89,3,0)*0.475*44/12</f>
        <v>2.8426627813941838</v>
      </c>
      <c r="BR76" s="21">
        <f>EXP(-LN(2)/2)*BR75+(1-EXP(-LN(2)/2))/(LN(2)/2)*BL76*BO76*VLOOKUP('Données projet'!$B$11,Paramètres!$A$1:$I$89,3,0)*0.475*44/12</f>
        <v>2.8777303696692618E-6</v>
      </c>
      <c r="BS76" s="22">
        <f t="shared" si="63"/>
        <v>5.9614698157078312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3.4</v>
      </c>
      <c r="CT76" s="12">
        <f>IF('Données projet'!$A$140&gt;35,CT75+CS76-DB75,IF(A76&lt;'Données projet'!$A$140,$CQ$205^A76,IF(A76='Données projet'!$A$140,'Données projet'!$B$140,CT75+CS76-DB75)))</f>
        <v>263.19999999999982</v>
      </c>
      <c r="CU76" s="17">
        <f>CT76*VLOOKUP('Données projet'!$B$13,Paramètres!$A$1:$I$89,3,0)*VLOOKUP('Données projet'!$B$13,Paramètres!$A$1:$I$89,5,0)</f>
        <v>209.40191999999988</v>
      </c>
      <c r="CV76" s="13">
        <f t="shared" si="95"/>
        <v>51.804868484579039</v>
      </c>
      <c r="CW76" s="20">
        <f t="shared" si="67"/>
        <v>454.93515661064157</v>
      </c>
      <c r="CX76" s="59">
        <f t="shared" si="68"/>
        <v>748.26848994397483</v>
      </c>
      <c r="CY76" s="59">
        <f ca="1">AVERAGE(OFFSET($CX$3,0,0,'Données projet'!$E$13+1,1))-AVERAGE(OFFSET($H$3,0,0,'Données projet'!$E$13+1,1))</f>
        <v>299.10536994156814</v>
      </c>
      <c r="CZ76" s="59">
        <f t="shared" si="96"/>
        <v>292.57799203101769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3.5936951880339798</v>
      </c>
      <c r="DG76" s="21">
        <f>EXP(-LN(2)/25)*DG75+(1-EXP(-LN(2)/25))/(LN(2)/25)*Calculateur!DB76*Calculateur!DD76*VLOOKUP('Données projet'!$B$13,Paramètres!$A$1:$I$89,3,0)*0.475*44/12</f>
        <v>3.2821971712387321</v>
      </c>
      <c r="DH76" s="21">
        <f>EXP(-LN(2)/2)*DH75+(1-EXP(-LN(2)/2))/(LN(2)/2)*DB76*DE76*VLOOKUP('Données projet'!$B$13,Paramètres!$A$1:$I$89,3,0)*0.475*44/12</f>
        <v>3.0253508804484243E-6</v>
      </c>
      <c r="DI76" s="22">
        <f t="shared" si="69"/>
        <v>6.8758953846235915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4.8</v>
      </c>
      <c r="DO76" s="12">
        <f>IF('Données projet'!$A$166&gt;35,DO75+DN76-DW75,IF(A76&lt;'Données projet'!$A$166,$DL$205^A76,IF(A76='Données projet'!$A$166,'Données projet'!$B$166,DO75+DN76-DW75)))</f>
        <v>263.40000000000009</v>
      </c>
      <c r="DP76" s="17">
        <f>DO76*VLOOKUP('Données projet'!$B$14,Paramètres!$A$1:$I$89,3,0)*VLOOKUP('Données projet'!$B$14,Paramètres!$A$1:$I$89,5,0)</f>
        <v>172.57968000000005</v>
      </c>
      <c r="DQ76" s="13">
        <f t="shared" si="97"/>
        <v>43.667278691745118</v>
      </c>
      <c r="DR76" s="20">
        <f t="shared" si="70"/>
        <v>376.63011972145614</v>
      </c>
      <c r="DS76" s="59">
        <f t="shared" si="71"/>
        <v>669.9634530547894</v>
      </c>
      <c r="DT76" s="59">
        <f ca="1">AVERAGE(OFFSET($DS$3,0,0,'Données projet'!$E$14+1,1))-AVERAGE(OFFSET($H$3,0,0,'Données projet'!$E$14+1,1))</f>
        <v>295.92103934364718</v>
      </c>
      <c r="DU76" s="59">
        <f t="shared" si="98"/>
        <v>304.84379909635476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1.9034099165402665</v>
      </c>
      <c r="EB76" s="21">
        <f>EXP(-LN(2)/25)*EB75+(1-EXP(-LN(2)/25))/(LN(2)/25)*Calculateur!DW76*Calculateur!DY76*VLOOKUP('Données projet'!$B$14,Paramètres!$A$1:$I$89,3,0)*0.475*44/12</f>
        <v>2.1710263425723615</v>
      </c>
      <c r="EC76" s="21">
        <f>EXP(-LN(2)/2)*EC75+(1-EXP(-LN(2)/2))/(LN(2)/2)*DW76*DZ76*VLOOKUP('Données projet'!$B$14,Paramètres!$A$1:$I$89,3,0)*0.475*44/12</f>
        <v>1.9403446425362932E-6</v>
      </c>
      <c r="ED76" s="22">
        <f t="shared" si="72"/>
        <v>4.07443819945727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207.2913533618397</v>
      </c>
      <c r="EP76" s="59">
        <f t="shared" si="100"/>
        <v>230.81096055024483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2.9540929655216441</v>
      </c>
      <c r="EW76" s="21">
        <f>EXP(-LN(2)/25)*EW75+(1-EXP(-LN(2)/25))/(LN(2)/25)*Calculateur!ER76*Calculateur!ET76*VLOOKUP('Données projet'!$B$15,Paramètres!$A$1:$I$89,3,0)*0.475*44/12</f>
        <v>1.8307544578339812</v>
      </c>
      <c r="EX76" s="21">
        <f>EXP(-LN(2)/2)*EX75+(1-EXP(-LN(2)/2))/(LN(2)/2)*ER76*EU76*VLOOKUP('Données projet'!$B$15,Paramètres!$A$1:$I$89,3,0)*0.475*44/12</f>
        <v>9.9449959789003732E-7</v>
      </c>
      <c r="EY76" s="22">
        <f t="shared" si="75"/>
        <v>4.7848484178552235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404.49999999999989</v>
      </c>
      <c r="O77" s="13">
        <f>N77*VLOOKUP('Données projet'!$B$9,Paramètres!$A$1:$I$89,3,0)*VLOOKUP('Données projet'!$B$9,Paramètres!$A$1:$I$89,5,0)</f>
        <v>189.30599999999993</v>
      </c>
      <c r="P77" s="13">
        <f t="shared" si="87"/>
        <v>47.386486642979079</v>
      </c>
      <c r="Q77" s="20">
        <f t="shared" si="54"/>
        <v>412.23941423652178</v>
      </c>
      <c r="R77" s="59">
        <f t="shared" si="55"/>
        <v>705.5727475698551</v>
      </c>
      <c r="S77" s="59">
        <f ca="1">AVERAGE(OFFSET($R$3,0,0,'Données projet'!$E$9+1,1))-AVERAGE(OFFSET($H$3,0,0,'Données projet'!$E$9+1,1))</f>
        <v>319.22903094674564</v>
      </c>
      <c r="T77" s="59">
        <f t="shared" si="88"/>
        <v>254.58690973142848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3.7972113983890061</v>
      </c>
      <c r="AA77" s="21">
        <f>EXP(-LN(2)/25)*AA76+(1-EXP(-LN(2)/25))/(LN(2)/25)*Calculateur!V77*Calculateur!X77*VLOOKUP('Données projet'!$B$9,Paramètres!$A$1:$I$89,3,0)*0.475*44/12</f>
        <v>3.2924068352903944</v>
      </c>
      <c r="AB77" s="21">
        <f>EXP(-LN(2)/2)*AB76+(1-EXP(-LN(2)/2))/(LN(2)/2)*V77*Y77*VLOOKUP('Données projet'!$B$9,Paramètres!$A$1:$I$89,3,0)*0.475*44/12</f>
        <v>2.6328870400424929E-6</v>
      </c>
      <c r="AC77" s="22">
        <f t="shared" si="57"/>
        <v>7.0896208665664409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-3.4106051316484809E-13</v>
      </c>
      <c r="AJ77" s="13">
        <f>AI77*VLOOKUP('Données projet'!$B$10,Paramètres!$A$1:$I$89,3,0)*VLOOKUP('Données projet'!$B$10,Paramètres!$A$1:$I$89,5,0)</f>
        <v>-1.9065282685915009E-13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544.48194192356823</v>
      </c>
      <c r="AO77" s="59">
        <f t="shared" si="90"/>
        <v>668.20427590250733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3.0714089827404192</v>
      </c>
      <c r="AV77" s="21">
        <f>EXP(-LN(2)/25)*AV76+(1-EXP(-LN(2)/25))/(LN(2)/25)*Calculateur!AQ77*Calculateur!AS77*VLOOKUP('Données projet'!$B$10,Paramètres!$A$1:$I$89,3,0)*0.475*44/12</f>
        <v>12.581180835138387</v>
      </c>
      <c r="AW77" s="21">
        <f>EXP(-LN(2)/2)*AW76+(1-EXP(-LN(2)/2))/(LN(2)/2)*AQ77*AT77*VLOOKUP('Données projet'!$B$10,Paramètres!$A$1:$I$89,3,0)*0.475*44/12</f>
        <v>3.4375090038150886E-6</v>
      </c>
      <c r="AX77" s="21">
        <f t="shared" si="60"/>
        <v>15.65259325538781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7.6</v>
      </c>
      <c r="BD77" s="12">
        <f>IF('Données projet'!$A$88&gt;35,BD76+BC77-BL76,IF(A77&lt;'Données projet'!$A$88,$BA$205^A77,IF(A77='Données projet'!$A$88,'Données projet'!$B$88,BD76+BC77-BL76)))</f>
        <v>304.40000000000003</v>
      </c>
      <c r="BE77" s="13">
        <f>BD77*VLOOKUP('Données projet'!$B$11,Paramètres!$A$1:$I$89,3,0)*VLOOKUP('Données projet'!$B$11,Paramètres!$A$1:$I$89,5,0)</f>
        <v>275.42112000000003</v>
      </c>
      <c r="BF77" s="13">
        <f t="shared" si="91"/>
        <v>65.998433293601067</v>
      </c>
      <c r="BG77" s="20">
        <f t="shared" si="61"/>
        <v>594.63905531968851</v>
      </c>
      <c r="BH77" s="59">
        <f t="shared" si="62"/>
        <v>887.97238865302188</v>
      </c>
      <c r="BI77" s="59">
        <f ca="1">AVERAGE(OFFSET($BH$3,0,0,'Données projet'!$E$11+1,1))-AVERAGE(OFFSET($H$3,0,0,'Données projet'!$E$11+1,1))</f>
        <v>405.7176439604217</v>
      </c>
      <c r="BJ77" s="59">
        <f t="shared" si="92"/>
        <v>278.21741231699929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3.0576463093553805</v>
      </c>
      <c r="BQ77" s="21">
        <f>EXP(-LN(2)/25)*BQ76+(1-EXP(-LN(2)/25))/(LN(2)/25)*Calculateur!BL77*Calculateur!BN77*VLOOKUP('Données projet'!$B$11,Paramètres!$A$1:$I$89,3,0)*0.475*44/12</f>
        <v>2.7649300181478211</v>
      </c>
      <c r="BR77" s="21">
        <f>EXP(-LN(2)/2)*BR76+(1-EXP(-LN(2)/2))/(LN(2)/2)*BL77*BO77*VLOOKUP('Données projet'!$B$11,Paramètres!$A$1:$I$89,3,0)*0.475*44/12</f>
        <v>2.0348626588196052E-6</v>
      </c>
      <c r="BS77" s="22">
        <f t="shared" si="63"/>
        <v>5.82257836236586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3.4</v>
      </c>
      <c r="CT77" s="12">
        <f>IF('Données projet'!$A$140&gt;35,CT76+CS77-DB76,IF(A77&lt;'Données projet'!$A$140,$CQ$205^A77,IF(A77='Données projet'!$A$140,'Données projet'!$B$140,CT76+CS77-DB76)))</f>
        <v>266.5999999999998</v>
      </c>
      <c r="CU77" s="17">
        <f>CT77*VLOOKUP('Données projet'!$B$13,Paramètres!$A$1:$I$89,3,0)*VLOOKUP('Données projet'!$B$13,Paramètres!$A$1:$I$89,5,0)</f>
        <v>212.10695999999984</v>
      </c>
      <c r="CV77" s="13">
        <f t="shared" si="95"/>
        <v>52.395741612408194</v>
      </c>
      <c r="CW77" s="20">
        <f t="shared" si="67"/>
        <v>460.67553864161067</v>
      </c>
      <c r="CX77" s="59">
        <f t="shared" si="68"/>
        <v>754.00887197494399</v>
      </c>
      <c r="CY77" s="59">
        <f ca="1">AVERAGE(OFFSET($CX$3,0,0,'Données projet'!$E$13+1,1))-AVERAGE(OFFSET($H$3,0,0,'Données projet'!$E$13+1,1))</f>
        <v>299.10536994156814</v>
      </c>
      <c r="CZ77" s="59">
        <f t="shared" si="96"/>
        <v>292.57799203101769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3.5232250173342621</v>
      </c>
      <c r="DG77" s="21">
        <f>EXP(-LN(2)/25)*DG76+(1-EXP(-LN(2)/25))/(LN(2)/25)*Calculateur!DB77*Calculateur!DD77*VLOOKUP('Données projet'!$B$13,Paramètres!$A$1:$I$89,3,0)*0.475*44/12</f>
        <v>3.1924453169879614</v>
      </c>
      <c r="DH77" s="21">
        <f>EXP(-LN(2)/2)*DH76+(1-EXP(-LN(2)/2))/(LN(2)/2)*DB77*DE77*VLOOKUP('Données projet'!$B$13,Paramètres!$A$1:$I$89,3,0)*0.475*44/12</f>
        <v>2.1392461230337728E-6</v>
      </c>
      <c r="DI77" s="22">
        <f t="shared" si="69"/>
        <v>6.7156724735683468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4.8</v>
      </c>
      <c r="DO77" s="12">
        <f>IF('Données projet'!$A$166&gt;35,DO76+DN77-DW76,IF(A77&lt;'Données projet'!$A$166,$DL$205^A77,IF(A77='Données projet'!$A$166,'Données projet'!$B$166,DO76+DN77-DW76)))</f>
        <v>268.2000000000001</v>
      </c>
      <c r="DP77" s="17">
        <f>DO77*VLOOKUP('Données projet'!$B$14,Paramètres!$A$1:$I$89,3,0)*VLOOKUP('Données projet'!$B$14,Paramètres!$A$1:$I$89,5,0)</f>
        <v>175.72464000000005</v>
      </c>
      <c r="DQ77" s="13">
        <f t="shared" si="97"/>
        <v>44.369670673452703</v>
      </c>
      <c r="DR77" s="20">
        <f t="shared" si="70"/>
        <v>383.3309244229302</v>
      </c>
      <c r="DS77" s="59">
        <f t="shared" si="71"/>
        <v>676.66425775626351</v>
      </c>
      <c r="DT77" s="59">
        <f ca="1">AVERAGE(OFFSET($DS$3,0,0,'Données projet'!$E$14+1,1))-AVERAGE(OFFSET($H$3,0,0,'Données projet'!$E$14+1,1))</f>
        <v>295.92103934364718</v>
      </c>
      <c r="DU77" s="59">
        <f t="shared" si="98"/>
        <v>304.84379909635476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1.8660852090423252</v>
      </c>
      <c r="EB77" s="21">
        <f>EXP(-LN(2)/25)*EB76+(1-EXP(-LN(2)/25))/(LN(2)/25)*Calculateur!DW77*Calculateur!DY77*VLOOKUP('Données projet'!$B$14,Paramètres!$A$1:$I$89,3,0)*0.475*44/12</f>
        <v>2.111659513065407</v>
      </c>
      <c r="EC77" s="21">
        <f>EXP(-LN(2)/2)*EC76+(1-EXP(-LN(2)/2))/(LN(2)/2)*DW77*DZ77*VLOOKUP('Données projet'!$B$14,Paramètres!$A$1:$I$89,3,0)*0.475*44/12</f>
        <v>1.3720308545764005E-6</v>
      </c>
      <c r="ED77" s="22">
        <f t="shared" si="72"/>
        <v>3.9777460941385869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207.2913533618397</v>
      </c>
      <c r="EP77" s="59">
        <f t="shared" si="100"/>
        <v>230.81096055024483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2.896165004286559</v>
      </c>
      <c r="EW77" s="21">
        <f>EXP(-LN(2)/25)*EW76+(1-EXP(-LN(2)/25))/(LN(2)/25)*Calculateur!ER77*Calculateur!ET77*VLOOKUP('Données projet'!$B$15,Paramètres!$A$1:$I$89,3,0)*0.475*44/12</f>
        <v>1.7806923809093183</v>
      </c>
      <c r="EX77" s="21">
        <f>EXP(-LN(2)/2)*EX76+(1-EXP(-LN(2)/2))/(LN(2)/2)*ER77*EU77*VLOOKUP('Données projet'!$B$15,Paramètres!$A$1:$I$89,3,0)*0.475*44/12</f>
        <v>7.0321740955534015E-7</v>
      </c>
      <c r="EY77" s="22">
        <f t="shared" si="75"/>
        <v>4.6768580884132867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421.49999999999989</v>
      </c>
      <c r="O78" s="13">
        <f>N78*VLOOKUP('Données projet'!$B$9,Paramètres!$A$1:$I$89,3,0)*VLOOKUP('Données projet'!$B$9,Paramètres!$A$1:$I$89,5,0)</f>
        <v>197.26199999999994</v>
      </c>
      <c r="P78" s="13">
        <f t="shared" si="87"/>
        <v>49.141956303266518</v>
      </c>
      <c r="Q78" s="20">
        <f t="shared" si="54"/>
        <v>429.15355722818907</v>
      </c>
      <c r="R78" s="59">
        <f t="shared" si="55"/>
        <v>722.48689056152239</v>
      </c>
      <c r="S78" s="59">
        <f ca="1">AVERAGE(OFFSET($R$3,0,0,'Données projet'!$E$9+1,1))-AVERAGE(OFFSET($H$3,0,0,'Données projet'!$E$9+1,1))</f>
        <v>319.22903094674564</v>
      </c>
      <c r="T78" s="59">
        <f t="shared" si="88"/>
        <v>254.58690973142848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3.7227503989368578</v>
      </c>
      <c r="AA78" s="21">
        <f>EXP(-LN(2)/25)*AA77+(1-EXP(-LN(2)/25))/(LN(2)/25)*Calculateur!V78*Calculateur!X78*VLOOKUP('Données projet'!$B$9,Paramètres!$A$1:$I$89,3,0)*0.475*44/12</f>
        <v>3.2023757972392279</v>
      </c>
      <c r="AB78" s="21">
        <f>EXP(-LN(2)/2)*AB77+(1-EXP(-LN(2)/2))/(LN(2)/2)*V78*Y78*VLOOKUP('Données projet'!$B$9,Paramètres!$A$1:$I$89,3,0)*0.475*44/12</f>
        <v>1.8617322801122239E-6</v>
      </c>
      <c r="AC78" s="22">
        <f t="shared" si="57"/>
        <v>6.9251280579083661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-3.4106051316484809E-13</v>
      </c>
      <c r="AJ78" s="13">
        <f>AI78*VLOOKUP('Données projet'!$B$10,Paramètres!$A$1:$I$89,3,0)*VLOOKUP('Données projet'!$B$10,Paramètres!$A$1:$I$89,5,0)</f>
        <v>-1.9065282685915009E-13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544.48194192356823</v>
      </c>
      <c r="AO78" s="59">
        <f t="shared" si="90"/>
        <v>668.20427590250733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3.0111805259633786</v>
      </c>
      <c r="AV78" s="21">
        <f>EXP(-LN(2)/25)*AV77+(1-EXP(-LN(2)/25))/(LN(2)/25)*Calculateur!AQ78*Calculateur!AS78*VLOOKUP('Données projet'!$B$10,Paramètres!$A$1:$I$89,3,0)*0.475*44/12</f>
        <v>12.237147783585982</v>
      </c>
      <c r="AW78" s="21">
        <f>EXP(-LN(2)/2)*AW77+(1-EXP(-LN(2)/2))/(LN(2)/2)*AQ78*AT78*VLOOKUP('Données projet'!$B$10,Paramètres!$A$1:$I$89,3,0)*0.475*44/12</f>
        <v>2.4306859269874628E-6</v>
      </c>
      <c r="AX78" s="21">
        <f t="shared" si="60"/>
        <v>15.248330740235287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312</v>
      </c>
      <c r="BB78" s="12">
        <f>VLOOKUP(A78,'Données projet'!$A$87:$I$107,9,0)</f>
        <v>7.6</v>
      </c>
      <c r="BC78" s="12">
        <f t="array" ref="BC78">INDEX(BB:BB,MIN(IF(ISNUMBER(BB78:BB274),ROW(BB78:BB274),"")))</f>
        <v>7.6</v>
      </c>
      <c r="BD78" s="12">
        <f>IF('Données projet'!$A$88&gt;35,BD77+BC78-BL77,IF(A78&lt;'Données projet'!$A$88,$BA$205^A78,IF(A78='Données projet'!$A$88,'Données projet'!$B$88,BD77+BC78-BL77)))</f>
        <v>312.00000000000006</v>
      </c>
      <c r="BE78" s="13">
        <f>BD78*VLOOKUP('Données projet'!$B$11,Paramètres!$A$1:$I$89,3,0)*VLOOKUP('Données projet'!$B$11,Paramètres!$A$1:$I$89,5,0)</f>
        <v>282.29760000000005</v>
      </c>
      <c r="BF78" s="13">
        <f t="shared" si="91"/>
        <v>67.452326629470178</v>
      </c>
      <c r="BG78" s="20">
        <f t="shared" si="61"/>
        <v>609.14778887966054</v>
      </c>
      <c r="BH78" s="59">
        <f t="shared" si="62"/>
        <v>902.4811222129938</v>
      </c>
      <c r="BI78" s="59">
        <f ca="1">AVERAGE(OFFSET($BH$3,0,0,'Données projet'!$E$11+1,1))-AVERAGE(OFFSET($H$3,0,0,'Données projet'!$E$11+1,1))</f>
        <v>405.7176439604217</v>
      </c>
      <c r="BJ78" s="59">
        <f t="shared" si="92"/>
        <v>278.21741231699929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2.9976877302090186</v>
      </c>
      <c r="BQ78" s="21">
        <f>EXP(-LN(2)/25)*BQ77+(1-EXP(-LN(2)/25))/(LN(2)/25)*Calculateur!BL78*Calculateur!BN78*VLOOKUP('Données projet'!$B$11,Paramètres!$A$1:$I$89,3,0)*0.475*44/12</f>
        <v>2.6893228614002185</v>
      </c>
      <c r="BR78" s="21">
        <f>EXP(-LN(2)/2)*BR77+(1-EXP(-LN(2)/2))/(LN(2)/2)*BL78*BO78*VLOOKUP('Données projet'!$B$11,Paramètres!$A$1:$I$89,3,0)*0.475*44/12</f>
        <v>1.4388651848346309E-6</v>
      </c>
      <c r="BS78" s="22">
        <f t="shared" si="63"/>
        <v>5.6870120304744223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270</v>
      </c>
      <c r="CR78" s="12">
        <f>VLOOKUP(A78,'Données projet'!$A$139:$I$159,9,0)</f>
        <v>3.4</v>
      </c>
      <c r="CS78" s="12">
        <f t="array" ref="CS78">INDEX(CR:CR,MIN(IF(ISNUMBER(CR78:CR274),ROW(CR78:CR274),"")))</f>
        <v>3.4</v>
      </c>
      <c r="CT78" s="12">
        <f>IF('Données projet'!$A$140&gt;35,CT77+CS78-DB77,IF(A78&lt;'Données projet'!$A$140,$CQ$205^A78,IF(A78='Données projet'!$A$140,'Données projet'!$B$140,CT77+CS78-DB77)))</f>
        <v>269.99999999999977</v>
      </c>
      <c r="CU78" s="17">
        <f>CT78*VLOOKUP('Données projet'!$B$13,Paramètres!$A$1:$I$89,3,0)*VLOOKUP('Données projet'!$B$13,Paramètres!$A$1:$I$89,5,0)</f>
        <v>214.81199999999981</v>
      </c>
      <c r="CV78" s="13">
        <f t="shared" si="95"/>
        <v>52.985738231738011</v>
      </c>
      <c r="CW78" s="20">
        <f t="shared" si="67"/>
        <v>466.41439408694333</v>
      </c>
      <c r="CX78" s="59">
        <f t="shared" si="68"/>
        <v>759.74772742027665</v>
      </c>
      <c r="CY78" s="59">
        <f ca="1">AVERAGE(OFFSET($CX$3,0,0,'Données projet'!$E$13+1,1))-AVERAGE(OFFSET($H$3,0,0,'Données projet'!$E$13+1,1))</f>
        <v>299.10536994156814</v>
      </c>
      <c r="CZ78" s="59">
        <f t="shared" si="96"/>
        <v>292.57799203101769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9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3.4541367236994063</v>
      </c>
      <c r="DG78" s="21">
        <f>EXP(-LN(2)/25)*DG77+(1-EXP(-LN(2)/25))/(LN(2)/25)*Calculateur!DB78*Calculateur!DD78*VLOOKUP('Données projet'!$B$13,Paramètres!$A$1:$I$89,3,0)*0.475*44/12</f>
        <v>3.1051477319115226</v>
      </c>
      <c r="DH78" s="21">
        <f>EXP(-LN(2)/2)*DH77+(1-EXP(-LN(2)/2))/(LN(2)/2)*DB78*DE78*VLOOKUP('Données projet'!$B$13,Paramètres!$A$1:$I$89,3,0)*0.475*44/12</f>
        <v>1.5126754402242122E-6</v>
      </c>
      <c r="DI78" s="22">
        <f t="shared" si="69"/>
        <v>6.5592859682863685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273</v>
      </c>
      <c r="DM78" s="12">
        <f>VLOOKUP(A78,'Données projet'!$A$165:$I$185,9,0)</f>
        <v>4.8</v>
      </c>
      <c r="DN78" s="12">
        <f t="array" ref="DN78">INDEX(DM:DM,MIN(IF(ISNUMBER(DM78:DM274),ROW(DM78:DM274),"")))</f>
        <v>4.8</v>
      </c>
      <c r="DO78" s="12">
        <f>IF('Données projet'!$A$166&gt;35,DO77+DN78-DW77,IF(A78&lt;'Données projet'!$A$166,$DL$205^A78,IF(A78='Données projet'!$A$166,'Données projet'!$B$166,DO77+DN78-DW77)))</f>
        <v>273.00000000000011</v>
      </c>
      <c r="DP78" s="17">
        <f>DO78*VLOOKUP('Données projet'!$B$14,Paramètres!$A$1:$I$89,3,0)*VLOOKUP('Données projet'!$B$14,Paramètres!$A$1:$I$89,5,0)</f>
        <v>178.86960000000008</v>
      </c>
      <c r="DQ78" s="13">
        <f t="shared" si="97"/>
        <v>45.07060085766652</v>
      </c>
      <c r="DR78" s="20">
        <f t="shared" si="70"/>
        <v>390.02918316043593</v>
      </c>
      <c r="DS78" s="59">
        <f t="shared" si="71"/>
        <v>683.36251649376925</v>
      </c>
      <c r="DT78" s="59">
        <f ca="1">AVERAGE(OFFSET($DS$3,0,0,'Données projet'!$E$14+1,1))-AVERAGE(OFFSET($H$3,0,0,'Données projet'!$E$14+1,1))</f>
        <v>295.92103934364718</v>
      </c>
      <c r="DU78" s="59">
        <f t="shared" si="98"/>
        <v>304.84379909635476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19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1.829492416292595</v>
      </c>
      <c r="EB78" s="21">
        <f>EXP(-LN(2)/25)*EB77+(1-EXP(-LN(2)/25))/(LN(2)/25)*Calculateur!DW78*Calculateur!DY78*VLOOKUP('Données projet'!$B$14,Paramètres!$A$1:$I$89,3,0)*0.475*44/12</f>
        <v>2.0539160726332861</v>
      </c>
      <c r="EC78" s="21">
        <f>EXP(-LN(2)/2)*EC77+(1-EXP(-LN(2)/2))/(LN(2)/2)*DW78*DZ78*VLOOKUP('Données projet'!$B$14,Paramètres!$A$1:$I$89,3,0)*0.475*44/12</f>
        <v>9.7017232126814661E-7</v>
      </c>
      <c r="ED78" s="22">
        <f t="shared" si="72"/>
        <v>3.8834094590982025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207.2913533618397</v>
      </c>
      <c r="EP78" s="59">
        <f t="shared" si="100"/>
        <v>230.81096055024483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2.8393729750387262</v>
      </c>
      <c r="EW78" s="21">
        <f>EXP(-LN(2)/25)*EW77+(1-EXP(-LN(2)/25))/(LN(2)/25)*Calculateur!ER78*Calculateur!ET78*VLOOKUP('Données projet'!$B$15,Paramètres!$A$1:$I$89,3,0)*0.475*44/12</f>
        <v>1.7319992541108105</v>
      </c>
      <c r="EX78" s="21">
        <f>EXP(-LN(2)/2)*EX77+(1-EXP(-LN(2)/2))/(LN(2)/2)*ER78*EU78*VLOOKUP('Données projet'!$B$15,Paramètres!$A$1:$I$89,3,0)*0.475*44/12</f>
        <v>4.9724979894501866E-7</v>
      </c>
      <c r="EY78" s="22">
        <f t="shared" si="75"/>
        <v>4.5713727263993356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17</v>
      </c>
      <c r="N79" s="13">
        <f>IF('Données projet'!$A$36&gt;35,N78+M79-V78,IF(A79&lt;'Données projet'!$A$36,$K$205^A79,IF(A79='Données projet'!$A$36,'Données projet'!$B$36,N78+M79-V78)))</f>
        <v>438.49999999999989</v>
      </c>
      <c r="O79" s="13">
        <f>N79*VLOOKUP('Données projet'!$B$9,Paramètres!$A$1:$I$89,3,0)*VLOOKUP('Données projet'!$B$9,Paramètres!$A$1:$I$89,5,0)</f>
        <v>205.21799999999996</v>
      </c>
      <c r="P79" s="13">
        <f t="shared" si="87"/>
        <v>50.889201586985514</v>
      </c>
      <c r="Q79" s="20">
        <f t="shared" si="54"/>
        <v>446.05337609733306</v>
      </c>
      <c r="R79" s="59">
        <f t="shared" si="55"/>
        <v>739.38670943066631</v>
      </c>
      <c r="S79" s="59">
        <f ca="1">AVERAGE(OFFSET($R$3,0,0,'Données projet'!$E$9+1,1))-AVERAGE(OFFSET($H$3,0,0,'Données projet'!$E$9+1,1))</f>
        <v>319.22903094674564</v>
      </c>
      <c r="T79" s="59">
        <f t="shared" si="88"/>
        <v>254.58690973142848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3.649749534267241</v>
      </c>
      <c r="AA79" s="21">
        <f>EXP(-LN(2)/25)*AA78+(1-EXP(-LN(2)/25))/(LN(2)/25)*Calculateur!V79*Calculateur!X79*VLOOKUP('Données projet'!$B$9,Paramètres!$A$1:$I$89,3,0)*0.475*44/12</f>
        <v>3.114806662658097</v>
      </c>
      <c r="AB79" s="21">
        <f>EXP(-LN(2)/2)*AB78+(1-EXP(-LN(2)/2))/(LN(2)/2)*V79*Y79*VLOOKUP('Données projet'!$B$9,Paramètres!$A$1:$I$89,3,0)*0.475*44/12</f>
        <v>1.3164435200212467E-6</v>
      </c>
      <c r="AC79" s="22">
        <f t="shared" si="57"/>
        <v>6.7645575133688585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-3.4106051316484809E-13</v>
      </c>
      <c r="AJ79" s="13">
        <f>AI79*VLOOKUP('Données projet'!$B$10,Paramètres!$A$1:$I$89,3,0)*VLOOKUP('Données projet'!$B$10,Paramètres!$A$1:$I$89,5,0)</f>
        <v>-1.9065282685915009E-13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544.48194192356823</v>
      </c>
      <c r="AO79" s="59">
        <f t="shared" si="90"/>
        <v>668.20427590250733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2.9521331124880046</v>
      </c>
      <c r="AV79" s="21">
        <f>EXP(-LN(2)/25)*AV78+(1-EXP(-LN(2)/25))/(LN(2)/25)*Calculateur!AQ79*Calculateur!AS79*VLOOKUP('Données projet'!$B$10,Paramètres!$A$1:$I$89,3,0)*0.475*44/12</f>
        <v>11.90252233392019</v>
      </c>
      <c r="AW79" s="21">
        <f>EXP(-LN(2)/2)*AW78+(1-EXP(-LN(2)/2))/(LN(2)/2)*AQ79*AT79*VLOOKUP('Données projet'!$B$10,Paramètres!$A$1:$I$89,3,0)*0.475*44/12</f>
        <v>1.7187545019075443E-6</v>
      </c>
      <c r="AX79" s="21">
        <f t="shared" si="60"/>
        <v>14.854657165162697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291.20000000000005</v>
      </c>
      <c r="BE79" s="13">
        <f>BD79*VLOOKUP('Données projet'!$B$11,Paramètres!$A$1:$I$89,3,0)*VLOOKUP('Données projet'!$B$11,Paramètres!$A$1:$I$89,5,0)</f>
        <v>263.47776000000005</v>
      </c>
      <c r="BF79" s="13">
        <f t="shared" si="91"/>
        <v>63.46312159763346</v>
      </c>
      <c r="BG79" s="20">
        <f t="shared" si="61"/>
        <v>569.42203544921165</v>
      </c>
      <c r="BH79" s="59">
        <f t="shared" si="62"/>
        <v>862.75536878254502</v>
      </c>
      <c r="BI79" s="59">
        <f ca="1">AVERAGE(OFFSET($BH$3,0,0,'Données projet'!$E$11+1,1))-AVERAGE(OFFSET($H$3,0,0,'Données projet'!$E$11+1,1))</f>
        <v>405.7176439604217</v>
      </c>
      <c r="BJ79" s="59">
        <f t="shared" si="92"/>
        <v>278.21741231699929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2.9389049022285949</v>
      </c>
      <c r="BQ79" s="21">
        <f>EXP(-LN(2)/25)*BQ78+(1-EXP(-LN(2)/25))/(LN(2)/25)*Calculateur!BL79*Calculateur!BN79*VLOOKUP('Données projet'!$B$11,Paramètres!$A$1:$I$89,3,0)*0.475*44/12</f>
        <v>2.6157831863298866</v>
      </c>
      <c r="BR79" s="21">
        <f>EXP(-LN(2)/2)*BR78+(1-EXP(-LN(2)/2))/(LN(2)/2)*BL79*BO79*VLOOKUP('Données projet'!$B$11,Paramètres!$A$1:$I$89,3,0)*0.475*44/12</f>
        <v>1.0174313294098026E-6</v>
      </c>
      <c r="BS79" s="22">
        <f t="shared" si="63"/>
        <v>5.5546891059898114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2.8</v>
      </c>
      <c r="CT79" s="12">
        <f>IF('Données projet'!$A$140&gt;35,CT78+CS79-DB78,IF(A79&lt;'Données projet'!$A$140,$CQ$205^A79,IF(A79='Données projet'!$A$140,'Données projet'!$B$140,CT78+CS79-DB78)))</f>
        <v>263.79999999999978</v>
      </c>
      <c r="CU79" s="17">
        <f>CT79*VLOOKUP('Données projet'!$B$13,Paramètres!$A$1:$I$89,3,0)*VLOOKUP('Données projet'!$B$13,Paramètres!$A$1:$I$89,5,0)</f>
        <v>209.87927999999985</v>
      </c>
      <c r="CV79" s="13">
        <f t="shared" si="95"/>
        <v>51.909204458241767</v>
      </c>
      <c r="CW79" s="20">
        <f t="shared" si="67"/>
        <v>455.94827709810414</v>
      </c>
      <c r="CX79" s="59">
        <f t="shared" si="68"/>
        <v>749.28161043143746</v>
      </c>
      <c r="CY79" s="59">
        <f ca="1">AVERAGE(OFFSET($CX$3,0,0,'Données projet'!$E$13+1,1))-AVERAGE(OFFSET($H$3,0,0,'Données projet'!$E$13+1,1))</f>
        <v>299.10536994156814</v>
      </c>
      <c r="CZ79" s="59">
        <f t="shared" si="96"/>
        <v>292.57799203101769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3.3864032093630319</v>
      </c>
      <c r="DG79" s="21">
        <f>EXP(-LN(2)/25)*DG78+(1-EXP(-LN(2)/25))/(LN(2)/25)*Calculateur!DB79*Calculateur!DD79*VLOOKUP('Données projet'!$B$13,Paramètres!$A$1:$I$89,3,0)*0.475*44/12</f>
        <v>3.0202373038897798</v>
      </c>
      <c r="DH79" s="21">
        <f>EXP(-LN(2)/2)*DH78+(1-EXP(-LN(2)/2))/(LN(2)/2)*DB79*DE79*VLOOKUP('Données projet'!$B$13,Paramètres!$A$1:$I$89,3,0)*0.475*44/12</f>
        <v>1.0696230615168864E-6</v>
      </c>
      <c r="DI79" s="22">
        <f t="shared" si="69"/>
        <v>6.4066415828758734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4.5999999999999996</v>
      </c>
      <c r="DO79" s="12">
        <f>IF('Données projet'!$A$166&gt;35,DO78+DN79-DW78,IF(A79&lt;'Données projet'!$A$166,$DL$205^A79,IF(A79='Données projet'!$A$166,'Données projet'!$B$166,DO78+DN79-DW78)))</f>
        <v>258.60000000000014</v>
      </c>
      <c r="DP79" s="17">
        <f>DO79*VLOOKUP('Données projet'!$B$14,Paramètres!$A$1:$I$89,3,0)*VLOOKUP('Données projet'!$B$14,Paramètres!$A$1:$I$89,5,0)</f>
        <v>169.43472000000008</v>
      </c>
      <c r="DQ79" s="13">
        <f t="shared" si="97"/>
        <v>42.963395138288874</v>
      </c>
      <c r="DR79" s="20">
        <f t="shared" si="70"/>
        <v>369.92671719918661</v>
      </c>
      <c r="DS79" s="59">
        <f t="shared" si="71"/>
        <v>663.26005053251993</v>
      </c>
      <c r="DT79" s="59">
        <f ca="1">AVERAGE(OFFSET($DS$3,0,0,'Données projet'!$E$14+1,1))-AVERAGE(OFFSET($H$3,0,0,'Données projet'!$E$14+1,1))</f>
        <v>295.92103934364718</v>
      </c>
      <c r="DU79" s="59">
        <f t="shared" si="98"/>
        <v>304.84379909635476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1.7936171858892871</v>
      </c>
      <c r="EB79" s="21">
        <f>EXP(-LN(2)/25)*EB78+(1-EXP(-LN(2)/25))/(LN(2)/25)*Calculateur!DW79*Calculateur!DY79*VLOOKUP('Données projet'!$B$14,Paramètres!$A$1:$I$89,3,0)*0.475*44/12</f>
        <v>1.9977516296163769</v>
      </c>
      <c r="EC79" s="21">
        <f>EXP(-LN(2)/2)*EC78+(1-EXP(-LN(2)/2))/(LN(2)/2)*DW79*DZ79*VLOOKUP('Données projet'!$B$14,Paramètres!$A$1:$I$89,3,0)*0.475*44/12</f>
        <v>6.8601542728820024E-7</v>
      </c>
      <c r="ED79" s="22">
        <f t="shared" si="72"/>
        <v>3.7913695015210913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207.2913533618397</v>
      </c>
      <c r="EP79" s="59">
        <f t="shared" si="100"/>
        <v>230.81096055024483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2.7836946028447258</v>
      </c>
      <c r="EW79" s="21">
        <f>EXP(-LN(2)/25)*EW78+(1-EXP(-LN(2)/25))/(LN(2)/25)*Calculateur!ER79*Calculateur!ET79*VLOOKUP('Données projet'!$B$15,Paramètres!$A$1:$I$89,3,0)*0.475*44/12</f>
        <v>1.6846376434252681</v>
      </c>
      <c r="EX79" s="21">
        <f>EXP(-LN(2)/2)*EX78+(1-EXP(-LN(2)/2))/(LN(2)/2)*ER79*EU79*VLOOKUP('Données projet'!$B$15,Paramètres!$A$1:$I$89,3,0)*0.475*44/12</f>
        <v>3.5160870477767007E-7</v>
      </c>
      <c r="EY79" s="22">
        <f t="shared" si="75"/>
        <v>4.4683325978786987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17</v>
      </c>
      <c r="N80" s="13">
        <f>IF('Données projet'!$A$36&gt;35,N79+M80-V79,IF(A80&lt;'Données projet'!$A$36,$K$205^A80,IF(A80='Données projet'!$A$36,'Données projet'!$B$36,N79+M80-V79)))</f>
        <v>455.49999999999989</v>
      </c>
      <c r="O80" s="13">
        <f>N80*VLOOKUP('Données projet'!$B$9,Paramètres!$A$1:$I$89,3,0)*VLOOKUP('Données projet'!$B$9,Paramètres!$A$1:$I$89,5,0)</f>
        <v>213.17399999999995</v>
      </c>
      <c r="P80" s="13">
        <f t="shared" si="87"/>
        <v>52.628577834232573</v>
      </c>
      <c r="Q80" s="20">
        <f t="shared" si="54"/>
        <v>462.93948972795494</v>
      </c>
      <c r="R80" s="59">
        <f t="shared" si="55"/>
        <v>756.27282306128825</v>
      </c>
      <c r="S80" s="59">
        <f ca="1">AVERAGE(OFFSET($R$3,0,0,'Données projet'!$E$9+1,1))-AVERAGE(OFFSET($H$3,0,0,'Données projet'!$E$9+1,1))</f>
        <v>319.22903094674564</v>
      </c>
      <c r="T80" s="59">
        <f t="shared" si="88"/>
        <v>254.58690973142848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3.5781801720276647</v>
      </c>
      <c r="AA80" s="21">
        <f>EXP(-LN(2)/25)*AA79+(1-EXP(-LN(2)/25))/(LN(2)/25)*Calculateur!V80*Calculateur!X80*VLOOKUP('Données projet'!$B$9,Paramètres!$A$1:$I$89,3,0)*0.475*44/12</f>
        <v>3.0296321106671478</v>
      </c>
      <c r="AB80" s="21">
        <f>EXP(-LN(2)/2)*AB79+(1-EXP(-LN(2)/2))/(LN(2)/2)*V80*Y80*VLOOKUP('Données projet'!$B$9,Paramètres!$A$1:$I$89,3,0)*0.475*44/12</f>
        <v>9.3086614005611217E-7</v>
      </c>
      <c r="AC80" s="22">
        <f t="shared" si="57"/>
        <v>6.6078132135609522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-3.4106051316484809E-13</v>
      </c>
      <c r="AJ80" s="13">
        <f>AI80*VLOOKUP('Données projet'!$B$10,Paramètres!$A$1:$I$89,3,0)*VLOOKUP('Données projet'!$B$10,Paramètres!$A$1:$I$89,5,0)</f>
        <v>-1.9065282685915009E-13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544.48194192356823</v>
      </c>
      <c r="AO80" s="59">
        <f t="shared" si="90"/>
        <v>668.20427590250733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2.8942435827755166</v>
      </c>
      <c r="AV80" s="21">
        <f>EXP(-LN(2)/25)*AV79+(1-EXP(-LN(2)/25))/(LN(2)/25)*Calculateur!AQ80*Calculateur!AS80*VLOOKUP('Données projet'!$B$10,Paramètres!$A$1:$I$89,3,0)*0.475*44/12</f>
        <v>11.577047234772698</v>
      </c>
      <c r="AW80" s="21">
        <f>EXP(-LN(2)/2)*AW79+(1-EXP(-LN(2)/2))/(LN(2)/2)*AQ80*AT80*VLOOKUP('Données projet'!$B$10,Paramètres!$A$1:$I$89,3,0)*0.475*44/12</f>
        <v>1.2153429634937314E-6</v>
      </c>
      <c r="AX80" s="21">
        <f t="shared" si="60"/>
        <v>14.471292032891178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298.40000000000003</v>
      </c>
      <c r="BE80" s="13">
        <f>BD80*VLOOKUP('Données projet'!$B$11,Paramètres!$A$1:$I$89,3,0)*VLOOKUP('Données projet'!$B$11,Paramètres!$A$1:$I$89,5,0)</f>
        <v>269.99232000000001</v>
      </c>
      <c r="BF80" s="13">
        <f t="shared" si="91"/>
        <v>64.847639395310296</v>
      </c>
      <c r="BG80" s="20">
        <f t="shared" si="61"/>
        <v>583.17959594683214</v>
      </c>
      <c r="BH80" s="59">
        <f t="shared" si="62"/>
        <v>876.51292928016551</v>
      </c>
      <c r="BI80" s="59">
        <f ca="1">AVERAGE(OFFSET($BH$3,0,0,'Données projet'!$E$11+1,1))-AVERAGE(OFFSET($H$3,0,0,'Données projet'!$E$11+1,1))</f>
        <v>405.7176439604217</v>
      </c>
      <c r="BJ80" s="59">
        <f t="shared" si="92"/>
        <v>278.21741231699929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2.8812747696508825</v>
      </c>
      <c r="BQ80" s="21">
        <f>EXP(-LN(2)/25)*BQ79+(1-EXP(-LN(2)/25))/(LN(2)/25)*Calculateur!BL80*Calculateur!BN80*VLOOKUP('Données projet'!$B$11,Paramètres!$A$1:$I$89,3,0)*0.475*44/12</f>
        <v>2.5442544575416366</v>
      </c>
      <c r="BR80" s="21">
        <f>EXP(-LN(2)/2)*BR79+(1-EXP(-LN(2)/2))/(LN(2)/2)*BL80*BO80*VLOOKUP('Données projet'!$B$11,Paramètres!$A$1:$I$89,3,0)*0.475*44/12</f>
        <v>7.1943259241731546E-7</v>
      </c>
      <c r="BS80" s="22">
        <f t="shared" si="63"/>
        <v>5.4255299466251117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2.8</v>
      </c>
      <c r="CT80" s="12">
        <f>IF('Données projet'!$A$140&gt;35,CT79+CS80-DB79,IF(A80&lt;'Données projet'!$A$140,$CQ$205^A80,IF(A80='Données projet'!$A$140,'Données projet'!$B$140,CT79+CS80-DB79)))</f>
        <v>266.5999999999998</v>
      </c>
      <c r="CU80" s="17">
        <f>CT80*VLOOKUP('Données projet'!$B$13,Paramètres!$A$1:$I$89,3,0)*VLOOKUP('Données projet'!$B$13,Paramètres!$A$1:$I$89,5,0)</f>
        <v>212.10695999999984</v>
      </c>
      <c r="CV80" s="13">
        <f t="shared" si="95"/>
        <v>52.395741612408194</v>
      </c>
      <c r="CW80" s="20">
        <f t="shared" si="67"/>
        <v>460.67553864161067</v>
      </c>
      <c r="CX80" s="59">
        <f t="shared" si="68"/>
        <v>754.00887197494399</v>
      </c>
      <c r="CY80" s="59">
        <f ca="1">AVERAGE(OFFSET($CX$3,0,0,'Données projet'!$E$13+1,1))-AVERAGE(OFFSET($H$3,0,0,'Données projet'!$E$13+1,1))</f>
        <v>299.10536994156814</v>
      </c>
      <c r="CZ80" s="59">
        <f t="shared" si="96"/>
        <v>292.57799203101769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3.3199979079294293</v>
      </c>
      <c r="DG80" s="21">
        <f>EXP(-LN(2)/25)*DG79+(1-EXP(-LN(2)/25))/(LN(2)/25)*Calculateur!DB80*Calculateur!DD80*VLOOKUP('Données projet'!$B$13,Paramètres!$A$1:$I$89,3,0)*0.475*44/12</f>
        <v>2.9376487559875368</v>
      </c>
      <c r="DH80" s="21">
        <f>EXP(-LN(2)/2)*DH79+(1-EXP(-LN(2)/2))/(LN(2)/2)*DB80*DE80*VLOOKUP('Données projet'!$B$13,Paramètres!$A$1:$I$89,3,0)*0.475*44/12</f>
        <v>7.5633772011210608E-7</v>
      </c>
      <c r="DI80" s="22">
        <f t="shared" si="69"/>
        <v>6.2576474202546866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4.5999999999999996</v>
      </c>
      <c r="DO80" s="12">
        <f>IF('Données projet'!$A$166&gt;35,DO79+DN80-DW79,IF(A80&lt;'Données projet'!$A$166,$DL$205^A80,IF(A80='Données projet'!$A$166,'Données projet'!$B$166,DO79+DN80-DW79)))</f>
        <v>263.20000000000016</v>
      </c>
      <c r="DP80" s="17">
        <f>DO80*VLOOKUP('Données projet'!$B$14,Paramètres!$A$1:$I$89,3,0)*VLOOKUP('Données projet'!$B$14,Paramètres!$A$1:$I$89,5,0)</f>
        <v>172.44864000000013</v>
      </c>
      <c r="DQ80" s="13">
        <f t="shared" si="97"/>
        <v>43.637980200453718</v>
      </c>
      <c r="DR80" s="20">
        <f t="shared" si="70"/>
        <v>376.35086351579042</v>
      </c>
      <c r="DS80" s="59">
        <f t="shared" si="71"/>
        <v>669.68419684912374</v>
      </c>
      <c r="DT80" s="59">
        <f ca="1">AVERAGE(OFFSET($DS$3,0,0,'Données projet'!$E$14+1,1))-AVERAGE(OFFSET($H$3,0,0,'Données projet'!$E$14+1,1))</f>
        <v>295.92103934364718</v>
      </c>
      <c r="DU80" s="59">
        <f t="shared" si="98"/>
        <v>304.84379909635476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1.7584454468724582</v>
      </c>
      <c r="EB80" s="21">
        <f>EXP(-LN(2)/25)*EB79+(1-EXP(-LN(2)/25))/(LN(2)/25)*Calculateur!DW80*Calculateur!DY80*VLOOKUP('Données projet'!$B$14,Paramètres!$A$1:$I$89,3,0)*0.475*44/12</f>
        <v>1.9431230062473248</v>
      </c>
      <c r="EC80" s="21">
        <f>EXP(-LN(2)/2)*EC79+(1-EXP(-LN(2)/2))/(LN(2)/2)*DW80*DZ80*VLOOKUP('Données projet'!$B$14,Paramètres!$A$1:$I$89,3,0)*0.475*44/12</f>
        <v>4.850861606340733E-7</v>
      </c>
      <c r="ED80" s="22">
        <f t="shared" si="72"/>
        <v>3.7015689382059436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207.2913533618397</v>
      </c>
      <c r="EP80" s="59">
        <f t="shared" si="100"/>
        <v>230.81096055024483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2.7291080495689961</v>
      </c>
      <c r="EW80" s="21">
        <f>EXP(-LN(2)/25)*EW79+(1-EXP(-LN(2)/25))/(LN(2)/25)*Calculateur!ER80*Calculateur!ET80*VLOOKUP('Données projet'!$B$15,Paramètres!$A$1:$I$89,3,0)*0.475*44/12</f>
        <v>1.6385711384745607</v>
      </c>
      <c r="EX80" s="21">
        <f>EXP(-LN(2)/2)*EX79+(1-EXP(-LN(2)/2))/(LN(2)/2)*ER80*EU80*VLOOKUP('Données projet'!$B$15,Paramètres!$A$1:$I$89,3,0)*0.475*44/12</f>
        <v>2.4862489947250933E-7</v>
      </c>
      <c r="EY80" s="22">
        <f t="shared" si="75"/>
        <v>4.3676794366684559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17</v>
      </c>
      <c r="N81" s="13">
        <f>IF('Données projet'!$A$36&gt;35,N80+M81-V80,IF(A81&lt;'Données projet'!$A$36,$K$205^A81,IF(A81='Données projet'!$A$36,'Données projet'!$B$36,N80+M81-V80)))</f>
        <v>472.49999999999989</v>
      </c>
      <c r="O81" s="13">
        <f>N81*VLOOKUP('Données projet'!$B$9,Paramètres!$A$1:$I$89,3,0)*VLOOKUP('Données projet'!$B$9,Paramètres!$A$1:$I$89,5,0)</f>
        <v>221.12999999999997</v>
      </c>
      <c r="P81" s="13">
        <f t="shared" si="87"/>
        <v>54.360412358692685</v>
      </c>
      <c r="Q81" s="20">
        <f t="shared" si="54"/>
        <v>479.81246819138977</v>
      </c>
      <c r="R81" s="59">
        <f t="shared" si="55"/>
        <v>773.14580152472308</v>
      </c>
      <c r="S81" s="59">
        <f ca="1">AVERAGE(OFFSET($R$3,0,0,'Données projet'!$E$9+1,1))-AVERAGE(OFFSET($H$3,0,0,'Données projet'!$E$9+1,1))</f>
        <v>319.22903094674564</v>
      </c>
      <c r="T81" s="59">
        <f t="shared" si="88"/>
        <v>254.58690973142848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3.5080142413286057</v>
      </c>
      <c r="AA81" s="21">
        <f>EXP(-LN(2)/25)*AA80+(1-EXP(-LN(2)/25))/(LN(2)/25)*Calculateur!V81*Calculateur!X81*VLOOKUP('Données projet'!$B$9,Paramètres!$A$1:$I$89,3,0)*0.475*44/12</f>
        <v>2.9467866612795262</v>
      </c>
      <c r="AB81" s="21">
        <f>EXP(-LN(2)/2)*AB80+(1-EXP(-LN(2)/2))/(LN(2)/2)*V81*Y81*VLOOKUP('Données projet'!$B$9,Paramètres!$A$1:$I$89,3,0)*0.475*44/12</f>
        <v>6.5822176001062344E-7</v>
      </c>
      <c r="AC81" s="22">
        <f t="shared" si="57"/>
        <v>6.4548015608298916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-3.4106051316484809E-13</v>
      </c>
      <c r="AJ81" s="13">
        <f>AI81*VLOOKUP('Données projet'!$B$10,Paramètres!$A$1:$I$89,3,0)*VLOOKUP('Données projet'!$B$10,Paramètres!$A$1:$I$89,5,0)</f>
        <v>-1.9065282685915009E-13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544.48194192356823</v>
      </c>
      <c r="AO81" s="59">
        <f t="shared" si="90"/>
        <v>668.20427590250733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2.8374892314315638</v>
      </c>
      <c r="AV81" s="21">
        <f>EXP(-LN(2)/25)*AV80+(1-EXP(-LN(2)/25))/(LN(2)/25)*Calculateur!AQ81*Calculateur!AS81*VLOOKUP('Données projet'!$B$10,Paramètres!$A$1:$I$89,3,0)*0.475*44/12</f>
        <v>11.260472269327384</v>
      </c>
      <c r="AW81" s="21">
        <f>EXP(-LN(2)/2)*AW80+(1-EXP(-LN(2)/2))/(LN(2)/2)*AQ81*AT81*VLOOKUP('Données projet'!$B$10,Paramètres!$A$1:$I$89,3,0)*0.475*44/12</f>
        <v>8.5937725095377216E-7</v>
      </c>
      <c r="AX81" s="21">
        <f t="shared" si="60"/>
        <v>14.097962360136197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305.60000000000002</v>
      </c>
      <c r="BE81" s="13">
        <f>BD81*VLOOKUP('Données projet'!$B$11,Paramètres!$A$1:$I$89,3,0)*VLOOKUP('Données projet'!$B$11,Paramètres!$A$1:$I$89,5,0)</f>
        <v>276.50687999999997</v>
      </c>
      <c r="BF81" s="13">
        <f t="shared" si="91"/>
        <v>66.228273722513677</v>
      </c>
      <c r="BG81" s="20">
        <f t="shared" si="61"/>
        <v>596.93039273337797</v>
      </c>
      <c r="BH81" s="59">
        <f t="shared" si="62"/>
        <v>890.26372606671134</v>
      </c>
      <c r="BI81" s="59">
        <f ca="1">AVERAGE(OFFSET($BH$3,0,0,'Données projet'!$E$11+1,1))-AVERAGE(OFFSET($H$3,0,0,'Données projet'!$E$11+1,1))</f>
        <v>405.7176439604217</v>
      </c>
      <c r="BJ81" s="59">
        <f t="shared" si="92"/>
        <v>278.21741231699929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2.824774728822109</v>
      </c>
      <c r="BQ81" s="21">
        <f>EXP(-LN(2)/25)*BQ80+(1-EXP(-LN(2)/25))/(LN(2)/25)*Calculateur!BL81*Calculateur!BN81*VLOOKUP('Données projet'!$B$11,Paramètres!$A$1:$I$89,3,0)*0.475*44/12</f>
        <v>2.4746816856036338</v>
      </c>
      <c r="BR81" s="21">
        <f>EXP(-LN(2)/2)*BR80+(1-EXP(-LN(2)/2))/(LN(2)/2)*BL81*BO81*VLOOKUP('Données projet'!$B$11,Paramètres!$A$1:$I$89,3,0)*0.475*44/12</f>
        <v>5.0871566470490131E-7</v>
      </c>
      <c r="BS81" s="22">
        <f t="shared" si="63"/>
        <v>5.2994569231414079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2.8</v>
      </c>
      <c r="CT81" s="12">
        <f>IF('Données projet'!$A$140&gt;35,CT80+CS81-DB80,IF(A81&lt;'Données projet'!$A$140,$CQ$205^A81,IF(A81='Données projet'!$A$140,'Données projet'!$B$140,CT80+CS81-DB80)))</f>
        <v>269.39999999999981</v>
      </c>
      <c r="CU81" s="17">
        <f>CT81*VLOOKUP('Données projet'!$B$13,Paramètres!$A$1:$I$89,3,0)*VLOOKUP('Données projet'!$B$13,Paramètres!$A$1:$I$89,5,0)</f>
        <v>214.33463999999984</v>
      </c>
      <c r="CV81" s="13">
        <f t="shared" si="95"/>
        <v>52.881684324030282</v>
      </c>
      <c r="CW81" s="20">
        <f t="shared" si="67"/>
        <v>465.40176486435234</v>
      </c>
      <c r="CX81" s="59">
        <f t="shared" si="68"/>
        <v>758.7350981976856</v>
      </c>
      <c r="CY81" s="59">
        <f ca="1">AVERAGE(OFFSET($CX$3,0,0,'Données projet'!$E$13+1,1))-AVERAGE(OFFSET($H$3,0,0,'Données projet'!$E$13+1,1))</f>
        <v>299.10536994156814</v>
      </c>
      <c r="CZ81" s="59">
        <f t="shared" si="96"/>
        <v>292.57799203101769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3.2548947739537049</v>
      </c>
      <c r="DG81" s="21">
        <f>EXP(-LN(2)/25)*DG80+(1-EXP(-LN(2)/25))/(LN(2)/25)*Calculateur!DB81*Calculateur!DD81*VLOOKUP('Données projet'!$B$13,Paramètres!$A$1:$I$89,3,0)*0.475*44/12</f>
        <v>2.8573185962708236</v>
      </c>
      <c r="DH81" s="21">
        <f>EXP(-LN(2)/2)*DH80+(1-EXP(-LN(2)/2))/(LN(2)/2)*DB81*DE81*VLOOKUP('Données projet'!$B$13,Paramètres!$A$1:$I$89,3,0)*0.475*44/12</f>
        <v>5.348115307584432E-7</v>
      </c>
      <c r="DI81" s="22">
        <f t="shared" si="69"/>
        <v>6.11221390503606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4.5999999999999996</v>
      </c>
      <c r="DO81" s="12">
        <f>IF('Données projet'!$A$166&gt;35,DO80+DN81-DW80,IF(A81&lt;'Données projet'!$A$166,$DL$205^A81,IF(A81='Données projet'!$A$166,'Données projet'!$B$166,DO80+DN81-DW80)))</f>
        <v>267.80000000000018</v>
      </c>
      <c r="DP81" s="17">
        <f>DO81*VLOOKUP('Données projet'!$B$14,Paramètres!$A$1:$I$89,3,0)*VLOOKUP('Données projet'!$B$14,Paramètres!$A$1:$I$89,5,0)</f>
        <v>175.46256000000011</v>
      </c>
      <c r="DQ81" s="13">
        <f t="shared" si="97"/>
        <v>44.311194244027092</v>
      </c>
      <c r="DR81" s="20">
        <f t="shared" si="70"/>
        <v>382.77262197501403</v>
      </c>
      <c r="DS81" s="59">
        <f t="shared" si="71"/>
        <v>676.10595530834735</v>
      </c>
      <c r="DT81" s="59">
        <f ca="1">AVERAGE(OFFSET($DS$3,0,0,'Données projet'!$E$14+1,1))-AVERAGE(OFFSET($H$3,0,0,'Données projet'!$E$14+1,1))</f>
        <v>295.92103934364718</v>
      </c>
      <c r="DU81" s="59">
        <f t="shared" si="98"/>
        <v>304.84379909635476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1.7239634042051069</v>
      </c>
      <c r="EB81" s="21">
        <f>EXP(-LN(2)/25)*EB80+(1-EXP(-LN(2)/25))/(LN(2)/25)*Calculateur!DW81*Calculateur!DY81*VLOOKUP('Données projet'!$B$14,Paramètres!$A$1:$I$89,3,0)*0.475*44/12</f>
        <v>1.8899882054570938</v>
      </c>
      <c r="EC81" s="21">
        <f>EXP(-LN(2)/2)*EC80+(1-EXP(-LN(2)/2))/(LN(2)/2)*DW81*DZ81*VLOOKUP('Données projet'!$B$14,Paramètres!$A$1:$I$89,3,0)*0.475*44/12</f>
        <v>3.4300771364410012E-7</v>
      </c>
      <c r="ED81" s="22">
        <f t="shared" si="72"/>
        <v>3.6139519526699146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207.2913533618397</v>
      </c>
      <c r="EP81" s="59">
        <f t="shared" si="100"/>
        <v>230.81096055024483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2.6755919053084938</v>
      </c>
      <c r="EW81" s="21">
        <f>EXP(-LN(2)/25)*EW80+(1-EXP(-LN(2)/25))/(LN(2)/25)*Calculateur!ER81*Calculateur!ET81*VLOOKUP('Données projet'!$B$15,Paramètres!$A$1:$I$89,3,0)*0.475*44/12</f>
        <v>1.5937643245242628</v>
      </c>
      <c r="EX81" s="21">
        <f>EXP(-LN(2)/2)*EX80+(1-EXP(-LN(2)/2))/(LN(2)/2)*ER81*EU81*VLOOKUP('Données projet'!$B$15,Paramètres!$A$1:$I$89,3,0)*0.475*44/12</f>
        <v>1.7580435238883504E-7</v>
      </c>
      <c r="EY81" s="22">
        <f t="shared" si="75"/>
        <v>4.2693564056371089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17</v>
      </c>
      <c r="N82" s="13">
        <f>IF('Données projet'!$A$36&gt;35,N81+M82-V81,IF(A82&lt;'Données projet'!$A$36,$K$205^A82,IF(A82='Données projet'!$A$36,'Données projet'!$B$36,N81+M82-V81)))</f>
        <v>489.49999999999989</v>
      </c>
      <c r="O82" s="13">
        <f>N82*VLOOKUP('Données projet'!$B$9,Paramètres!$A$1:$I$89,3,0)*VLOOKUP('Données projet'!$B$9,Paramètres!$A$1:$I$89,5,0)</f>
        <v>229.08599999999993</v>
      </c>
      <c r="P82" s="13">
        <f t="shared" si="87"/>
        <v>56.085007586294346</v>
      </c>
      <c r="Q82" s="20">
        <f t="shared" si="54"/>
        <v>496.6728382127958</v>
      </c>
      <c r="R82" s="59">
        <f t="shared" si="55"/>
        <v>790.00617154612905</v>
      </c>
      <c r="S82" s="59">
        <f ca="1">AVERAGE(OFFSET($R$3,0,0,'Données projet'!$E$9+1,1))-AVERAGE(OFFSET($H$3,0,0,'Données projet'!$E$9+1,1))</f>
        <v>319.22903094674564</v>
      </c>
      <c r="T82" s="59">
        <f t="shared" si="88"/>
        <v>254.58690973142848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3.4392242217335633</v>
      </c>
      <c r="AA82" s="21">
        <f>EXP(-LN(2)/25)*AA81+(1-EXP(-LN(2)/25))/(LN(2)/25)*Calculateur!V82*Calculateur!X82*VLOOKUP('Données projet'!$B$9,Paramètres!$A$1:$I$89,3,0)*0.475*44/12</f>
        <v>2.8662066250620621</v>
      </c>
      <c r="AB82" s="21">
        <f>EXP(-LN(2)/2)*AB81+(1-EXP(-LN(2)/2))/(LN(2)/2)*V82*Y82*VLOOKUP('Données projet'!$B$9,Paramètres!$A$1:$I$89,3,0)*0.475*44/12</f>
        <v>4.6543307002805614E-7</v>
      </c>
      <c r="AC82" s="22">
        <f t="shared" si="57"/>
        <v>6.3054313122286949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-3.4106051316484809E-13</v>
      </c>
      <c r="AJ82" s="13">
        <f>AI82*VLOOKUP('Données projet'!$B$10,Paramètres!$A$1:$I$89,3,0)*VLOOKUP('Données projet'!$B$10,Paramètres!$A$1:$I$89,5,0)</f>
        <v>-1.9065282685915009E-13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544.48194192356823</v>
      </c>
      <c r="AO82" s="59">
        <f t="shared" si="90"/>
        <v>668.20427590250733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2.7818477983007299</v>
      </c>
      <c r="AV82" s="21">
        <f>EXP(-LN(2)/25)*AV81+(1-EXP(-LN(2)/25))/(LN(2)/25)*Calculateur!AQ82*Calculateur!AS82*VLOOKUP('Données projet'!$B$10,Paramètres!$A$1:$I$89,3,0)*0.475*44/12</f>
        <v>10.952554062960125</v>
      </c>
      <c r="AW82" s="21">
        <f>EXP(-LN(2)/2)*AW81+(1-EXP(-LN(2)/2))/(LN(2)/2)*AQ82*AT82*VLOOKUP('Données projet'!$B$10,Paramètres!$A$1:$I$89,3,0)*0.475*44/12</f>
        <v>6.076714817468657E-7</v>
      </c>
      <c r="AX82" s="21">
        <f t="shared" si="60"/>
        <v>13.734402468932336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312.8</v>
      </c>
      <c r="BE82" s="13">
        <f>BD82*VLOOKUP('Données projet'!$B$11,Paramètres!$A$1:$I$89,3,0)*VLOOKUP('Données projet'!$B$11,Paramètres!$A$1:$I$89,5,0)</f>
        <v>283.02144000000004</v>
      </c>
      <c r="BF82" s="13">
        <f t="shared" si="91"/>
        <v>67.605126603830598</v>
      </c>
      <c r="BG82" s="20">
        <f t="shared" si="61"/>
        <v>610.67460350167164</v>
      </c>
      <c r="BH82" s="59">
        <f t="shared" si="62"/>
        <v>904.00793683500501</v>
      </c>
      <c r="BI82" s="59">
        <f ca="1">AVERAGE(OFFSET($BH$3,0,0,'Données projet'!$E$11+1,1))-AVERAGE(OFFSET($H$3,0,0,'Données projet'!$E$11+1,1))</f>
        <v>405.7176439604217</v>
      </c>
      <c r="BJ82" s="59">
        <f t="shared" si="92"/>
        <v>278.21741231699929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2.7693826193323656</v>
      </c>
      <c r="BQ82" s="21">
        <f>EXP(-LN(2)/25)*BQ81+(1-EXP(-LN(2)/25))/(LN(2)/25)*Calculateur!BL82*Calculateur!BN82*VLOOKUP('Données projet'!$B$11,Paramètres!$A$1:$I$89,3,0)*0.475*44/12</f>
        <v>2.4070113847729484</v>
      </c>
      <c r="BR82" s="21">
        <f>EXP(-LN(2)/2)*BR81+(1-EXP(-LN(2)/2))/(LN(2)/2)*BL82*BO82*VLOOKUP('Données projet'!$B$11,Paramètres!$A$1:$I$89,3,0)*0.475*44/12</f>
        <v>3.5971629620865773E-7</v>
      </c>
      <c r="BS82" s="22">
        <f t="shared" si="63"/>
        <v>5.1763943638216094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2.8</v>
      </c>
      <c r="CT82" s="12">
        <f>IF('Données projet'!$A$140&gt;35,CT81+CS82-DB81,IF(A82&lt;'Données projet'!$A$140,$CQ$205^A82,IF(A82='Données projet'!$A$140,'Données projet'!$B$140,CT81+CS82-DB81)))</f>
        <v>272.19999999999982</v>
      </c>
      <c r="CU82" s="17">
        <f>CT82*VLOOKUP('Données projet'!$B$13,Paramètres!$A$1:$I$89,3,0)*VLOOKUP('Données projet'!$B$13,Paramètres!$A$1:$I$89,5,0)</f>
        <v>216.56231999999989</v>
      </c>
      <c r="CV82" s="13">
        <f t="shared" si="95"/>
        <v>53.367039486661959</v>
      </c>
      <c r="CW82" s="20">
        <f t="shared" si="67"/>
        <v>470.12696777260271</v>
      </c>
      <c r="CX82" s="59">
        <f t="shared" si="68"/>
        <v>763.46030110593597</v>
      </c>
      <c r="CY82" s="59">
        <f ca="1">AVERAGE(OFFSET($CX$3,0,0,'Données projet'!$E$13+1,1))-AVERAGE(OFFSET($H$3,0,0,'Données projet'!$E$13+1,1))</f>
        <v>299.10536994156814</v>
      </c>
      <c r="CZ82" s="59">
        <f t="shared" si="96"/>
        <v>292.57799203101769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3.1910682727262536</v>
      </c>
      <c r="DG82" s="21">
        <f>EXP(-LN(2)/25)*DG81+(1-EXP(-LN(2)/25))/(LN(2)/25)*Calculateur!DB82*Calculateur!DD82*VLOOKUP('Données projet'!$B$13,Paramètres!$A$1:$I$89,3,0)*0.475*44/12</f>
        <v>2.7791850689959436</v>
      </c>
      <c r="DH82" s="21">
        <f>EXP(-LN(2)/2)*DH81+(1-EXP(-LN(2)/2))/(LN(2)/2)*DB82*DE82*VLOOKUP('Données projet'!$B$13,Paramètres!$A$1:$I$89,3,0)*0.475*44/12</f>
        <v>3.7816886005605304E-7</v>
      </c>
      <c r="DI82" s="22">
        <f t="shared" si="69"/>
        <v>5.9702537198910566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4.5999999999999996</v>
      </c>
      <c r="DO82" s="12">
        <f>IF('Données projet'!$A$166&gt;35,DO81+DN82-DW81,IF(A82&lt;'Données projet'!$A$166,$DL$205^A82,IF(A82='Données projet'!$A$166,'Données projet'!$B$166,DO81+DN82-DW81)))</f>
        <v>272.4000000000002</v>
      </c>
      <c r="DP82" s="17">
        <f>DO82*VLOOKUP('Données projet'!$B$14,Paramètres!$A$1:$I$89,3,0)*VLOOKUP('Données projet'!$B$14,Paramètres!$A$1:$I$89,5,0)</f>
        <v>178.47648000000015</v>
      </c>
      <c r="DQ82" s="13">
        <f t="shared" si="97"/>
        <v>44.983063536547988</v>
      </c>
      <c r="DR82" s="20">
        <f t="shared" si="70"/>
        <v>389.19203832615466</v>
      </c>
      <c r="DS82" s="59">
        <f t="shared" si="71"/>
        <v>682.52537165948797</v>
      </c>
      <c r="DT82" s="59">
        <f ca="1">AVERAGE(OFFSET($DS$3,0,0,'Données projet'!$E$14+1,1))-AVERAGE(OFFSET($H$3,0,0,'Données projet'!$E$14+1,1))</f>
        <v>295.92103934364718</v>
      </c>
      <c r="DU82" s="59">
        <f t="shared" si="98"/>
        <v>304.84379909635476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1.690157533362493</v>
      </c>
      <c r="EB82" s="21">
        <f>EXP(-LN(2)/25)*EB81+(1-EXP(-LN(2)/25))/(LN(2)/25)*Calculateur!DW82*Calculateur!DY82*VLOOKUP('Données projet'!$B$14,Paramètres!$A$1:$I$89,3,0)*0.475*44/12</f>
        <v>1.8383063785887095</v>
      </c>
      <c r="EC82" s="21">
        <f>EXP(-LN(2)/2)*EC81+(1-EXP(-LN(2)/2))/(LN(2)/2)*DW82*DZ82*VLOOKUP('Données projet'!$B$14,Paramètres!$A$1:$I$89,3,0)*0.475*44/12</f>
        <v>2.4254308031703665E-7</v>
      </c>
      <c r="ED82" s="22">
        <f t="shared" si="72"/>
        <v>3.5284641544942827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207.2913533618397</v>
      </c>
      <c r="EP82" s="59">
        <f t="shared" si="100"/>
        <v>230.81096055024483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2.6231251799953146</v>
      </c>
      <c r="EW82" s="21">
        <f>EXP(-LN(2)/25)*EW81+(1-EXP(-LN(2)/25))/(LN(2)/25)*Calculateur!ER82*Calculateur!ET82*VLOOKUP('Données projet'!$B$15,Paramètres!$A$1:$I$89,3,0)*0.475*44/12</f>
        <v>1.5501827552577236</v>
      </c>
      <c r="EX82" s="21">
        <f>EXP(-LN(2)/2)*EX81+(1-EXP(-LN(2)/2))/(LN(2)/2)*ER82*EU82*VLOOKUP('Données projet'!$B$15,Paramètres!$A$1:$I$89,3,0)*0.475*44/12</f>
        <v>1.2431244973625467E-7</v>
      </c>
      <c r="EY82" s="22">
        <f t="shared" si="75"/>
        <v>4.1733080595654881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506.5</v>
      </c>
      <c r="L83" s="12">
        <f>VLOOKUP(A83,'Données projet'!$A$35:$I$55,9,0)</f>
        <v>17</v>
      </c>
      <c r="M83" s="12">
        <f t="array" ref="M83">INDEX(L:L,MIN(IF(ISNUMBER(L83:L279),ROW(L83:L279),"")))</f>
        <v>17</v>
      </c>
      <c r="N83" s="13">
        <f>IF('Données projet'!$A$36&gt;35,N82+M83-V82,IF(A83&lt;'Données projet'!$A$36,$K$205^A83,IF(A83='Données projet'!$A$36,'Données projet'!$B$36,N82+M83-V82)))</f>
        <v>506.49999999999989</v>
      </c>
      <c r="O83" s="13">
        <f>N83*VLOOKUP('Données projet'!$B$9,Paramètres!$A$1:$I$89,3,0)*VLOOKUP('Données projet'!$B$9,Paramètres!$A$1:$I$89,5,0)</f>
        <v>237.04199999999994</v>
      </c>
      <c r="P83" s="13">
        <f t="shared" si="87"/>
        <v>57.802643745601223</v>
      </c>
      <c r="Q83" s="20">
        <f t="shared" si="54"/>
        <v>513.52108785692201</v>
      </c>
      <c r="R83" s="59">
        <f t="shared" si="55"/>
        <v>806.85442119025538</v>
      </c>
      <c r="S83" s="59">
        <f ca="1">AVERAGE(OFFSET($R$3,0,0,'Données projet'!$E$9+1,1))-AVERAGE(OFFSET($H$3,0,0,'Données projet'!$E$9+1,1))</f>
        <v>319.22903094674564</v>
      </c>
      <c r="T83" s="59">
        <f t="shared" si="88"/>
        <v>254.58690973142848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93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3.3717831324650107</v>
      </c>
      <c r="AA83" s="21">
        <f>EXP(-LN(2)/25)*AA82+(1-EXP(-LN(2)/25))/(LN(2)/25)*Calculateur!V83*Calculateur!X83*VLOOKUP('Données projet'!$B$9,Paramètres!$A$1:$I$89,3,0)*0.475*44/12</f>
        <v>2.7878300541724843</v>
      </c>
      <c r="AB83" s="21">
        <f>EXP(-LN(2)/2)*AB82+(1-EXP(-LN(2)/2))/(LN(2)/2)*V83*Y83*VLOOKUP('Données projet'!$B$9,Paramètres!$A$1:$I$89,3,0)*0.475*44/12</f>
        <v>3.2911088000531177E-7</v>
      </c>
      <c r="AC83" s="22">
        <f t="shared" si="57"/>
        <v>6.1596135157483749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-3.4106051316484809E-13</v>
      </c>
      <c r="AJ83" s="13">
        <f>AI83*VLOOKUP('Données projet'!$B$10,Paramètres!$A$1:$I$89,3,0)*VLOOKUP('Données projet'!$B$10,Paramètres!$A$1:$I$89,5,0)</f>
        <v>-1.9065282685915009E-13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544.48194192356823</v>
      </c>
      <c r="AO83" s="59">
        <f t="shared" si="90"/>
        <v>668.20427590250733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2.7272974597356683</v>
      </c>
      <c r="AV83" s="21">
        <f>EXP(-LN(2)/25)*AV82+(1-EXP(-LN(2)/25))/(LN(2)/25)*Calculateur!AQ83*Calculateur!AS83*VLOOKUP('Données projet'!$B$10,Paramètres!$A$1:$I$89,3,0)*0.475*44/12</f>
        <v>10.653055896138694</v>
      </c>
      <c r="AW83" s="21">
        <f>EXP(-LN(2)/2)*AW82+(1-EXP(-LN(2)/2))/(LN(2)/2)*AQ83*AT83*VLOOKUP('Données projet'!$B$10,Paramètres!$A$1:$I$89,3,0)*0.475*44/12</f>
        <v>4.2968862547688608E-7</v>
      </c>
      <c r="AX83" s="21">
        <f t="shared" si="60"/>
        <v>13.380353785562988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320</v>
      </c>
      <c r="BE83" s="13">
        <f>BD83*VLOOKUP('Données projet'!$B$11,Paramètres!$A$1:$I$89,3,0)*VLOOKUP('Données projet'!$B$11,Paramètres!$A$1:$I$89,5,0)</f>
        <v>289.536</v>
      </c>
      <c r="BF83" s="13">
        <f t="shared" si="91"/>
        <v>68.97829509904436</v>
      </c>
      <c r="BG83" s="20">
        <f t="shared" si="61"/>
        <v>624.41239729750225</v>
      </c>
      <c r="BH83" s="59">
        <f t="shared" si="62"/>
        <v>917.74573063083562</v>
      </c>
      <c r="BI83" s="59">
        <f ca="1">AVERAGE(OFFSET($BH$3,0,0,'Données projet'!$E$11+1,1))-AVERAGE(OFFSET($H$3,0,0,'Données projet'!$E$11+1,1))</f>
        <v>405.7176439604217</v>
      </c>
      <c r="BJ83" s="59">
        <f t="shared" si="92"/>
        <v>278.21741231699929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2.7150767153238653</v>
      </c>
      <c r="BQ83" s="21">
        <f>EXP(-LN(2)/25)*BQ82+(1-EXP(-LN(2)/25))/(LN(2)/25)*Calculateur!BL83*Calculateur!BN83*VLOOKUP('Données projet'!$B$11,Paramètres!$A$1:$I$89,3,0)*0.475*44/12</f>
        <v>2.3411915318771048</v>
      </c>
      <c r="BR83" s="21">
        <f>EXP(-LN(2)/2)*BR82+(1-EXP(-LN(2)/2))/(LN(2)/2)*BL83*BO83*VLOOKUP('Données projet'!$B$11,Paramètres!$A$1:$I$89,3,0)*0.475*44/12</f>
        <v>2.5435783235245065E-7</v>
      </c>
      <c r="BS83" s="22">
        <f t="shared" si="63"/>
        <v>5.0562685015588027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275</v>
      </c>
      <c r="CR83" s="12">
        <f>VLOOKUP(A83,'Données projet'!$A$139:$I$159,9,0)</f>
        <v>2.8</v>
      </c>
      <c r="CS83" s="12">
        <f t="array" ref="CS83">INDEX(CR:CR,MIN(IF(ISNUMBER(CR83:CR279),ROW(CR83:CR279),"")))</f>
        <v>2.8</v>
      </c>
      <c r="CT83" s="12">
        <f>IF('Données projet'!$A$140&gt;35,CT82+CS83-DB82,IF(A83&lt;'Données projet'!$A$140,$CQ$205^A83,IF(A83='Données projet'!$A$140,'Données projet'!$B$140,CT82+CS83-DB82)))</f>
        <v>274.99999999999983</v>
      </c>
      <c r="CU83" s="17">
        <f>CT83*VLOOKUP('Données projet'!$B$13,Paramètres!$A$1:$I$89,3,0)*VLOOKUP('Données projet'!$B$13,Paramètres!$A$1:$I$89,5,0)</f>
        <v>218.78999999999988</v>
      </c>
      <c r="CV83" s="13">
        <f t="shared" si="95"/>
        <v>53.851813843863468</v>
      </c>
      <c r="CW83" s="20">
        <f t="shared" si="67"/>
        <v>474.85115911139536</v>
      </c>
      <c r="CX83" s="59">
        <f t="shared" si="68"/>
        <v>768.18449244472868</v>
      </c>
      <c r="CY83" s="59">
        <f ca="1">AVERAGE(OFFSET($CX$3,0,0,'Données projet'!$E$13+1,1))-AVERAGE(OFFSET($H$3,0,0,'Données projet'!$E$13+1,1))</f>
        <v>299.10536994156814</v>
      </c>
      <c r="CZ83" s="59">
        <f t="shared" si="96"/>
        <v>292.57799203101769</v>
      </c>
      <c r="DA83" s="15" t="str">
        <f>IF(ISNA(VLOOKUP(A83,'Données projet'!$A$139:$I$159,3,0)),0,VLOOKUP(A83,'Données projet'!$A$139:$I$159,3,0))</f>
        <v>CR</v>
      </c>
      <c r="DB83" s="15">
        <f>IF(ISNA(VLOOKUP(A83,'Données projet'!$A$139:$I$159,4,0)),0,VLOOKUP(A83,'Données projet'!$A$139:$I$159,4,0))</f>
        <v>275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3.128493370257551</v>
      </c>
      <c r="DG83" s="21">
        <f>EXP(-LN(2)/25)*DG82+(1-EXP(-LN(2)/25))/(LN(2)/25)*Calculateur!DB83*Calculateur!DD83*VLOOKUP('Données projet'!$B$13,Paramètres!$A$1:$I$89,3,0)*0.475*44/12</f>
        <v>2.7031881071332586</v>
      </c>
      <c r="DH83" s="21">
        <f>EXP(-LN(2)/2)*DH82+(1-EXP(-LN(2)/2))/(LN(2)/2)*DB83*DE83*VLOOKUP('Données projet'!$B$13,Paramètres!$A$1:$I$89,3,0)*0.475*44/12</f>
        <v>2.674057653792216E-7</v>
      </c>
      <c r="DI83" s="22">
        <f t="shared" si="69"/>
        <v>5.8316817447965743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277</v>
      </c>
      <c r="DM83" s="12">
        <f>VLOOKUP(A83,'Données projet'!$A$165:$I$185,9,0)</f>
        <v>4.5999999999999996</v>
      </c>
      <c r="DN83" s="12">
        <f t="array" ref="DN83">INDEX(DM:DM,MIN(IF(ISNUMBER(DM83:DM279),ROW(DM83:DM279),"")))</f>
        <v>4.5999999999999996</v>
      </c>
      <c r="DO83" s="12">
        <f>IF('Données projet'!$A$166&gt;35,DO82+DN83-DW82,IF(A83&lt;'Données projet'!$A$166,$DL$205^A83,IF(A83='Données projet'!$A$166,'Données projet'!$B$166,DO82+DN83-DW82)))</f>
        <v>277.00000000000023</v>
      </c>
      <c r="DP83" s="17">
        <f>DO83*VLOOKUP('Données projet'!$B$14,Paramètres!$A$1:$I$89,3,0)*VLOOKUP('Données projet'!$B$14,Paramètres!$A$1:$I$89,5,0)</f>
        <v>181.49040000000014</v>
      </c>
      <c r="DQ83" s="13">
        <f t="shared" si="97"/>
        <v>45.653613407555532</v>
      </c>
      <c r="DR83" s="20">
        <f t="shared" si="70"/>
        <v>395.60915668482608</v>
      </c>
      <c r="DS83" s="59">
        <f t="shared" si="71"/>
        <v>688.94249001815933</v>
      </c>
      <c r="DT83" s="59">
        <f ca="1">AVERAGE(OFFSET($DS$3,0,0,'Données projet'!$E$14+1,1))-AVERAGE(OFFSET($H$3,0,0,'Données projet'!$E$14+1,1))</f>
        <v>295.92103934364718</v>
      </c>
      <c r="DU83" s="59">
        <f t="shared" si="98"/>
        <v>304.84379909635476</v>
      </c>
      <c r="DV83" s="15">
        <f>IF(ISNA(VLOOKUP(A83,'Données projet'!$A$165:$I$185,3,0)),0,VLOOKUP(A83,'Données projet'!$A$165:$I$185,3,0))</f>
        <v>15</v>
      </c>
      <c r="DW83" s="15">
        <f>IF(ISNA(VLOOKUP(A83,'Données projet'!$A$165:$I$185,4,0)),0,VLOOKUP(A83,'Données projet'!$A$165:$I$185,4,0))</f>
        <v>18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1.6570145750275576</v>
      </c>
      <c r="EB83" s="21">
        <f>EXP(-LN(2)/25)*EB82+(1-EXP(-LN(2)/25))/(LN(2)/25)*Calculateur!DW83*Calculateur!DY83*VLOOKUP('Données projet'!$B$14,Paramètres!$A$1:$I$89,3,0)*0.475*44/12</f>
        <v>1.7880377939938703</v>
      </c>
      <c r="EC83" s="21">
        <f>EXP(-LN(2)/2)*EC82+(1-EXP(-LN(2)/2))/(LN(2)/2)*DW83*DZ83*VLOOKUP('Données projet'!$B$14,Paramètres!$A$1:$I$89,3,0)*0.475*44/12</f>
        <v>1.7150385682205006E-7</v>
      </c>
      <c r="ED83" s="22">
        <f t="shared" si="72"/>
        <v>3.445052540525285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207.2913533618397</v>
      </c>
      <c r="EP83" s="59">
        <f t="shared" si="100"/>
        <v>230.81096055024483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2.5716872951639846</v>
      </c>
      <c r="EW83" s="21">
        <f>EXP(-LN(2)/25)*EW82+(1-EXP(-LN(2)/25))/(LN(2)/25)*Calculateur!ER83*Calculateur!ET83*VLOOKUP('Données projet'!$B$15,Paramètres!$A$1:$I$89,3,0)*0.475*44/12</f>
        <v>1.507792926294633</v>
      </c>
      <c r="EX83" s="21">
        <f>EXP(-LN(2)/2)*EX82+(1-EXP(-LN(2)/2))/(LN(2)/2)*ER83*EU83*VLOOKUP('Données projet'!$B$15,Paramètres!$A$1:$I$89,3,0)*0.475*44/12</f>
        <v>8.7902176194417519E-8</v>
      </c>
      <c r="EY83" s="22">
        <f t="shared" si="75"/>
        <v>4.0794803093607941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17.5</v>
      </c>
      <c r="N84" s="13">
        <f>IF('Données projet'!$A$36&gt;35,N83+M84-V83,IF(A84&lt;'Données projet'!$A$36,$K$205^A84,IF(A84='Données projet'!$A$36,'Données projet'!$B$36,N83+M84-V83)))</f>
        <v>430.99999999999989</v>
      </c>
      <c r="O84" s="13">
        <f>N84*VLOOKUP('Données projet'!$B$9,Paramètres!$A$1:$I$89,3,0)*VLOOKUP('Données projet'!$B$9,Paramètres!$A$1:$I$89,5,0)</f>
        <v>201.70799999999994</v>
      </c>
      <c r="P84" s="13">
        <f t="shared" si="87"/>
        <v>50.119348451854243</v>
      </c>
      <c r="Q84" s="20">
        <f t="shared" si="54"/>
        <v>438.59929855364607</v>
      </c>
      <c r="R84" s="59">
        <f t="shared" si="55"/>
        <v>731.93263188697938</v>
      </c>
      <c r="S84" s="59">
        <f ca="1">AVERAGE(OFFSET($R$3,0,0,'Données projet'!$E$9+1,1))-AVERAGE(OFFSET($H$3,0,0,'Données projet'!$E$9+1,1))</f>
        <v>319.22903094674564</v>
      </c>
      <c r="T84" s="59">
        <f t="shared" si="88"/>
        <v>254.58690973142848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3.305664521822012</v>
      </c>
      <c r="AA84" s="21">
        <f>EXP(-LN(2)/25)*AA83+(1-EXP(-LN(2)/25))/(LN(2)/25)*Calculateur!V84*Calculateur!X84*VLOOKUP('Données projet'!$B$9,Paramètres!$A$1:$I$89,3,0)*0.475*44/12</f>
        <v>2.711596694735527</v>
      </c>
      <c r="AB84" s="21">
        <f>EXP(-LN(2)/2)*AB83+(1-EXP(-LN(2)/2))/(LN(2)/2)*V84*Y84*VLOOKUP('Données projet'!$B$9,Paramètres!$A$1:$I$89,3,0)*0.475*44/12</f>
        <v>2.327165350140281E-7</v>
      </c>
      <c r="AC84" s="22">
        <f t="shared" si="57"/>
        <v>6.0172614492740744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-3.4106051316484809E-13</v>
      </c>
      <c r="AJ84" s="13">
        <f>AI84*VLOOKUP('Données projet'!$B$10,Paramètres!$A$1:$I$89,3,0)*VLOOKUP('Données projet'!$B$10,Paramètres!$A$1:$I$89,5,0)</f>
        <v>-1.9065282685915009E-13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544.48194192356823</v>
      </c>
      <c r="AO84" s="59">
        <f t="shared" si="90"/>
        <v>668.20427590250733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2.6738168200374464</v>
      </c>
      <c r="AV84" s="21">
        <f>EXP(-LN(2)/25)*AV83+(1-EXP(-LN(2)/25))/(LN(2)/25)*Calculateur!AQ84*Calculateur!AS84*VLOOKUP('Données projet'!$B$10,Paramètres!$A$1:$I$89,3,0)*0.475*44/12</f>
        <v>10.36174752243892</v>
      </c>
      <c r="AW84" s="21">
        <f>EXP(-LN(2)/2)*AW83+(1-EXP(-LN(2)/2))/(LN(2)/2)*AQ84*AT84*VLOOKUP('Données projet'!$B$10,Paramètres!$A$1:$I$89,3,0)*0.475*44/12</f>
        <v>3.0383574087343285E-7</v>
      </c>
      <c r="AX84" s="21">
        <f t="shared" si="60"/>
        <v>13.035564646312107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6.8</v>
      </c>
      <c r="BD84" s="12">
        <f>IF('Données projet'!$A$88&gt;35,BD83+BC84-BL83,IF(A84&lt;'Données projet'!$A$88,$BA$205^A84,IF(A84='Données projet'!$A$88,'Données projet'!$B$88,BD83+BC84-BL83)))</f>
        <v>298.8</v>
      </c>
      <c r="BE84" s="13">
        <f>BD84*VLOOKUP('Données projet'!$B$11,Paramètres!$A$1:$I$89,3,0)*VLOOKUP('Données projet'!$B$11,Paramètres!$A$1:$I$89,5,0)</f>
        <v>270.35424</v>
      </c>
      <c r="BF84" s="13">
        <f t="shared" si="91"/>
        <v>64.924442218534367</v>
      </c>
      <c r="BG84" s="20">
        <f t="shared" si="61"/>
        <v>583.94370486394735</v>
      </c>
      <c r="BH84" s="59">
        <f t="shared" si="62"/>
        <v>877.27703819728072</v>
      </c>
      <c r="BI84" s="59">
        <f ca="1">AVERAGE(OFFSET($BH$3,0,0,'Données projet'!$E$11+1,1))-AVERAGE(OFFSET($H$3,0,0,'Données projet'!$E$11+1,1))</f>
        <v>405.7176439604217</v>
      </c>
      <c r="BJ84" s="59">
        <f t="shared" si="92"/>
        <v>278.21741231699929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2.6618357169696409</v>
      </c>
      <c r="BQ84" s="21">
        <f>EXP(-LN(2)/25)*BQ83+(1-EXP(-LN(2)/25))/(LN(2)/25)*Calculateur!BL84*Calculateur!BN84*VLOOKUP('Données projet'!$B$11,Paramètres!$A$1:$I$89,3,0)*0.475*44/12</f>
        <v>2.2771715263200134</v>
      </c>
      <c r="BR84" s="21">
        <f>EXP(-LN(2)/2)*BR83+(1-EXP(-LN(2)/2))/(LN(2)/2)*BL84*BO84*VLOOKUP('Données projet'!$B$11,Paramètres!$A$1:$I$89,3,0)*0.475*44/12</f>
        <v>1.7985814810432887E-7</v>
      </c>
      <c r="BS84" s="22">
        <f t="shared" si="63"/>
        <v>4.9390074231478023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-1.7053025658242404E-13</v>
      </c>
      <c r="CU84" s="17">
        <f>CT84*VLOOKUP('Données projet'!$B$13,Paramètres!$A$1:$I$89,3,0)*VLOOKUP('Données projet'!$B$13,Paramètres!$A$1:$I$89,5,0)</f>
        <v>-1.3567387213697657E-13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299.10536994156814</v>
      </c>
      <c r="CZ84" s="59">
        <f t="shared" si="96"/>
        <v>292.57799203101769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3.0671455234593381</v>
      </c>
      <c r="DG84" s="21">
        <f>EXP(-LN(2)/25)*DG83+(1-EXP(-LN(2)/25))/(LN(2)/25)*Calculateur!DB84*Calculateur!DD84*VLOOKUP('Données projet'!$B$13,Paramètres!$A$1:$I$89,3,0)*0.475*44/12</f>
        <v>2.6292692861892153</v>
      </c>
      <c r="DH84" s="21">
        <f>EXP(-LN(2)/2)*DH83+(1-EXP(-LN(2)/2))/(LN(2)/2)*DB84*DE84*VLOOKUP('Données projet'!$B$13,Paramètres!$A$1:$I$89,3,0)*0.475*44/12</f>
        <v>1.8908443002802652E-7</v>
      </c>
      <c r="DI84" s="22">
        <f t="shared" si="69"/>
        <v>5.6964149987329833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4.2</v>
      </c>
      <c r="DO84" s="12">
        <f>IF('Données projet'!$A$166&gt;35,DO83+DN84-DW83,IF(A84&lt;'Données projet'!$A$166,$DL$205^A84,IF(A84='Données projet'!$A$166,'Données projet'!$B$166,DO83+DN84-DW83)))</f>
        <v>263.20000000000022</v>
      </c>
      <c r="DP84" s="17">
        <f>DO84*VLOOKUP('Données projet'!$B$14,Paramètres!$A$1:$I$89,3,0)*VLOOKUP('Données projet'!$B$14,Paramètres!$A$1:$I$89,5,0)</f>
        <v>172.44864000000013</v>
      </c>
      <c r="DQ84" s="13">
        <f t="shared" si="97"/>
        <v>43.637980200453718</v>
      </c>
      <c r="DR84" s="20">
        <f t="shared" si="70"/>
        <v>376.35086351579042</v>
      </c>
      <c r="DS84" s="59">
        <f t="shared" si="71"/>
        <v>669.68419684912374</v>
      </c>
      <c r="DT84" s="59">
        <f ca="1">AVERAGE(OFFSET($DS$3,0,0,'Données projet'!$E$14+1,1))-AVERAGE(OFFSET($H$3,0,0,'Données projet'!$E$14+1,1))</f>
        <v>295.92103934364718</v>
      </c>
      <c r="DU84" s="59">
        <f t="shared" si="98"/>
        <v>304.84379909635476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1.6245215298903617</v>
      </c>
      <c r="EB84" s="21">
        <f>EXP(-LN(2)/25)*EB83+(1-EXP(-LN(2)/25))/(LN(2)/25)*Calculateur!DW84*Calculateur!DY84*VLOOKUP('Données projet'!$B$14,Paramètres!$A$1:$I$89,3,0)*0.475*44/12</f>
        <v>1.7391438064882869</v>
      </c>
      <c r="EC84" s="21">
        <f>EXP(-LN(2)/2)*EC83+(1-EXP(-LN(2)/2))/(LN(2)/2)*DW84*DZ84*VLOOKUP('Données projet'!$B$14,Paramètres!$A$1:$I$89,3,0)*0.475*44/12</f>
        <v>1.2127154015851833E-7</v>
      </c>
      <c r="ED84" s="22">
        <f t="shared" si="72"/>
        <v>3.363665457650189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207.2913533618397</v>
      </c>
      <c r="EP84" s="59">
        <f t="shared" si="100"/>
        <v>230.81096055024483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2.5212580758801852</v>
      </c>
      <c r="EW84" s="21">
        <f>EXP(-LN(2)/25)*EW83+(1-EXP(-LN(2)/25))/(LN(2)/25)*Calculateur!ER84*Calculateur!ET84*VLOOKUP('Données projet'!$B$15,Paramètres!$A$1:$I$89,3,0)*0.475*44/12</f>
        <v>1.4665622494337225</v>
      </c>
      <c r="EX84" s="21">
        <f>EXP(-LN(2)/2)*EX83+(1-EXP(-LN(2)/2))/(LN(2)/2)*ER84*EU84*VLOOKUP('Données projet'!$B$15,Paramètres!$A$1:$I$89,3,0)*0.475*44/12</f>
        <v>6.2156224868127333E-8</v>
      </c>
      <c r="EY84" s="22">
        <f t="shared" si="75"/>
        <v>3.9878203874701326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17.5</v>
      </c>
      <c r="N85" s="13">
        <f>IF('Données projet'!$A$36&gt;35,N84+M85-V84,IF(A85&lt;'Données projet'!$A$36,$K$205^A85,IF(A85='Données projet'!$A$36,'Données projet'!$B$36,N84+M85-V84)))</f>
        <v>448.49999999999989</v>
      </c>
      <c r="O85" s="13">
        <f>N85*VLOOKUP('Données projet'!$B$9,Paramètres!$A$1:$I$89,3,0)*VLOOKUP('Données projet'!$B$9,Paramètres!$A$1:$I$89,5,0)</f>
        <v>209.89799999999994</v>
      </c>
      <c r="P85" s="13">
        <f t="shared" si="87"/>
        <v>51.913295501810218</v>
      </c>
      <c r="Q85" s="20">
        <f t="shared" si="54"/>
        <v>455.98800633231934</v>
      </c>
      <c r="R85" s="59">
        <f t="shared" si="55"/>
        <v>749.32133966565266</v>
      </c>
      <c r="S85" s="59">
        <f ca="1">AVERAGE(OFFSET($R$3,0,0,'Données projet'!$E$9+1,1))-AVERAGE(OFFSET($H$3,0,0,'Données projet'!$E$9+1,1))</f>
        <v>319.22903094674564</v>
      </c>
      <c r="T85" s="59">
        <f t="shared" si="88"/>
        <v>254.58690973142848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3.240842456805352</v>
      </c>
      <c r="AA85" s="21">
        <f>EXP(-LN(2)/25)*AA84+(1-EXP(-LN(2)/25))/(LN(2)/25)*Calculateur!V85*Calculateur!X85*VLOOKUP('Données projet'!$B$9,Paramètres!$A$1:$I$89,3,0)*0.475*44/12</f>
        <v>2.6374479405213114</v>
      </c>
      <c r="AB85" s="21">
        <f>EXP(-LN(2)/2)*AB84+(1-EXP(-LN(2)/2))/(LN(2)/2)*V85*Y85*VLOOKUP('Données projet'!$B$9,Paramètres!$A$1:$I$89,3,0)*0.475*44/12</f>
        <v>1.6455544000265591E-7</v>
      </c>
      <c r="AC85" s="22">
        <f t="shared" si="57"/>
        <v>5.8782905618821042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-3.4106051316484809E-13</v>
      </c>
      <c r="AJ85" s="13">
        <f>AI85*VLOOKUP('Données projet'!$B$10,Paramètres!$A$1:$I$89,3,0)*VLOOKUP('Données projet'!$B$10,Paramètres!$A$1:$I$89,5,0)</f>
        <v>-1.9065282685915009E-13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544.48194192356823</v>
      </c>
      <c r="AO85" s="59">
        <f t="shared" si="90"/>
        <v>668.20427590250733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2.6213849030637375</v>
      </c>
      <c r="AV85" s="21">
        <f>EXP(-LN(2)/25)*AV84+(1-EXP(-LN(2)/25))/(LN(2)/25)*Calculateur!AQ85*Calculateur!AS85*VLOOKUP('Données projet'!$B$10,Paramètres!$A$1:$I$89,3,0)*0.475*44/12</f>
        <v>10.078404991537207</v>
      </c>
      <c r="AW85" s="21">
        <f>EXP(-LN(2)/2)*AW84+(1-EXP(-LN(2)/2))/(LN(2)/2)*AQ85*AT85*VLOOKUP('Données projet'!$B$10,Paramètres!$A$1:$I$89,3,0)*0.475*44/12</f>
        <v>2.1484431273844304E-7</v>
      </c>
      <c r="AX85" s="21">
        <f t="shared" si="60"/>
        <v>12.699790109445257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6.8</v>
      </c>
      <c r="BD85" s="12">
        <f>IF('Données projet'!$A$88&gt;35,BD84+BC85-BL84,IF(A85&lt;'Données projet'!$A$88,$BA$205^A85,IF(A85='Données projet'!$A$88,'Données projet'!$B$88,BD84+BC85-BL84)))</f>
        <v>305.60000000000002</v>
      </c>
      <c r="BE85" s="13">
        <f>BD85*VLOOKUP('Données projet'!$B$11,Paramètres!$A$1:$I$89,3,0)*VLOOKUP('Données projet'!$B$11,Paramètres!$A$1:$I$89,5,0)</f>
        <v>276.50687999999997</v>
      </c>
      <c r="BF85" s="13">
        <f t="shared" si="91"/>
        <v>66.228273722513677</v>
      </c>
      <c r="BG85" s="20">
        <f t="shared" si="61"/>
        <v>596.93039273337797</v>
      </c>
      <c r="BH85" s="59">
        <f t="shared" si="62"/>
        <v>890.26372606671134</v>
      </c>
      <c r="BI85" s="59">
        <f ca="1">AVERAGE(OFFSET($BH$3,0,0,'Données projet'!$E$11+1,1))-AVERAGE(OFFSET($H$3,0,0,'Données projet'!$E$11+1,1))</f>
        <v>405.7176439604217</v>
      </c>
      <c r="BJ85" s="59">
        <f t="shared" si="92"/>
        <v>278.21741231699929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2.6096387421193405</v>
      </c>
      <c r="BQ85" s="21">
        <f>EXP(-LN(2)/25)*BQ84+(1-EXP(-LN(2)/25))/(LN(2)/25)*Calculateur!BL85*Calculateur!BN85*VLOOKUP('Données projet'!$B$11,Paramètres!$A$1:$I$89,3,0)*0.475*44/12</f>
        <v>2.2149021511815468</v>
      </c>
      <c r="BR85" s="21">
        <f>EXP(-LN(2)/2)*BR84+(1-EXP(-LN(2)/2))/(LN(2)/2)*BL85*BO85*VLOOKUP('Données projet'!$B$11,Paramètres!$A$1:$I$89,3,0)*0.475*44/12</f>
        <v>1.2717891617622533E-7</v>
      </c>
      <c r="BS85" s="22">
        <f t="shared" si="63"/>
        <v>4.8245410204798036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-1.7053025658242404E-13</v>
      </c>
      <c r="CU85" s="17">
        <f>CT85*VLOOKUP('Données projet'!$B$13,Paramètres!$A$1:$I$89,3,0)*VLOOKUP('Données projet'!$B$13,Paramètres!$A$1:$I$89,5,0)</f>
        <v>-1.3567387213697657E-13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299.10536994156814</v>
      </c>
      <c r="CZ85" s="59">
        <f t="shared" si="96"/>
        <v>292.57799203101769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3.0070006705183463</v>
      </c>
      <c r="DG85" s="21">
        <f>EXP(-LN(2)/25)*DG84+(1-EXP(-LN(2)/25))/(LN(2)/25)*Calculateur!DB85*Calculateur!DD85*VLOOKUP('Données projet'!$B$13,Paramètres!$A$1:$I$89,3,0)*0.475*44/12</f>
        <v>2.5573717792911088</v>
      </c>
      <c r="DH85" s="21">
        <f>EXP(-LN(2)/2)*DH84+(1-EXP(-LN(2)/2))/(LN(2)/2)*DB85*DE85*VLOOKUP('Données projet'!$B$13,Paramètres!$A$1:$I$89,3,0)*0.475*44/12</f>
        <v>1.337028826896108E-7</v>
      </c>
      <c r="DI85" s="22">
        <f t="shared" si="69"/>
        <v>5.5643725835123377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4.2</v>
      </c>
      <c r="DO85" s="12">
        <f>IF('Données projet'!$A$166&gt;35,DO84+DN85-DW84,IF(A85&lt;'Données projet'!$A$166,$DL$205^A85,IF(A85='Données projet'!$A$166,'Données projet'!$B$166,DO84+DN85-DW84)))</f>
        <v>267.4000000000002</v>
      </c>
      <c r="DP85" s="17">
        <f>DO85*VLOOKUP('Données projet'!$B$14,Paramètres!$A$1:$I$89,3,0)*VLOOKUP('Données projet'!$B$14,Paramètres!$A$1:$I$89,5,0)</f>
        <v>175.20048000000014</v>
      </c>
      <c r="DQ85" s="13">
        <f t="shared" si="97"/>
        <v>44.252707646937758</v>
      </c>
      <c r="DR85" s="20">
        <f t="shared" si="70"/>
        <v>382.2143018184168</v>
      </c>
      <c r="DS85" s="59">
        <f t="shared" si="71"/>
        <v>675.54763515175011</v>
      </c>
      <c r="DT85" s="59">
        <f ca="1">AVERAGE(OFFSET($DS$3,0,0,'Données projet'!$E$14+1,1))-AVERAGE(OFFSET($H$3,0,0,'Données projet'!$E$14+1,1))</f>
        <v>295.92103934364718</v>
      </c>
      <c r="DU85" s="59">
        <f t="shared" si="98"/>
        <v>304.84379909635476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1.5926656535495056</v>
      </c>
      <c r="EB85" s="21">
        <f>EXP(-LN(2)/25)*EB84+(1-EXP(-LN(2)/25))/(LN(2)/25)*Calculateur!DW85*Calculateur!DY85*VLOOKUP('Données projet'!$B$14,Paramètres!$A$1:$I$89,3,0)*0.475*44/12</f>
        <v>1.6915868276422668</v>
      </c>
      <c r="EC85" s="21">
        <f>EXP(-LN(2)/2)*EC84+(1-EXP(-LN(2)/2))/(LN(2)/2)*DW85*DZ85*VLOOKUP('Données projet'!$B$14,Paramètres!$A$1:$I$89,3,0)*0.475*44/12</f>
        <v>8.575192841102503E-8</v>
      </c>
      <c r="ED85" s="22">
        <f t="shared" si="72"/>
        <v>3.2842525669437004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207.2913533618397</v>
      </c>
      <c r="EP85" s="59">
        <f t="shared" si="100"/>
        <v>230.81096055024483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2.4718177428277546</v>
      </c>
      <c r="EW85" s="21">
        <f>EXP(-LN(2)/25)*EW84+(1-EXP(-LN(2)/25))/(LN(2)/25)*Calculateur!ER85*Calculateur!ET85*VLOOKUP('Données projet'!$B$15,Paramètres!$A$1:$I$89,3,0)*0.475*44/12</f>
        <v>1.4264590275998006</v>
      </c>
      <c r="EX85" s="21">
        <f>EXP(-LN(2)/2)*EX84+(1-EXP(-LN(2)/2))/(LN(2)/2)*ER85*EU85*VLOOKUP('Données projet'!$B$15,Paramètres!$A$1:$I$89,3,0)*0.475*44/12</f>
        <v>4.3951088097208759E-8</v>
      </c>
      <c r="EY85" s="22">
        <f t="shared" si="75"/>
        <v>3.8982768143786433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17.5</v>
      </c>
      <c r="N86" s="13">
        <f>IF('Données projet'!$A$36&gt;35,N85+M86-V85,IF(A86&lt;'Données projet'!$A$36,$K$205^A86,IF(A86='Données projet'!$A$36,'Données projet'!$B$36,N85+M86-V85)))</f>
        <v>465.99999999999989</v>
      </c>
      <c r="O86" s="13">
        <f>N86*VLOOKUP('Données projet'!$B$9,Paramètres!$A$1:$I$89,3,0)*VLOOKUP('Données projet'!$B$9,Paramètres!$A$1:$I$89,5,0)</f>
        <v>218.08799999999997</v>
      </c>
      <c r="P86" s="13">
        <f t="shared" si="87"/>
        <v>53.699111087780629</v>
      </c>
      <c r="Q86" s="20">
        <f t="shared" si="54"/>
        <v>473.36255181121783</v>
      </c>
      <c r="R86" s="59">
        <f t="shared" si="55"/>
        <v>766.69588514455108</v>
      </c>
      <c r="S86" s="59">
        <f ca="1">AVERAGE(OFFSET($R$3,0,0,'Données projet'!$E$9+1,1))-AVERAGE(OFFSET($H$3,0,0,'Données projet'!$E$9+1,1))</f>
        <v>319.22903094674564</v>
      </c>
      <c r="T86" s="59">
        <f t="shared" si="88"/>
        <v>254.58690973142848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3.177291512946113</v>
      </c>
      <c r="AA86" s="21">
        <f>EXP(-LN(2)/25)*AA85+(1-EXP(-LN(2)/25))/(LN(2)/25)*Calculateur!V86*Calculateur!X86*VLOOKUP('Données projet'!$B$9,Paramètres!$A$1:$I$89,3,0)*0.475*44/12</f>
        <v>2.5653267878903967</v>
      </c>
      <c r="AB86" s="21">
        <f>EXP(-LN(2)/2)*AB85+(1-EXP(-LN(2)/2))/(LN(2)/2)*V86*Y86*VLOOKUP('Données projet'!$B$9,Paramètres!$A$1:$I$89,3,0)*0.475*44/12</f>
        <v>1.1635826750701407E-7</v>
      </c>
      <c r="AC86" s="22">
        <f t="shared" si="57"/>
        <v>5.7426184171947776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-3.4106051316484809E-13</v>
      </c>
      <c r="AJ86" s="13">
        <f>AI86*VLOOKUP('Données projet'!$B$10,Paramètres!$A$1:$I$89,3,0)*VLOOKUP('Données projet'!$B$10,Paramètres!$A$1:$I$89,5,0)</f>
        <v>-1.9065282685915009E-13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544.48194192356823</v>
      </c>
      <c r="AO86" s="59">
        <f t="shared" si="90"/>
        <v>668.20427590250733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2.5699811440015714</v>
      </c>
      <c r="AV86" s="21">
        <f>EXP(-LN(2)/25)*AV85+(1-EXP(-LN(2)/25))/(LN(2)/25)*Calculateur!AQ86*Calculateur!AS86*VLOOKUP('Données projet'!$B$10,Paramètres!$A$1:$I$89,3,0)*0.475*44/12</f>
        <v>9.8028104770433373</v>
      </c>
      <c r="AW86" s="21">
        <f>EXP(-LN(2)/2)*AW85+(1-EXP(-LN(2)/2))/(LN(2)/2)*AQ86*AT86*VLOOKUP('Données projet'!$B$10,Paramètres!$A$1:$I$89,3,0)*0.475*44/12</f>
        <v>1.5191787043671643E-7</v>
      </c>
      <c r="AX86" s="21">
        <f t="shared" si="60"/>
        <v>12.372791772962779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6.8</v>
      </c>
      <c r="BD86" s="12">
        <f>IF('Données projet'!$A$88&gt;35,BD85+BC86-BL85,IF(A86&lt;'Données projet'!$A$88,$BA$205^A86,IF(A86='Données projet'!$A$88,'Données projet'!$B$88,BD85+BC86-BL85)))</f>
        <v>312.40000000000003</v>
      </c>
      <c r="BE86" s="13">
        <f>BD86*VLOOKUP('Données projet'!$B$11,Paramètres!$A$1:$I$89,3,0)*VLOOKUP('Données projet'!$B$11,Paramètres!$A$1:$I$89,5,0)</f>
        <v>282.65952000000004</v>
      </c>
      <c r="BF86" s="13">
        <f t="shared" si="91"/>
        <v>67.528732309967324</v>
      </c>
      <c r="BG86" s="20">
        <f t="shared" si="61"/>
        <v>609.91120610652649</v>
      </c>
      <c r="BH86" s="59">
        <f t="shared" si="62"/>
        <v>903.24453943985986</v>
      </c>
      <c r="BI86" s="59">
        <f ca="1">AVERAGE(OFFSET($BH$3,0,0,'Données projet'!$E$11+1,1))-AVERAGE(OFFSET($H$3,0,0,'Données projet'!$E$11+1,1))</f>
        <v>405.7176439604217</v>
      </c>
      <c r="BJ86" s="59">
        <f t="shared" si="92"/>
        <v>278.21741231699929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2.5584653181088433</v>
      </c>
      <c r="BQ86" s="21">
        <f>EXP(-LN(2)/25)*BQ85+(1-EXP(-LN(2)/25))/(LN(2)/25)*Calculateur!BL86*Calculateur!BN86*VLOOKUP('Données projet'!$B$11,Paramètres!$A$1:$I$89,3,0)*0.475*44/12</f>
        <v>2.1543355353808455</v>
      </c>
      <c r="BR86" s="21">
        <f>EXP(-LN(2)/2)*BR85+(1-EXP(-LN(2)/2))/(LN(2)/2)*BL86*BO86*VLOOKUP('Données projet'!$B$11,Paramètres!$A$1:$I$89,3,0)*0.475*44/12</f>
        <v>8.9929074052164433E-8</v>
      </c>
      <c r="BS86" s="22">
        <f t="shared" si="63"/>
        <v>4.7128009434187632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-1.7053025658242404E-13</v>
      </c>
      <c r="CU86" s="17">
        <f>CT86*VLOOKUP('Données projet'!$B$13,Paramètres!$A$1:$I$89,3,0)*VLOOKUP('Données projet'!$B$13,Paramètres!$A$1:$I$89,5,0)</f>
        <v>-1.3567387213697657E-13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299.10536994156814</v>
      </c>
      <c r="CZ86" s="59">
        <f t="shared" si="96"/>
        <v>292.57799203101769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2.948035221458789</v>
      </c>
      <c r="DG86" s="21">
        <f>EXP(-LN(2)/25)*DG85+(1-EXP(-LN(2)/25))/(LN(2)/25)*Calculateur!DB86*Calculateur!DD86*VLOOKUP('Données projet'!$B$13,Paramètres!$A$1:$I$89,3,0)*0.475*44/12</f>
        <v>2.4874403135000565</v>
      </c>
      <c r="DH86" s="21">
        <f>EXP(-LN(2)/2)*DH85+(1-EXP(-LN(2)/2))/(LN(2)/2)*DB86*DE86*VLOOKUP('Données projet'!$B$13,Paramètres!$A$1:$I$89,3,0)*0.475*44/12</f>
        <v>9.454221501401326E-8</v>
      </c>
      <c r="DI86" s="22">
        <f t="shared" si="69"/>
        <v>5.4354756295010604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4.2</v>
      </c>
      <c r="DO86" s="12">
        <f>IF('Données projet'!$A$166&gt;35,DO85+DN86-DW85,IF(A86&lt;'Données projet'!$A$166,$DL$205^A86,IF(A86='Données projet'!$A$166,'Données projet'!$B$166,DO85+DN86-DW85)))</f>
        <v>271.60000000000019</v>
      </c>
      <c r="DP86" s="17">
        <f>DO86*VLOOKUP('Données projet'!$B$14,Paramètres!$A$1:$I$89,3,0)*VLOOKUP('Données projet'!$B$14,Paramètres!$A$1:$I$89,5,0)</f>
        <v>177.95232000000013</v>
      </c>
      <c r="DQ86" s="13">
        <f t="shared" si="97"/>
        <v>44.866312182234608</v>
      </c>
      <c r="DR86" s="20">
        <f t="shared" si="70"/>
        <v>388.07578438405881</v>
      </c>
      <c r="DS86" s="59">
        <f t="shared" si="71"/>
        <v>681.40911771739206</v>
      </c>
      <c r="DT86" s="59">
        <f ca="1">AVERAGE(OFFSET($DS$3,0,0,'Données projet'!$E$14+1,1))-AVERAGE(OFFSET($H$3,0,0,'Données projet'!$E$14+1,1))</f>
        <v>295.92103934364718</v>
      </c>
      <c r="DU86" s="59">
        <f t="shared" si="98"/>
        <v>304.84379909635476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1.5614344515135277</v>
      </c>
      <c r="EB86" s="21">
        <f>EXP(-LN(2)/25)*EB85+(1-EXP(-LN(2)/25))/(LN(2)/25)*Calculateur!DW86*Calculateur!DY86*VLOOKUP('Données projet'!$B$14,Paramètres!$A$1:$I$89,3,0)*0.475*44/12</f>
        <v>1.6453302968837038</v>
      </c>
      <c r="EC86" s="21">
        <f>EXP(-LN(2)/2)*EC85+(1-EXP(-LN(2)/2))/(LN(2)/2)*DW86*DZ86*VLOOKUP('Données projet'!$B$14,Paramètres!$A$1:$I$89,3,0)*0.475*44/12</f>
        <v>6.0635770079259163E-8</v>
      </c>
      <c r="ED86" s="22">
        <f t="shared" si="72"/>
        <v>3.2067648090330017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207.2913533618397</v>
      </c>
      <c r="EP86" s="59">
        <f t="shared" si="100"/>
        <v>230.81096055024483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2.4233469045508564</v>
      </c>
      <c r="EW86" s="21">
        <f>EXP(-LN(2)/25)*EW85+(1-EXP(-LN(2)/25))/(LN(2)/25)*Calculateur!ER86*Calculateur!ET86*VLOOKUP('Données projet'!$B$15,Paramètres!$A$1:$I$89,3,0)*0.475*44/12</f>
        <v>1.387452430475864</v>
      </c>
      <c r="EX86" s="21">
        <f>EXP(-LN(2)/2)*EX85+(1-EXP(-LN(2)/2))/(LN(2)/2)*ER86*EU86*VLOOKUP('Données projet'!$B$15,Paramètres!$A$1:$I$89,3,0)*0.475*44/12</f>
        <v>3.1078112434063666E-8</v>
      </c>
      <c r="EY86" s="22">
        <f t="shared" si="75"/>
        <v>3.8107993661048329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17.5</v>
      </c>
      <c r="N87" s="13">
        <f>IF('Données projet'!$A$36&gt;35,N86+M87-V86,IF(A87&lt;'Données projet'!$A$36,$K$205^A87,IF(A87='Données projet'!$A$36,'Données projet'!$B$36,N86+M87-V86)))</f>
        <v>483.49999999999989</v>
      </c>
      <c r="O87" s="13">
        <f>N87*VLOOKUP('Données projet'!$B$9,Paramètres!$A$1:$I$89,3,0)*VLOOKUP('Données projet'!$B$9,Paramètres!$A$1:$I$89,5,0)</f>
        <v>226.27799999999993</v>
      </c>
      <c r="P87" s="13">
        <f t="shared" si="87"/>
        <v>55.477135539319008</v>
      </c>
      <c r="Q87" s="20">
        <f t="shared" si="54"/>
        <v>490.72352773098049</v>
      </c>
      <c r="R87" s="59">
        <f t="shared" si="55"/>
        <v>784.05686106431381</v>
      </c>
      <c r="S87" s="59">
        <f ca="1">AVERAGE(OFFSET($R$3,0,0,'Données projet'!$E$9+1,1))-AVERAGE(OFFSET($H$3,0,0,'Données projet'!$E$9+1,1))</f>
        <v>319.22903094674564</v>
      </c>
      <c r="T87" s="59">
        <f t="shared" si="88"/>
        <v>254.58690973142848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3.1149867643337052</v>
      </c>
      <c r="AA87" s="21">
        <f>EXP(-LN(2)/25)*AA86+(1-EXP(-LN(2)/25))/(LN(2)/25)*Calculateur!V87*Calculateur!X87*VLOOKUP('Données projet'!$B$9,Paramètres!$A$1:$I$89,3,0)*0.475*44/12</f>
        <v>2.4951777919708613</v>
      </c>
      <c r="AB87" s="21">
        <f>EXP(-LN(2)/2)*AB86+(1-EXP(-LN(2)/2))/(LN(2)/2)*V87*Y87*VLOOKUP('Données projet'!$B$9,Paramètres!$A$1:$I$89,3,0)*0.475*44/12</f>
        <v>8.227772000132797E-8</v>
      </c>
      <c r="AC87" s="22">
        <f t="shared" si="57"/>
        <v>5.6101646385822859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-3.4106051316484809E-13</v>
      </c>
      <c r="AJ87" s="13">
        <f>AI87*VLOOKUP('Données projet'!$B$10,Paramètres!$A$1:$I$89,3,0)*VLOOKUP('Données projet'!$B$10,Paramètres!$A$1:$I$89,5,0)</f>
        <v>-1.9065282685915009E-13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544.48194192356823</v>
      </c>
      <c r="AO87" s="59">
        <f t="shared" si="90"/>
        <v>668.20427590250733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2.5195853813014173</v>
      </c>
      <c r="AV87" s="21">
        <f>EXP(-LN(2)/25)*AV86+(1-EXP(-LN(2)/25))/(LN(2)/25)*Calculateur!AQ87*Calculateur!AS87*VLOOKUP('Données projet'!$B$10,Paramètres!$A$1:$I$89,3,0)*0.475*44/12</f>
        <v>9.5347521090411895</v>
      </c>
      <c r="AW87" s="21">
        <f>EXP(-LN(2)/2)*AW86+(1-EXP(-LN(2)/2))/(LN(2)/2)*AQ87*AT87*VLOOKUP('Données projet'!$B$10,Paramètres!$A$1:$I$89,3,0)*0.475*44/12</f>
        <v>1.0742215636922152E-7</v>
      </c>
      <c r="AX87" s="21">
        <f t="shared" si="60"/>
        <v>12.054337597764764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6.8</v>
      </c>
      <c r="BD87" s="12">
        <f>IF('Données projet'!$A$88&gt;35,BD86+BC87-BL86,IF(A87&lt;'Données projet'!$A$88,$BA$205^A87,IF(A87='Données projet'!$A$88,'Données projet'!$B$88,BD86+BC87-BL86)))</f>
        <v>319.20000000000005</v>
      </c>
      <c r="BE87" s="13">
        <f>BD87*VLOOKUP('Données projet'!$B$11,Paramètres!$A$1:$I$89,3,0)*VLOOKUP('Données projet'!$B$11,Paramètres!$A$1:$I$89,5,0)</f>
        <v>288.81216000000006</v>
      </c>
      <c r="BF87" s="13">
        <f t="shared" si="91"/>
        <v>68.825899854238159</v>
      </c>
      <c r="BG87" s="20">
        <f t="shared" si="61"/>
        <v>622.88628757946492</v>
      </c>
      <c r="BH87" s="59">
        <f t="shared" si="62"/>
        <v>916.21962091279829</v>
      </c>
      <c r="BI87" s="59">
        <f ca="1">AVERAGE(OFFSET($BH$3,0,0,'Données projet'!$E$11+1,1))-AVERAGE(OFFSET($H$3,0,0,'Données projet'!$E$11+1,1))</f>
        <v>405.7176439604217</v>
      </c>
      <c r="BJ87" s="59">
        <f t="shared" si="92"/>
        <v>278.21741231699929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2.5082953737304852</v>
      </c>
      <c r="BQ87" s="21">
        <f>EXP(-LN(2)/25)*BQ86+(1-EXP(-LN(2)/25))/(LN(2)/25)*Calculateur!BL87*Calculateur!BN87*VLOOKUP('Données projet'!$B$11,Paramètres!$A$1:$I$89,3,0)*0.475*44/12</f>
        <v>2.0954251168742744</v>
      </c>
      <c r="BR87" s="21">
        <f>EXP(-LN(2)/2)*BR86+(1-EXP(-LN(2)/2))/(LN(2)/2)*BL87*BO87*VLOOKUP('Données projet'!$B$11,Paramètres!$A$1:$I$89,3,0)*0.475*44/12</f>
        <v>6.3589458088112663E-8</v>
      </c>
      <c r="BS87" s="22">
        <f t="shared" si="63"/>
        <v>4.6037205541942177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-1.7053025658242404E-13</v>
      </c>
      <c r="CU87" s="17">
        <f>CT87*VLOOKUP('Données projet'!$B$13,Paramètres!$A$1:$I$89,3,0)*VLOOKUP('Données projet'!$B$13,Paramètres!$A$1:$I$89,5,0)</f>
        <v>-1.3567387213697657E-13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299.10536994156814</v>
      </c>
      <c r="CZ87" s="59">
        <f t="shared" si="96"/>
        <v>292.57799203101769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2.8902260488899172</v>
      </c>
      <c r="DG87" s="21">
        <f>EXP(-LN(2)/25)*DG86+(1-EXP(-LN(2)/25))/(LN(2)/25)*Calculateur!DB87*Calculateur!DD87*VLOOKUP('Données projet'!$B$13,Paramètres!$A$1:$I$89,3,0)*0.475*44/12</f>
        <v>2.4194211273185964</v>
      </c>
      <c r="DH87" s="21">
        <f>EXP(-LN(2)/2)*DH86+(1-EXP(-LN(2)/2))/(LN(2)/2)*DB87*DE87*VLOOKUP('Données projet'!$B$13,Paramètres!$A$1:$I$89,3,0)*0.475*44/12</f>
        <v>6.68514413448054E-8</v>
      </c>
      <c r="DI87" s="22">
        <f t="shared" si="69"/>
        <v>5.3096472430599553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4.2</v>
      </c>
      <c r="DO87" s="12">
        <f>IF('Données projet'!$A$166&gt;35,DO86+DN87-DW86,IF(A87&lt;'Données projet'!$A$166,$DL$205^A87,IF(A87='Données projet'!$A$166,'Données projet'!$B$166,DO86+DN87-DW86)))</f>
        <v>275.80000000000018</v>
      </c>
      <c r="DP87" s="17">
        <f>DO87*VLOOKUP('Données projet'!$B$14,Paramètres!$A$1:$I$89,3,0)*VLOOKUP('Données projet'!$B$14,Paramètres!$A$1:$I$89,5,0)</f>
        <v>180.70416000000012</v>
      </c>
      <c r="DQ87" s="13">
        <f t="shared" si="97"/>
        <v>45.4788131763084</v>
      </c>
      <c r="DR87" s="20">
        <f t="shared" si="70"/>
        <v>393.93534494873728</v>
      </c>
      <c r="DS87" s="59">
        <f t="shared" si="71"/>
        <v>687.2686782820706</v>
      </c>
      <c r="DT87" s="59">
        <f ca="1">AVERAGE(OFFSET($DS$3,0,0,'Données projet'!$E$14+1,1))-AVERAGE(OFFSET($H$3,0,0,'Données projet'!$E$14+1,1))</f>
        <v>295.92103934364718</v>
      </c>
      <c r="DU87" s="59">
        <f t="shared" si="98"/>
        <v>304.84379909635476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1.5308156743003229</v>
      </c>
      <c r="EB87" s="21">
        <f>EXP(-LN(2)/25)*EB86+(1-EXP(-LN(2)/25))/(LN(2)/25)*Calculateur!DW87*Calculateur!DY87*VLOOKUP('Données projet'!$B$14,Paramètres!$A$1:$I$89,3,0)*0.475*44/12</f>
        <v>1.6003386533912591</v>
      </c>
      <c r="EC87" s="21">
        <f>EXP(-LN(2)/2)*EC86+(1-EXP(-LN(2)/2))/(LN(2)/2)*DW87*DZ87*VLOOKUP('Données projet'!$B$14,Paramètres!$A$1:$I$89,3,0)*0.475*44/12</f>
        <v>4.2875964205512515E-8</v>
      </c>
      <c r="ED87" s="22">
        <f t="shared" si="72"/>
        <v>3.131154370567546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207.2913533618397</v>
      </c>
      <c r="EP87" s="59">
        <f t="shared" si="100"/>
        <v>230.81096055024483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2.3758265498482762</v>
      </c>
      <c r="EW87" s="21">
        <f>EXP(-LN(2)/25)*EW86+(1-EXP(-LN(2)/25))/(LN(2)/25)*Calculateur!ER87*Calculateur!ET87*VLOOKUP('Données projet'!$B$15,Paramètres!$A$1:$I$89,3,0)*0.475*44/12</f>
        <v>1.3495124708015491</v>
      </c>
      <c r="EX87" s="21">
        <f>EXP(-LN(2)/2)*EX86+(1-EXP(-LN(2)/2))/(LN(2)/2)*ER87*EU87*VLOOKUP('Données projet'!$B$15,Paramètres!$A$1:$I$89,3,0)*0.475*44/12</f>
        <v>2.197554404860438E-8</v>
      </c>
      <c r="EY87" s="22">
        <f t="shared" si="75"/>
        <v>3.7253390426253694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17.5</v>
      </c>
      <c r="N88" s="13">
        <f>IF('Données projet'!$A$36&gt;35,N87+M88-V87,IF(A88&lt;'Données projet'!$A$36,$K$205^A88,IF(A88='Données projet'!$A$36,'Données projet'!$B$36,N87+M88-V87)))</f>
        <v>500.99999999999989</v>
      </c>
      <c r="O88" s="13">
        <f>N88*VLOOKUP('Données projet'!$B$9,Paramètres!$A$1:$I$89,3,0)*VLOOKUP('Données projet'!$B$9,Paramètres!$A$1:$I$89,5,0)</f>
        <v>234.46799999999996</v>
      </c>
      <c r="P88" s="13">
        <f t="shared" si="87"/>
        <v>57.247683153605394</v>
      </c>
      <c r="Q88" s="20">
        <f t="shared" si="54"/>
        <v>508.0714814925293</v>
      </c>
      <c r="R88" s="59">
        <f t="shared" si="55"/>
        <v>801.40481482586256</v>
      </c>
      <c r="S88" s="59">
        <f ca="1">AVERAGE(OFFSET($R$3,0,0,'Données projet'!$E$9+1,1))-AVERAGE(OFFSET($H$3,0,0,'Données projet'!$E$9+1,1))</f>
        <v>319.22903094674564</v>
      </c>
      <c r="T88" s="59">
        <f t="shared" si="88"/>
        <v>254.58690973142848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3.0539037738394428</v>
      </c>
      <c r="AA88" s="21">
        <f>EXP(-LN(2)/25)*AA87+(1-EXP(-LN(2)/25))/(LN(2)/25)*Calculateur!V88*Calculateur!X88*VLOOKUP('Données projet'!$B$9,Paramètres!$A$1:$I$89,3,0)*0.475*44/12</f>
        <v>2.426947024033721</v>
      </c>
      <c r="AB88" s="21">
        <f>EXP(-LN(2)/2)*AB87+(1-EXP(-LN(2)/2))/(LN(2)/2)*V88*Y88*VLOOKUP('Données projet'!$B$9,Paramètres!$A$1:$I$89,3,0)*0.475*44/12</f>
        <v>5.8179133753507044E-8</v>
      </c>
      <c r="AC88" s="22">
        <f t="shared" si="57"/>
        <v>5.4808508560522968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-3.4106051316484809E-13</v>
      </c>
      <c r="AJ88" s="13">
        <f>AI88*VLOOKUP('Données projet'!$B$10,Paramètres!$A$1:$I$89,3,0)*VLOOKUP('Données projet'!$B$10,Paramètres!$A$1:$I$89,5,0)</f>
        <v>-1.9065282685915009E-13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544.48194192356823</v>
      </c>
      <c r="AO88" s="59">
        <f t="shared" si="90"/>
        <v>668.20427590250733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2.470177848769433</v>
      </c>
      <c r="AV88" s="21">
        <f>EXP(-LN(2)/25)*AV87+(1-EXP(-LN(2)/25))/(LN(2)/25)*Calculateur!AQ88*Calculateur!AS88*VLOOKUP('Données projet'!$B$10,Paramètres!$A$1:$I$89,3,0)*0.475*44/12</f>
        <v>9.2740238112086359</v>
      </c>
      <c r="AW88" s="21">
        <f>EXP(-LN(2)/2)*AW87+(1-EXP(-LN(2)/2))/(LN(2)/2)*AQ88*AT88*VLOOKUP('Données projet'!$B$10,Paramètres!$A$1:$I$89,3,0)*0.475*44/12</f>
        <v>7.5958935218358213E-8</v>
      </c>
      <c r="AX88" s="21">
        <f t="shared" si="60"/>
        <v>11.744201735937004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326</v>
      </c>
      <c r="BB88" s="12">
        <f>VLOOKUP(A88,'Données projet'!$A$87:$I$107,9,0)</f>
        <v>6.8</v>
      </c>
      <c r="BC88" s="12">
        <f t="array" ref="BC88">INDEX(BB:BB,MIN(IF(ISNUMBER(BB88:BB284),ROW(BB88:BB284),"")))</f>
        <v>6.8</v>
      </c>
      <c r="BD88" s="12">
        <f>IF('Données projet'!$A$88&gt;35,BD87+BC88-BL87,IF(A88&lt;'Données projet'!$A$88,$BA$205^A88,IF(A88='Données projet'!$A$88,'Données projet'!$B$88,BD87+BC88-BL87)))</f>
        <v>326.00000000000006</v>
      </c>
      <c r="BE88" s="13">
        <f>BD88*VLOOKUP('Données projet'!$B$11,Paramètres!$A$1:$I$89,3,0)*VLOOKUP('Données projet'!$B$11,Paramètres!$A$1:$I$89,5,0)</f>
        <v>294.96480000000003</v>
      </c>
      <c r="BF88" s="13">
        <f t="shared" si="91"/>
        <v>70.119854541045001</v>
      </c>
      <c r="BG88" s="20">
        <f t="shared" si="61"/>
        <v>635.85577332565333</v>
      </c>
      <c r="BH88" s="59">
        <f t="shared" si="62"/>
        <v>929.1891066589867</v>
      </c>
      <c r="BI88" s="59">
        <f ca="1">AVERAGE(OFFSET($BH$3,0,0,'Données projet'!$E$11+1,1))-AVERAGE(OFFSET($H$3,0,0,'Données projet'!$E$11+1,1))</f>
        <v>405.7176439604217</v>
      </c>
      <c r="BJ88" s="59">
        <f t="shared" si="92"/>
        <v>278.21741231699929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28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2.4591092313607423</v>
      </c>
      <c r="BQ88" s="21">
        <f>EXP(-LN(2)/25)*BQ87+(1-EXP(-LN(2)/25))/(LN(2)/25)*Calculateur!BL88*Calculateur!BN88*VLOOKUP('Données projet'!$B$11,Paramètres!$A$1:$I$89,3,0)*0.475*44/12</f>
        <v>2.0381256068597295</v>
      </c>
      <c r="BR88" s="21">
        <f>EXP(-LN(2)/2)*BR87+(1-EXP(-LN(2)/2))/(LN(2)/2)*BL88*BO88*VLOOKUP('Données projet'!$B$11,Paramètres!$A$1:$I$89,3,0)*0.475*44/12</f>
        <v>4.4964537026082216E-8</v>
      </c>
      <c r="BS88" s="22">
        <f t="shared" si="63"/>
        <v>4.4972348831850084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-1.7053025658242404E-13</v>
      </c>
      <c r="CU88" s="17">
        <f>CT88*VLOOKUP('Données projet'!$B$13,Paramètres!$A$1:$I$89,3,0)*VLOOKUP('Données projet'!$B$13,Paramètres!$A$1:$I$89,5,0)</f>
        <v>-1.3567387213697657E-13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299.10536994156814</v>
      </c>
      <c r="CZ88" s="59">
        <f t="shared" si="96"/>
        <v>292.57799203101769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2.8335504789350074</v>
      </c>
      <c r="DG88" s="21">
        <f>EXP(-LN(2)/25)*DG87+(1-EXP(-LN(2)/25))/(LN(2)/25)*Calculateur!DB88*Calculateur!DD88*VLOOKUP('Données projet'!$B$13,Paramètres!$A$1:$I$89,3,0)*0.475*44/12</f>
        <v>2.3532619293602419</v>
      </c>
      <c r="DH88" s="21">
        <f>EXP(-LN(2)/2)*DH87+(1-EXP(-LN(2)/2))/(LN(2)/2)*DB88*DE88*VLOOKUP('Données projet'!$B$13,Paramètres!$A$1:$I$89,3,0)*0.475*44/12</f>
        <v>4.727110750700663E-8</v>
      </c>
      <c r="DI88" s="22">
        <f t="shared" si="69"/>
        <v>5.1868124555663577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280</v>
      </c>
      <c r="DM88" s="12">
        <f>VLOOKUP(A88,'Données projet'!$A$165:$I$185,9,0)</f>
        <v>4.2</v>
      </c>
      <c r="DN88" s="12">
        <f t="array" ref="DN88">INDEX(DM:DM,MIN(IF(ISNUMBER(DM88:DM284),ROW(DM88:DM284),"")))</f>
        <v>4.2</v>
      </c>
      <c r="DO88" s="12">
        <f>IF('Données projet'!$A$166&gt;35,DO87+DN88-DW87,IF(A88&lt;'Données projet'!$A$166,$DL$205^A88,IF(A88='Données projet'!$A$166,'Données projet'!$B$166,DO87+DN88-DW87)))</f>
        <v>280.00000000000017</v>
      </c>
      <c r="DP88" s="17">
        <f>DO88*VLOOKUP('Données projet'!$B$14,Paramètres!$A$1:$I$89,3,0)*VLOOKUP('Données projet'!$B$14,Paramètres!$A$1:$I$89,5,0)</f>
        <v>183.4560000000001</v>
      </c>
      <c r="DQ88" s="13">
        <f t="shared" si="97"/>
        <v>46.090229375321144</v>
      </c>
      <c r="DR88" s="20">
        <f t="shared" si="70"/>
        <v>399.79301616201786</v>
      </c>
      <c r="DS88" s="59">
        <f t="shared" si="71"/>
        <v>693.12634949535118</v>
      </c>
      <c r="DT88" s="59">
        <f ca="1">AVERAGE(OFFSET($DS$3,0,0,'Données projet'!$E$14+1,1))-AVERAGE(OFFSET($H$3,0,0,'Données projet'!$E$14+1,1))</f>
        <v>295.92103934364718</v>
      </c>
      <c r="DU88" s="59">
        <f t="shared" si="98"/>
        <v>304.84379909635476</v>
      </c>
      <c r="DV88" s="15">
        <f>IF(ISNA(VLOOKUP(A88,'Données projet'!$A$165:$I$185,3,0)),0,VLOOKUP(A88,'Données projet'!$A$165:$I$185,3,0))</f>
        <v>16</v>
      </c>
      <c r="DW88" s="15">
        <f>IF(ISNA(VLOOKUP(A88,'Données projet'!$A$165:$I$185,4,0)),0,VLOOKUP(A88,'Données projet'!$A$165:$I$185,4,0))</f>
        <v>16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1.5007973126326593</v>
      </c>
      <c r="EB88" s="21">
        <f>EXP(-LN(2)/25)*EB87+(1-EXP(-LN(2)/25))/(LN(2)/25)*Calculateur!DW88*Calculateur!DY88*VLOOKUP('Données projet'!$B$14,Paramètres!$A$1:$I$89,3,0)*0.475*44/12</f>
        <v>1.556577308756123</v>
      </c>
      <c r="EC88" s="21">
        <f>EXP(-LN(2)/2)*EC87+(1-EXP(-LN(2)/2))/(LN(2)/2)*DW88*DZ88*VLOOKUP('Données projet'!$B$14,Paramètres!$A$1:$I$89,3,0)*0.475*44/12</f>
        <v>3.0317885039629582E-8</v>
      </c>
      <c r="ED88" s="22">
        <f t="shared" si="72"/>
        <v>3.0573746517066676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207.2913533618397</v>
      </c>
      <c r="EP88" s="59">
        <f t="shared" si="100"/>
        <v>230.81096055024483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2.3292380403168593</v>
      </c>
      <c r="EW88" s="21">
        <f>EXP(-LN(2)/25)*EW87+(1-EXP(-LN(2)/25))/(LN(2)/25)*Calculateur!ER88*Calculateur!ET88*VLOOKUP('Données projet'!$B$15,Paramètres!$A$1:$I$89,3,0)*0.475*44/12</f>
        <v>1.3126099813197043</v>
      </c>
      <c r="EX88" s="21">
        <f>EXP(-LN(2)/2)*EX87+(1-EXP(-LN(2)/2))/(LN(2)/2)*ER88*EU88*VLOOKUP('Données projet'!$B$15,Paramètres!$A$1:$I$89,3,0)*0.475*44/12</f>
        <v>1.5539056217031833E-8</v>
      </c>
      <c r="EY88" s="22">
        <f t="shared" si="75"/>
        <v>3.6418480371756199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17.5</v>
      </c>
      <c r="N89" s="13">
        <f>IF('Données projet'!$A$36&gt;35,N88+M89-V88,IF(A89&lt;'Données projet'!$A$36,$K$205^A89,IF(A89='Données projet'!$A$36,'Données projet'!$B$36,N88+M89-V88)))</f>
        <v>518.49999999999989</v>
      </c>
      <c r="O89" s="13">
        <f>N89*VLOOKUP('Données projet'!$B$9,Paramètres!$A$1:$I$89,3,0)*VLOOKUP('Données projet'!$B$9,Paramètres!$A$1:$I$89,5,0)</f>
        <v>242.65799999999993</v>
      </c>
      <c r="P89" s="13">
        <f t="shared" si="87"/>
        <v>59.011045025839607</v>
      </c>
      <c r="Q89" s="20">
        <f t="shared" si="54"/>
        <v>525.40692008667054</v>
      </c>
      <c r="R89" s="59">
        <f t="shared" si="55"/>
        <v>818.74025342000391</v>
      </c>
      <c r="S89" s="59">
        <f ca="1">AVERAGE(OFFSET($R$3,0,0,'Données projet'!$E$9+1,1))-AVERAGE(OFFSET($H$3,0,0,'Données projet'!$E$9+1,1))</f>
        <v>319.22903094674564</v>
      </c>
      <c r="T89" s="59">
        <f t="shared" si="88"/>
        <v>254.58690973142848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2.9940185835318274</v>
      </c>
      <c r="AA89" s="21">
        <f>EXP(-LN(2)/25)*AA88+(1-EXP(-LN(2)/25))/(LN(2)/25)*Calculateur!V89*Calculateur!X89*VLOOKUP('Données projet'!$B$9,Paramètres!$A$1:$I$89,3,0)*0.475*44/12</f>
        <v>2.3605820300339215</v>
      </c>
      <c r="AB89" s="21">
        <f>EXP(-LN(2)/2)*AB88+(1-EXP(-LN(2)/2))/(LN(2)/2)*V89*Y89*VLOOKUP('Données projet'!$B$9,Paramètres!$A$1:$I$89,3,0)*0.475*44/12</f>
        <v>4.1138860000663991E-8</v>
      </c>
      <c r="AC89" s="22">
        <f t="shared" si="57"/>
        <v>5.3546006547046092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-3.4106051316484809E-13</v>
      </c>
      <c r="AJ89" s="13">
        <f>AI89*VLOOKUP('Données projet'!$B$10,Paramètres!$A$1:$I$89,3,0)*VLOOKUP('Données projet'!$B$10,Paramètres!$A$1:$I$89,5,0)</f>
        <v>-1.9065282685915009E-13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544.48194192356823</v>
      </c>
      <c r="AO89" s="59">
        <f t="shared" si="90"/>
        <v>668.20427590250733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2.4217391678147817</v>
      </c>
      <c r="AV89" s="21">
        <f>EXP(-LN(2)/25)*AV88+(1-EXP(-LN(2)/25))/(LN(2)/25)*Calculateur!AQ89*Calculateur!AS89*VLOOKUP('Données projet'!$B$10,Paramètres!$A$1:$I$89,3,0)*0.475*44/12</f>
        <v>9.020425142391419</v>
      </c>
      <c r="AW89" s="21">
        <f>EXP(-LN(2)/2)*AW88+(1-EXP(-LN(2)/2))/(LN(2)/2)*AQ89*AT89*VLOOKUP('Données projet'!$B$10,Paramètres!$A$1:$I$89,3,0)*0.475*44/12</f>
        <v>5.371107818461076E-8</v>
      </c>
      <c r="AX89" s="21">
        <f t="shared" si="60"/>
        <v>11.442164363917279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6.4</v>
      </c>
      <c r="BD89" s="12">
        <f>IF('Données projet'!$A$88&gt;35,BD88+BC89-BL88,IF(A89&lt;'Données projet'!$A$88,$BA$205^A89,IF(A89='Données projet'!$A$88,'Données projet'!$B$88,BD88+BC89-BL88)))</f>
        <v>304.40000000000003</v>
      </c>
      <c r="BE89" s="13">
        <f>BD89*VLOOKUP('Données projet'!$B$11,Paramètres!$A$1:$I$89,3,0)*VLOOKUP('Données projet'!$B$11,Paramètres!$A$1:$I$89,5,0)</f>
        <v>275.42112000000003</v>
      </c>
      <c r="BF89" s="13">
        <f t="shared" si="91"/>
        <v>65.998433293601067</v>
      </c>
      <c r="BG89" s="20">
        <f t="shared" si="61"/>
        <v>594.63905531968851</v>
      </c>
      <c r="BH89" s="59">
        <f t="shared" si="62"/>
        <v>887.97238865302188</v>
      </c>
      <c r="BI89" s="59">
        <f ca="1">AVERAGE(OFFSET($BH$3,0,0,'Données projet'!$E$11+1,1))-AVERAGE(OFFSET($H$3,0,0,'Données projet'!$E$11+1,1))</f>
        <v>405.7176439604217</v>
      </c>
      <c r="BJ89" s="59">
        <f t="shared" si="92"/>
        <v>278.21741231699929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2.4108875992422858</v>
      </c>
      <c r="BQ89" s="21">
        <f>EXP(-LN(2)/25)*BQ88+(1-EXP(-LN(2)/25))/(LN(2)/25)*Calculateur!BL89*Calculateur!BN89*VLOOKUP('Données projet'!$B$11,Paramètres!$A$1:$I$89,3,0)*0.475*44/12</f>
        <v>1.9823929549597827</v>
      </c>
      <c r="BR89" s="21">
        <f>EXP(-LN(2)/2)*BR88+(1-EXP(-LN(2)/2))/(LN(2)/2)*BL89*BO89*VLOOKUP('Données projet'!$B$11,Paramètres!$A$1:$I$89,3,0)*0.475*44/12</f>
        <v>3.1794729044056332E-8</v>
      </c>
      <c r="BS89" s="22">
        <f t="shared" si="63"/>
        <v>4.3932805859967967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-1.7053025658242404E-13</v>
      </c>
      <c r="CU89" s="17">
        <f>CT89*VLOOKUP('Données projet'!$B$13,Paramètres!$A$1:$I$89,3,0)*VLOOKUP('Données projet'!$B$13,Paramètres!$A$1:$I$89,5,0)</f>
        <v>-1.3567387213697657E-13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299.10536994156814</v>
      </c>
      <c r="CZ89" s="59">
        <f t="shared" si="96"/>
        <v>292.57799203101769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2.7779862823382291</v>
      </c>
      <c r="DG89" s="21">
        <f>EXP(-LN(2)/25)*DG88+(1-EXP(-LN(2)/25))/(LN(2)/25)*Calculateur!DB89*Calculateur!DD89*VLOOKUP('Données projet'!$B$13,Paramètres!$A$1:$I$89,3,0)*0.475*44/12</f>
        <v>2.2889118581492198</v>
      </c>
      <c r="DH89" s="21">
        <f>EXP(-LN(2)/2)*DH88+(1-EXP(-LN(2)/2))/(LN(2)/2)*DB89*DE89*VLOOKUP('Données projet'!$B$13,Paramètres!$A$1:$I$89,3,0)*0.475*44/12</f>
        <v>3.34257206724027E-8</v>
      </c>
      <c r="DI89" s="22">
        <f t="shared" si="69"/>
        <v>5.0668981739131702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3.8</v>
      </c>
      <c r="DO89" s="12">
        <f>IF('Données projet'!$A$166&gt;35,DO88+DN89-DW88,IF(A89&lt;'Données projet'!$A$166,$DL$205^A89,IF(A89='Données projet'!$A$166,'Données projet'!$B$166,DO88+DN89-DW88)))</f>
        <v>267.80000000000018</v>
      </c>
      <c r="DP89" s="17">
        <f>DO89*VLOOKUP('Données projet'!$B$14,Paramètres!$A$1:$I$89,3,0)*VLOOKUP('Données projet'!$B$14,Paramètres!$A$1:$I$89,5,0)</f>
        <v>175.46256000000011</v>
      </c>
      <c r="DQ89" s="13">
        <f t="shared" si="97"/>
        <v>44.311194244027092</v>
      </c>
      <c r="DR89" s="20">
        <f t="shared" si="70"/>
        <v>382.77262197501403</v>
      </c>
      <c r="DS89" s="59">
        <f t="shared" si="71"/>
        <v>676.10595530834735</v>
      </c>
      <c r="DT89" s="59">
        <f ca="1">AVERAGE(OFFSET($DS$3,0,0,'Données projet'!$E$14+1,1))-AVERAGE(OFFSET($H$3,0,0,'Données projet'!$E$14+1,1))</f>
        <v>295.92103934364718</v>
      </c>
      <c r="DU89" s="59">
        <f t="shared" si="98"/>
        <v>304.84379909635476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1.4713675927279057</v>
      </c>
      <c r="EB89" s="21">
        <f>EXP(-LN(2)/25)*EB88+(1-EXP(-LN(2)/25))/(LN(2)/25)*Calculateur!DW89*Calculateur!DY89*VLOOKUP('Données projet'!$B$14,Paramètres!$A$1:$I$89,3,0)*0.475*44/12</f>
        <v>1.5140126203913438</v>
      </c>
      <c r="EC89" s="21">
        <f>EXP(-LN(2)/2)*EC88+(1-EXP(-LN(2)/2))/(LN(2)/2)*DW89*DZ89*VLOOKUP('Données projet'!$B$14,Paramètres!$A$1:$I$89,3,0)*0.475*44/12</f>
        <v>2.1437982102756257E-8</v>
      </c>
      <c r="ED89" s="22">
        <f t="shared" si="72"/>
        <v>2.9853802345572316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207.2913533618397</v>
      </c>
      <c r="EP89" s="59">
        <f t="shared" si="100"/>
        <v>230.81096055024483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2.2835631030411685</v>
      </c>
      <c r="EW89" s="21">
        <f>EXP(-LN(2)/25)*EW88+(1-EXP(-LN(2)/25))/(LN(2)/25)*Calculateur!ER89*Calculateur!ET89*VLOOKUP('Données projet'!$B$15,Paramètres!$A$1:$I$89,3,0)*0.475*44/12</f>
        <v>1.2767165923533581</v>
      </c>
      <c r="EX89" s="21">
        <f>EXP(-LN(2)/2)*EX88+(1-EXP(-LN(2)/2))/(LN(2)/2)*ER89*EU89*VLOOKUP('Données projet'!$B$15,Paramètres!$A$1:$I$89,3,0)*0.475*44/12</f>
        <v>1.098777202430219E-8</v>
      </c>
      <c r="EY89" s="22">
        <f t="shared" si="75"/>
        <v>3.5602797063822984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17.5</v>
      </c>
      <c r="N90" s="13">
        <f>IF('Données projet'!$A$36&gt;35,N89+M90-V89,IF(A90&lt;'Données projet'!$A$36,$K$205^A90,IF(A90='Données projet'!$A$36,'Données projet'!$B$36,N89+M90-V89)))</f>
        <v>535.99999999999989</v>
      </c>
      <c r="O90" s="13">
        <f>N90*VLOOKUP('Données projet'!$B$9,Paramètres!$A$1:$I$89,3,0)*VLOOKUP('Données projet'!$B$9,Paramètres!$A$1:$I$89,5,0)</f>
        <v>250.84799999999996</v>
      </c>
      <c r="P90" s="13">
        <f t="shared" si="87"/>
        <v>60.767491486783541</v>
      </c>
      <c r="Q90" s="20">
        <f t="shared" si="54"/>
        <v>542.7303143394812</v>
      </c>
      <c r="R90" s="59">
        <f t="shared" si="55"/>
        <v>836.06364767281457</v>
      </c>
      <c r="S90" s="59">
        <f ca="1">AVERAGE(OFFSET($R$3,0,0,'Données projet'!$E$9+1,1))-AVERAGE(OFFSET($H$3,0,0,'Données projet'!$E$9+1,1))</f>
        <v>319.22903094674564</v>
      </c>
      <c r="T90" s="59">
        <f t="shared" si="88"/>
        <v>254.58690973142848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2.9353077052797847</v>
      </c>
      <c r="AA90" s="21">
        <f>EXP(-LN(2)/25)*AA89+(1-EXP(-LN(2)/25))/(LN(2)/25)*Calculateur!V90*Calculateur!X90*VLOOKUP('Données projet'!$B$9,Paramètres!$A$1:$I$89,3,0)*0.475*44/12</f>
        <v>2.29603179028503</v>
      </c>
      <c r="AB90" s="21">
        <f>EXP(-LN(2)/2)*AB89+(1-EXP(-LN(2)/2))/(LN(2)/2)*V90*Y90*VLOOKUP('Données projet'!$B$9,Paramètres!$A$1:$I$89,3,0)*0.475*44/12</f>
        <v>2.9089566876753529E-8</v>
      </c>
      <c r="AC90" s="22">
        <f t="shared" si="57"/>
        <v>5.2313395246543815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-3.4106051316484809E-13</v>
      </c>
      <c r="AJ90" s="13">
        <f>AI90*VLOOKUP('Données projet'!$B$10,Paramètres!$A$1:$I$89,3,0)*VLOOKUP('Données projet'!$B$10,Paramètres!$A$1:$I$89,5,0)</f>
        <v>-1.9065282685915009E-13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544.48194192356823</v>
      </c>
      <c r="AO90" s="59">
        <f t="shared" si="90"/>
        <v>668.20427590250733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2.3742503398489734</v>
      </c>
      <c r="AV90" s="21">
        <f>EXP(-LN(2)/25)*AV89+(1-EXP(-LN(2)/25))/(LN(2)/25)*Calculateur!AQ90*Calculateur!AS90*VLOOKUP('Données projet'!$B$10,Paramètres!$A$1:$I$89,3,0)*0.475*44/12</f>
        <v>8.7737611425091835</v>
      </c>
      <c r="AW90" s="21">
        <f>EXP(-LN(2)/2)*AW89+(1-EXP(-LN(2)/2))/(LN(2)/2)*AQ90*AT90*VLOOKUP('Données projet'!$B$10,Paramètres!$A$1:$I$89,3,0)*0.475*44/12</f>
        <v>3.7979467609179106E-8</v>
      </c>
      <c r="AX90" s="21">
        <f t="shared" si="60"/>
        <v>11.148011520337626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6.4</v>
      </c>
      <c r="BD90" s="12">
        <f>IF('Données projet'!$A$88&gt;35,BD89+BC90-BL89,IF(A90&lt;'Données projet'!$A$88,$BA$205^A90,IF(A90='Données projet'!$A$88,'Données projet'!$B$88,BD89+BC90-BL89)))</f>
        <v>310.8</v>
      </c>
      <c r="BE90" s="13">
        <f>BD90*VLOOKUP('Données projet'!$B$11,Paramètres!$A$1:$I$89,3,0)*VLOOKUP('Données projet'!$B$11,Paramètres!$A$1:$I$89,5,0)</f>
        <v>281.21184</v>
      </c>
      <c r="BF90" s="13">
        <f t="shared" si="91"/>
        <v>67.22304110496664</v>
      </c>
      <c r="BG90" s="20">
        <f t="shared" si="61"/>
        <v>606.85741792448357</v>
      </c>
      <c r="BH90" s="59">
        <f t="shared" si="62"/>
        <v>900.19075125781683</v>
      </c>
      <c r="BI90" s="59">
        <f ca="1">AVERAGE(OFFSET($BH$3,0,0,'Données projet'!$E$11+1,1))-AVERAGE(OFFSET($H$3,0,0,'Données projet'!$E$11+1,1))</f>
        <v>405.7176439604217</v>
      </c>
      <c r="BJ90" s="59">
        <f t="shared" si="92"/>
        <v>278.21741231699929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2.3636115639173805</v>
      </c>
      <c r="BQ90" s="21">
        <f>EXP(-LN(2)/25)*BQ89+(1-EXP(-LN(2)/25))/(LN(2)/25)*Calculateur!BL90*Calculateur!BN90*VLOOKUP('Données projet'!$B$11,Paramètres!$A$1:$I$89,3,0)*0.475*44/12</f>
        <v>1.9281843153568927</v>
      </c>
      <c r="BR90" s="21">
        <f>EXP(-LN(2)/2)*BR89+(1-EXP(-LN(2)/2))/(LN(2)/2)*BL90*BO90*VLOOKUP('Données projet'!$B$11,Paramètres!$A$1:$I$89,3,0)*0.475*44/12</f>
        <v>2.2482268513041108E-8</v>
      </c>
      <c r="BS90" s="22">
        <f t="shared" si="63"/>
        <v>4.2917959017565419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-1.7053025658242404E-13</v>
      </c>
      <c r="CU90" s="17">
        <f>CT90*VLOOKUP('Données projet'!$B$13,Paramètres!$A$1:$I$89,3,0)*VLOOKUP('Données projet'!$B$13,Paramètres!$A$1:$I$89,5,0)</f>
        <v>-1.3567387213697657E-13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299.10536994156814</v>
      </c>
      <c r="CZ90" s="59">
        <f t="shared" si="96"/>
        <v>292.57799203101769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2.7235116657459</v>
      </c>
      <c r="DG90" s="21">
        <f>EXP(-LN(2)/25)*DG89+(1-EXP(-LN(2)/25))/(LN(2)/25)*Calculateur!DB90*Calculateur!DD90*VLOOKUP('Données projet'!$B$13,Paramètres!$A$1:$I$89,3,0)*0.475*44/12</f>
        <v>2.226321443019486</v>
      </c>
      <c r="DH90" s="21">
        <f>EXP(-LN(2)/2)*DH89+(1-EXP(-LN(2)/2))/(LN(2)/2)*DB90*DE90*VLOOKUP('Données projet'!$B$13,Paramètres!$A$1:$I$89,3,0)*0.475*44/12</f>
        <v>2.3635553753503315E-8</v>
      </c>
      <c r="DI90" s="22">
        <f t="shared" si="69"/>
        <v>4.9498331324009399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3.8</v>
      </c>
      <c r="DO90" s="12">
        <f>IF('Données projet'!$A$166&gt;35,DO89+DN90-DW89,IF(A90&lt;'Données projet'!$A$166,$DL$205^A90,IF(A90='Données projet'!$A$166,'Données projet'!$B$166,DO89+DN90-DW89)))</f>
        <v>271.60000000000019</v>
      </c>
      <c r="DP90" s="17">
        <f>DO90*VLOOKUP('Données projet'!$B$14,Paramètres!$A$1:$I$89,3,0)*VLOOKUP('Données projet'!$B$14,Paramètres!$A$1:$I$89,5,0)</f>
        <v>177.95232000000013</v>
      </c>
      <c r="DQ90" s="13">
        <f t="shared" si="97"/>
        <v>44.866312182234608</v>
      </c>
      <c r="DR90" s="20">
        <f t="shared" si="70"/>
        <v>388.07578438405881</v>
      </c>
      <c r="DS90" s="59">
        <f t="shared" si="71"/>
        <v>681.40911771739206</v>
      </c>
      <c r="DT90" s="59">
        <f ca="1">AVERAGE(OFFSET($DS$3,0,0,'Données projet'!$E$14+1,1))-AVERAGE(OFFSET($H$3,0,0,'Données projet'!$E$14+1,1))</f>
        <v>295.92103934364718</v>
      </c>
      <c r="DU90" s="59">
        <f t="shared" si="98"/>
        <v>304.84379909635476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1.4425149716801278</v>
      </c>
      <c r="EB90" s="21">
        <f>EXP(-LN(2)/25)*EB89+(1-EXP(-LN(2)/25))/(LN(2)/25)*Calculateur!DW90*Calculateur!DY90*VLOOKUP('Données projet'!$B$14,Paramètres!$A$1:$I$89,3,0)*0.475*44/12</f>
        <v>1.4726118656682792</v>
      </c>
      <c r="EC90" s="21">
        <f>EXP(-LN(2)/2)*EC89+(1-EXP(-LN(2)/2))/(LN(2)/2)*DW90*DZ90*VLOOKUP('Données projet'!$B$14,Paramètres!$A$1:$I$89,3,0)*0.475*44/12</f>
        <v>1.5158942519814791E-8</v>
      </c>
      <c r="ED90" s="22">
        <f t="shared" si="72"/>
        <v>2.9151268525073495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207.2913533618397</v>
      </c>
      <c r="EP90" s="59">
        <f t="shared" si="100"/>
        <v>230.81096055024483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2.238783823426493</v>
      </c>
      <c r="EW90" s="21">
        <f>EXP(-LN(2)/25)*EW89+(1-EXP(-LN(2)/25))/(LN(2)/25)*Calculateur!ER90*Calculateur!ET90*VLOOKUP('Données projet'!$B$15,Paramètres!$A$1:$I$89,3,0)*0.475*44/12</f>
        <v>1.2418047099958478</v>
      </c>
      <c r="EX90" s="21">
        <f>EXP(-LN(2)/2)*EX89+(1-EXP(-LN(2)/2))/(LN(2)/2)*ER90*EU90*VLOOKUP('Données projet'!$B$15,Paramètres!$A$1:$I$89,3,0)*0.475*44/12</f>
        <v>7.7695281085159166E-9</v>
      </c>
      <c r="EY90" s="22">
        <f t="shared" si="75"/>
        <v>3.4805885411918691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17.5</v>
      </c>
      <c r="N91" s="13">
        <f>IF('Données projet'!$A$36&gt;35,N90+M91-V90,IF(A91&lt;'Données projet'!$A$36,$K$205^A91,IF(A91='Données projet'!$A$36,'Données projet'!$B$36,N90+M91-V90)))</f>
        <v>553.49999999999989</v>
      </c>
      <c r="O91" s="13">
        <f>N91*VLOOKUP('Données projet'!$B$9,Paramètres!$A$1:$I$89,3,0)*VLOOKUP('Données projet'!$B$9,Paramètres!$A$1:$I$89,5,0)</f>
        <v>259.03799999999995</v>
      </c>
      <c r="P91" s="13">
        <f t="shared" si="87"/>
        <v>62.517274213025487</v>
      </c>
      <c r="Q91" s="20">
        <f t="shared" si="54"/>
        <v>560.04210258768592</v>
      </c>
      <c r="R91" s="59">
        <f t="shared" si="55"/>
        <v>853.37543592101929</v>
      </c>
      <c r="S91" s="59">
        <f ca="1">AVERAGE(OFFSET($R$3,0,0,'Données projet'!$E$9+1,1))-AVERAGE(OFFSET($H$3,0,0,'Données projet'!$E$9+1,1))</f>
        <v>319.22903094674564</v>
      </c>
      <c r="T91" s="59">
        <f t="shared" si="88"/>
        <v>254.58690973142848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2.8777481115401651</v>
      </c>
      <c r="AA91" s="21">
        <f>EXP(-LN(2)/25)*AA90+(1-EXP(-LN(2)/25))/(LN(2)/25)*Calculateur!V91*Calculateur!X91*VLOOKUP('Données projet'!$B$9,Paramètres!$A$1:$I$89,3,0)*0.475*44/12</f>
        <v>2.2332466802366215</v>
      </c>
      <c r="AB91" s="21">
        <f>EXP(-LN(2)/2)*AB90+(1-EXP(-LN(2)/2))/(LN(2)/2)*V91*Y91*VLOOKUP('Données projet'!$B$9,Paramètres!$A$1:$I$89,3,0)*0.475*44/12</f>
        <v>2.0569430000331999E-8</v>
      </c>
      <c r="AC91" s="22">
        <f t="shared" si="57"/>
        <v>5.1109948123462159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-3.4106051316484809E-13</v>
      </c>
      <c r="AJ91" s="13">
        <f>AI91*VLOOKUP('Données projet'!$B$10,Paramètres!$A$1:$I$89,3,0)*VLOOKUP('Données projet'!$B$10,Paramètres!$A$1:$I$89,5,0)</f>
        <v>-1.9065282685915009E-13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544.48194192356823</v>
      </c>
      <c r="AO91" s="59">
        <f t="shared" si="90"/>
        <v>668.20427590250733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2.3276927388342492</v>
      </c>
      <c r="AV91" s="21">
        <f>EXP(-LN(2)/25)*AV90+(1-EXP(-LN(2)/25))/(LN(2)/25)*Calculateur!AQ91*Calculateur!AS91*VLOOKUP('Données projet'!$B$10,Paramètres!$A$1:$I$89,3,0)*0.475*44/12</f>
        <v>8.5338421826752242</v>
      </c>
      <c r="AW91" s="21">
        <f>EXP(-LN(2)/2)*AW90+(1-EXP(-LN(2)/2))/(LN(2)/2)*AQ91*AT91*VLOOKUP('Données projet'!$B$10,Paramètres!$A$1:$I$89,3,0)*0.475*44/12</f>
        <v>2.685553909230538E-8</v>
      </c>
      <c r="AX91" s="21">
        <f t="shared" si="60"/>
        <v>10.861534948365012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6.4</v>
      </c>
      <c r="BD91" s="12">
        <f>IF('Données projet'!$A$88&gt;35,BD90+BC91-BL90,IF(A91&lt;'Données projet'!$A$88,$BA$205^A91,IF(A91='Données projet'!$A$88,'Données projet'!$B$88,BD90+BC91-BL90)))</f>
        <v>317.2</v>
      </c>
      <c r="BE91" s="13">
        <f>BD91*VLOOKUP('Données projet'!$B$11,Paramètres!$A$1:$I$89,3,0)*VLOOKUP('Données projet'!$B$11,Paramètres!$A$1:$I$89,5,0)</f>
        <v>287.00255999999996</v>
      </c>
      <c r="BF91" s="13">
        <f t="shared" si="91"/>
        <v>68.444716936118553</v>
      </c>
      <c r="BG91" s="20">
        <f t="shared" si="61"/>
        <v>619.07067399707296</v>
      </c>
      <c r="BH91" s="59">
        <f t="shared" si="62"/>
        <v>912.40400733040633</v>
      </c>
      <c r="BI91" s="59">
        <f ca="1">AVERAGE(OFFSET($BH$3,0,0,'Données projet'!$E$11+1,1))-AVERAGE(OFFSET($H$3,0,0,'Données projet'!$E$11+1,1))</f>
        <v>405.7176439604217</v>
      </c>
      <c r="BJ91" s="59">
        <f t="shared" si="92"/>
        <v>278.21741231699929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2.3172625828096627</v>
      </c>
      <c r="BQ91" s="21">
        <f>EXP(-LN(2)/25)*BQ90+(1-EXP(-LN(2)/25))/(LN(2)/25)*Calculateur!BL91*Calculateur!BN91*VLOOKUP('Données projet'!$B$11,Paramètres!$A$1:$I$89,3,0)*0.475*44/12</f>
        <v>1.8754580138546522</v>
      </c>
      <c r="BR91" s="21">
        <f>EXP(-LN(2)/2)*BR90+(1-EXP(-LN(2)/2))/(LN(2)/2)*BL91*BO91*VLOOKUP('Données projet'!$B$11,Paramètres!$A$1:$I$89,3,0)*0.475*44/12</f>
        <v>1.5897364522028166E-8</v>
      </c>
      <c r="BS91" s="22">
        <f t="shared" si="63"/>
        <v>4.1927206125616792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-1.7053025658242404E-13</v>
      </c>
      <c r="CU91" s="17">
        <f>CT91*VLOOKUP('Données projet'!$B$13,Paramètres!$A$1:$I$89,3,0)*VLOOKUP('Données projet'!$B$13,Paramètres!$A$1:$I$89,5,0)</f>
        <v>-1.3567387213697657E-13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299.10536994156814</v>
      </c>
      <c r="CZ91" s="59">
        <f t="shared" si="96"/>
        <v>292.57799203101769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2.6701052631587112</v>
      </c>
      <c r="DG91" s="21">
        <f>EXP(-LN(2)/25)*DG90+(1-EXP(-LN(2)/25))/(LN(2)/25)*Calculateur!DB91*Calculateur!DD91*VLOOKUP('Données projet'!$B$13,Paramètres!$A$1:$I$89,3,0)*0.475*44/12</f>
        <v>2.1654425660829619</v>
      </c>
      <c r="DH91" s="21">
        <f>EXP(-LN(2)/2)*DH90+(1-EXP(-LN(2)/2))/(LN(2)/2)*DB91*DE91*VLOOKUP('Données projet'!$B$13,Paramètres!$A$1:$I$89,3,0)*0.475*44/12</f>
        <v>1.671286033620135E-8</v>
      </c>
      <c r="DI91" s="22">
        <f t="shared" si="69"/>
        <v>4.8355478459545331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3.8</v>
      </c>
      <c r="DO91" s="12">
        <f>IF('Données projet'!$A$166&gt;35,DO90+DN91-DW90,IF(A91&lt;'Données projet'!$A$166,$DL$205^A91,IF(A91='Données projet'!$A$166,'Données projet'!$B$166,DO90+DN91-DW90)))</f>
        <v>275.4000000000002</v>
      </c>
      <c r="DP91" s="17">
        <f>DO91*VLOOKUP('Données projet'!$B$14,Paramètres!$A$1:$I$89,3,0)*VLOOKUP('Données projet'!$B$14,Paramètres!$A$1:$I$89,5,0)</f>
        <v>180.44208000000012</v>
      </c>
      <c r="DQ91" s="13">
        <f t="shared" si="97"/>
        <v>45.420526775820072</v>
      </c>
      <c r="DR91" s="20">
        <f t="shared" si="70"/>
        <v>393.3773734678868</v>
      </c>
      <c r="DS91" s="59">
        <f t="shared" si="71"/>
        <v>686.71070680122011</v>
      </c>
      <c r="DT91" s="59">
        <f ca="1">AVERAGE(OFFSET($DS$3,0,0,'Données projet'!$E$14+1,1))-AVERAGE(OFFSET($H$3,0,0,'Données projet'!$E$14+1,1))</f>
        <v>295.92103934364718</v>
      </c>
      <c r="DU91" s="59">
        <f t="shared" si="98"/>
        <v>304.84379909635476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1.4142281329327355</v>
      </c>
      <c r="EB91" s="21">
        <f>EXP(-LN(2)/25)*EB90+(1-EXP(-LN(2)/25))/(LN(2)/25)*Calculateur!DW91*Calculateur!DY91*VLOOKUP('Données projet'!$B$14,Paramètres!$A$1:$I$89,3,0)*0.475*44/12</f>
        <v>1.4323432167602879</v>
      </c>
      <c r="EC91" s="21">
        <f>EXP(-LN(2)/2)*EC90+(1-EXP(-LN(2)/2))/(LN(2)/2)*DW91*DZ91*VLOOKUP('Données projet'!$B$14,Paramètres!$A$1:$I$89,3,0)*0.475*44/12</f>
        <v>1.0718991051378129E-8</v>
      </c>
      <c r="ED91" s="22">
        <f t="shared" si="72"/>
        <v>2.8465713604120144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207.2913533618397</v>
      </c>
      <c r="EP91" s="59">
        <f t="shared" si="100"/>
        <v>230.81096055024483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2.1948826381723974</v>
      </c>
      <c r="EW91" s="21">
        <f>EXP(-LN(2)/25)*EW90+(1-EXP(-LN(2)/25))/(LN(2)/25)*Calculateur!ER91*Calculateur!ET91*VLOOKUP('Données projet'!$B$15,Paramètres!$A$1:$I$89,3,0)*0.475*44/12</f>
        <v>1.2078474948973399</v>
      </c>
      <c r="EX91" s="21">
        <f>EXP(-LN(2)/2)*EX90+(1-EXP(-LN(2)/2))/(LN(2)/2)*ER91*EU91*VLOOKUP('Données projet'!$B$15,Paramètres!$A$1:$I$89,3,0)*0.475*44/12</f>
        <v>5.4938860121510949E-9</v>
      </c>
      <c r="EY91" s="22">
        <f t="shared" si="75"/>
        <v>3.4027301385636233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17.5</v>
      </c>
      <c r="N92" s="13">
        <f>IF('Données projet'!$A$36&gt;35,N91+M92-V91,IF(A92&lt;'Données projet'!$A$36,$K$205^A92,IF(A92='Données projet'!$A$36,'Données projet'!$B$36,N91+M92-V91)))</f>
        <v>570.99999999999989</v>
      </c>
      <c r="O92" s="13">
        <f>N92*VLOOKUP('Données projet'!$B$9,Paramètres!$A$1:$I$89,3,0)*VLOOKUP('Données projet'!$B$9,Paramètres!$A$1:$I$89,5,0)</f>
        <v>267.22799999999995</v>
      </c>
      <c r="P92" s="13">
        <f t="shared" si="87"/>
        <v>64.260628062866161</v>
      </c>
      <c r="Q92" s="20">
        <f t="shared" si="54"/>
        <v>577.34269387615848</v>
      </c>
      <c r="R92" s="59">
        <f t="shared" si="55"/>
        <v>870.67602720949185</v>
      </c>
      <c r="S92" s="59">
        <f ca="1">AVERAGE(OFFSET($R$3,0,0,'Données projet'!$E$9+1,1))-AVERAGE(OFFSET($H$3,0,0,'Données projet'!$E$9+1,1))</f>
        <v>319.22903094674564</v>
      </c>
      <c r="T92" s="59">
        <f t="shared" si="88"/>
        <v>254.58690973142848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2.8213172263258937</v>
      </c>
      <c r="AA92" s="21">
        <f>EXP(-LN(2)/25)*AA91+(1-EXP(-LN(2)/25))/(LN(2)/25)*Calculateur!V92*Calculateur!X92*VLOOKUP('Données projet'!$B$9,Paramètres!$A$1:$I$89,3,0)*0.475*44/12</f>
        <v>2.1721784323242121</v>
      </c>
      <c r="AB92" s="21">
        <f>EXP(-LN(2)/2)*AB91+(1-EXP(-LN(2)/2))/(LN(2)/2)*V92*Y92*VLOOKUP('Données projet'!$B$9,Paramètres!$A$1:$I$89,3,0)*0.475*44/12</f>
        <v>1.4544783438376766E-8</v>
      </c>
      <c r="AC92" s="22">
        <f t="shared" si="57"/>
        <v>4.9934956731948894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-3.4106051316484809E-13</v>
      </c>
      <c r="AJ92" s="13">
        <f>AI92*VLOOKUP('Données projet'!$B$10,Paramètres!$A$1:$I$89,3,0)*VLOOKUP('Données projet'!$B$10,Paramètres!$A$1:$I$89,5,0)</f>
        <v>-1.9065282685915009E-13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544.48194192356823</v>
      </c>
      <c r="AO92" s="59">
        <f t="shared" si="90"/>
        <v>668.20427590250733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2.2820481039780915</v>
      </c>
      <c r="AV92" s="21">
        <f>EXP(-LN(2)/25)*AV91+(1-EXP(-LN(2)/25))/(LN(2)/25)*Calculateur!AQ92*Calculateur!AS92*VLOOKUP('Données projet'!$B$10,Paramètres!$A$1:$I$89,3,0)*0.475*44/12</f>
        <v>8.3004838194147137</v>
      </c>
      <c r="AW92" s="21">
        <f>EXP(-LN(2)/2)*AW91+(1-EXP(-LN(2)/2))/(LN(2)/2)*AQ92*AT92*VLOOKUP('Données projet'!$B$10,Paramètres!$A$1:$I$89,3,0)*0.475*44/12</f>
        <v>1.8989733804589553E-8</v>
      </c>
      <c r="AX92" s="21">
        <f t="shared" si="60"/>
        <v>10.582531942382539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6.4</v>
      </c>
      <c r="BD92" s="12">
        <f>IF('Données projet'!$A$88&gt;35,BD91+BC92-BL91,IF(A92&lt;'Données projet'!$A$88,$BA$205^A92,IF(A92='Données projet'!$A$88,'Données projet'!$B$88,BD91+BC92-BL91)))</f>
        <v>323.59999999999997</v>
      </c>
      <c r="BE92" s="13">
        <f>BD92*VLOOKUP('Données projet'!$B$11,Paramètres!$A$1:$I$89,3,0)*VLOOKUP('Données projet'!$B$11,Paramètres!$A$1:$I$89,5,0)</f>
        <v>292.79327999999992</v>
      </c>
      <c r="BF92" s="13">
        <f t="shared" si="91"/>
        <v>69.663526761731433</v>
      </c>
      <c r="BG92" s="20">
        <f t="shared" si="61"/>
        <v>631.27893844334869</v>
      </c>
      <c r="BH92" s="59">
        <f t="shared" si="62"/>
        <v>924.61227177668206</v>
      </c>
      <c r="BI92" s="59">
        <f ca="1">AVERAGE(OFFSET($BH$3,0,0,'Données projet'!$E$11+1,1))-AVERAGE(OFFSET($H$3,0,0,'Données projet'!$E$11+1,1))</f>
        <v>405.7176439604217</v>
      </c>
      <c r="BJ92" s="59">
        <f t="shared" si="92"/>
        <v>278.21741231699929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2.27182247695138</v>
      </c>
      <c r="BQ92" s="21">
        <f>EXP(-LN(2)/25)*BQ91+(1-EXP(-LN(2)/25))/(LN(2)/25)*Calculateur!BL92*Calculateur!BN92*VLOOKUP('Données projet'!$B$11,Paramètres!$A$1:$I$89,3,0)*0.475*44/12</f>
        <v>1.8241735158397461</v>
      </c>
      <c r="BR92" s="21">
        <f>EXP(-LN(2)/2)*BR91+(1-EXP(-LN(2)/2))/(LN(2)/2)*BL92*BO92*VLOOKUP('Données projet'!$B$11,Paramètres!$A$1:$I$89,3,0)*0.475*44/12</f>
        <v>1.1241134256520554E-8</v>
      </c>
      <c r="BS92" s="22">
        <f t="shared" si="63"/>
        <v>4.0959960040322603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-1.7053025658242404E-13</v>
      </c>
      <c r="CU92" s="17">
        <f>CT92*VLOOKUP('Données projet'!$B$13,Paramètres!$A$1:$I$89,3,0)*VLOOKUP('Données projet'!$B$13,Paramètres!$A$1:$I$89,5,0)</f>
        <v>-1.3567387213697657E-13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299.10536994156814</v>
      </c>
      <c r="CZ92" s="59">
        <f t="shared" si="96"/>
        <v>292.57799203101769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2.6177461275515683</v>
      </c>
      <c r="DG92" s="21">
        <f>EXP(-LN(2)/25)*DG91+(1-EXP(-LN(2)/25))/(LN(2)/25)*Calculateur!DB92*Calculateur!DD92*VLOOKUP('Données projet'!$B$13,Paramètres!$A$1:$I$89,3,0)*0.475*44/12</f>
        <v>2.1062284252377479</v>
      </c>
      <c r="DH92" s="21">
        <f>EXP(-LN(2)/2)*DH91+(1-EXP(-LN(2)/2))/(LN(2)/2)*DB92*DE92*VLOOKUP('Données projet'!$B$13,Paramètres!$A$1:$I$89,3,0)*0.475*44/12</f>
        <v>1.1817776876751657E-8</v>
      </c>
      <c r="DI92" s="22">
        <f t="shared" si="69"/>
        <v>4.7239745646070936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3.8</v>
      </c>
      <c r="DO92" s="12">
        <f>IF('Données projet'!$A$166&gt;35,DO91+DN92-DW91,IF(A92&lt;'Données projet'!$A$166,$DL$205^A92,IF(A92='Données projet'!$A$166,'Données projet'!$B$166,DO91+DN92-DW91)))</f>
        <v>279.20000000000022</v>
      </c>
      <c r="DP92" s="17">
        <f>DO92*VLOOKUP('Données projet'!$B$14,Paramètres!$A$1:$I$89,3,0)*VLOOKUP('Données projet'!$B$14,Paramètres!$A$1:$I$89,5,0)</f>
        <v>182.93184000000014</v>
      </c>
      <c r="DQ92" s="13">
        <f t="shared" si="97"/>
        <v>45.973851929814685</v>
      </c>
      <c r="DR92" s="20">
        <f t="shared" si="70"/>
        <v>398.67741344442743</v>
      </c>
      <c r="DS92" s="59">
        <f t="shared" si="71"/>
        <v>692.01074677776069</v>
      </c>
      <c r="DT92" s="59">
        <f ca="1">AVERAGE(OFFSET($DS$3,0,0,'Données projet'!$E$14+1,1))-AVERAGE(OFFSET($H$3,0,0,'Données projet'!$E$14+1,1))</f>
        <v>295.92103934364718</v>
      </c>
      <c r="DU92" s="59">
        <f t="shared" si="98"/>
        <v>304.84379909635476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1.3864959818399116</v>
      </c>
      <c r="EB92" s="21">
        <f>EXP(-LN(2)/25)*EB91+(1-EXP(-LN(2)/25))/(LN(2)/25)*Calculateur!DW92*Calculateur!DY92*VLOOKUP('Données projet'!$B$14,Paramètres!$A$1:$I$89,3,0)*0.475*44/12</f>
        <v>1.3931757161743217</v>
      </c>
      <c r="EC92" s="21">
        <f>EXP(-LN(2)/2)*EC91+(1-EXP(-LN(2)/2))/(LN(2)/2)*DW92*DZ92*VLOOKUP('Données projet'!$B$14,Paramètres!$A$1:$I$89,3,0)*0.475*44/12</f>
        <v>7.5794712599073954E-9</v>
      </c>
      <c r="ED92" s="22">
        <f t="shared" si="72"/>
        <v>2.7796717055937048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207.2913533618397</v>
      </c>
      <c r="EP92" s="59">
        <f t="shared" si="100"/>
        <v>230.81096055024483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2.1518423283840558</v>
      </c>
      <c r="EW92" s="21">
        <f>EXP(-LN(2)/25)*EW91+(1-EXP(-LN(2)/25))/(LN(2)/25)*Calculateur!ER92*Calculateur!ET92*VLOOKUP('Données projet'!$B$15,Paramètres!$A$1:$I$89,3,0)*0.475*44/12</f>
        <v>1.1748188416314329</v>
      </c>
      <c r="EX92" s="21">
        <f>EXP(-LN(2)/2)*EX91+(1-EXP(-LN(2)/2))/(LN(2)/2)*ER92*EU92*VLOOKUP('Données projet'!$B$15,Paramètres!$A$1:$I$89,3,0)*0.475*44/12</f>
        <v>3.8847640542579583E-9</v>
      </c>
      <c r="EY92" s="22">
        <f t="shared" si="75"/>
        <v>3.3266611739002525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588.5</v>
      </c>
      <c r="L93" s="12">
        <f>VLOOKUP(A93,'Données projet'!$A$35:$I$55,9,0)</f>
        <v>17.5</v>
      </c>
      <c r="M93" s="12">
        <f t="array" ref="M93">INDEX(L:L,MIN(IF(ISNUMBER(L93:L289),ROW(L93:L289),"")))</f>
        <v>17.5</v>
      </c>
      <c r="N93" s="13">
        <f>IF('Données projet'!$A$36&gt;35,N92+M93-V92,IF(A93&lt;'Données projet'!$A$36,$K$205^A93,IF(A93='Données projet'!$A$36,'Données projet'!$B$36,N92+M93-V92)))</f>
        <v>588.49999999999989</v>
      </c>
      <c r="O93" s="13">
        <f>N93*VLOOKUP('Données projet'!$B$9,Paramètres!$A$1:$I$89,3,0)*VLOOKUP('Données projet'!$B$9,Paramètres!$A$1:$I$89,5,0)</f>
        <v>275.41799999999995</v>
      </c>
      <c r="P93" s="13">
        <f t="shared" si="87"/>
        <v>65.997772680817278</v>
      </c>
      <c r="Q93" s="20">
        <f t="shared" si="54"/>
        <v>594.63247075242327</v>
      </c>
      <c r="R93" s="59">
        <f t="shared" si="55"/>
        <v>887.96580408575664</v>
      </c>
      <c r="S93" s="59">
        <f ca="1">AVERAGE(OFFSET($R$3,0,0,'Données projet'!$E$9+1,1))-AVERAGE(OFFSET($H$3,0,0,'Données projet'!$E$9+1,1))</f>
        <v>319.22903094674564</v>
      </c>
      <c r="T93" s="59">
        <f t="shared" si="88"/>
        <v>254.58690973142848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98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2.7659929163512329</v>
      </c>
      <c r="AA93" s="21">
        <f>EXP(-LN(2)/25)*AA92+(1-EXP(-LN(2)/25))/(LN(2)/25)*Calculateur!V93*Calculateur!X93*VLOOKUP('Données projet'!$B$9,Paramètres!$A$1:$I$89,3,0)*0.475*44/12</f>
        <v>2.1127800988624075</v>
      </c>
      <c r="AB93" s="21">
        <f>EXP(-LN(2)/2)*AB92+(1-EXP(-LN(2)/2))/(LN(2)/2)*V93*Y93*VLOOKUP('Données projet'!$B$9,Paramètres!$A$1:$I$89,3,0)*0.475*44/12</f>
        <v>1.0284715000166001E-8</v>
      </c>
      <c r="AC93" s="22">
        <f t="shared" si="57"/>
        <v>4.8787730254983561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-3.4106051316484809E-13</v>
      </c>
      <c r="AJ93" s="13">
        <f>AI93*VLOOKUP('Données projet'!$B$10,Paramètres!$A$1:$I$89,3,0)*VLOOKUP('Données projet'!$B$10,Paramètres!$A$1:$I$89,5,0)</f>
        <v>-1.9065282685915009E-13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544.48194192356823</v>
      </c>
      <c r="AO93" s="59">
        <f t="shared" si="90"/>
        <v>668.20427590250733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2.2372985325709847</v>
      </c>
      <c r="AV93" s="21">
        <f>EXP(-LN(2)/25)*AV92+(1-EXP(-LN(2)/25))/(LN(2)/25)*Calculateur!AQ93*Calculateur!AS93*VLOOKUP('Données projet'!$B$10,Paramètres!$A$1:$I$89,3,0)*0.475*44/12</f>
        <v>8.0735066528693444</v>
      </c>
      <c r="AW93" s="21">
        <f>EXP(-LN(2)/2)*AW92+(1-EXP(-LN(2)/2))/(LN(2)/2)*AQ93*AT93*VLOOKUP('Données projet'!$B$10,Paramètres!$A$1:$I$89,3,0)*0.475*44/12</f>
        <v>1.342776954615269E-8</v>
      </c>
      <c r="AX93" s="21">
        <f t="shared" si="60"/>
        <v>10.310805198868099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330</v>
      </c>
      <c r="BB93" s="12">
        <f>VLOOKUP(A93,'Données projet'!$A$87:$I$107,9,0)</f>
        <v>6.4</v>
      </c>
      <c r="BC93" s="12">
        <f t="array" ref="BC93">INDEX(BB:BB,MIN(IF(ISNUMBER(BB93:BB289),ROW(BB93:BB289),"")))</f>
        <v>6.4</v>
      </c>
      <c r="BD93" s="12">
        <f>IF('Données projet'!$A$88&gt;35,BD92+BC93-BL92,IF(A93&lt;'Données projet'!$A$88,$BA$205^A93,IF(A93='Données projet'!$A$88,'Données projet'!$B$88,BD92+BC93-BL92)))</f>
        <v>329.99999999999994</v>
      </c>
      <c r="BE93" s="13">
        <f>BD93*VLOOKUP('Données projet'!$B$11,Paramètres!$A$1:$I$89,3,0)*VLOOKUP('Données projet'!$B$11,Paramètres!$A$1:$I$89,5,0)</f>
        <v>298.58399999999995</v>
      </c>
      <c r="BF93" s="13">
        <f t="shared" si="91"/>
        <v>70.879533797607607</v>
      </c>
      <c r="BG93" s="20">
        <f t="shared" si="61"/>
        <v>643.48232136416652</v>
      </c>
      <c r="BH93" s="59">
        <f t="shared" si="62"/>
        <v>936.81565469749989</v>
      </c>
      <c r="BI93" s="59">
        <f ca="1">AVERAGE(OFFSET($BH$3,0,0,'Données projet'!$E$11+1,1))-AVERAGE(OFFSET($H$3,0,0,'Données projet'!$E$11+1,1))</f>
        <v>405.7176439604217</v>
      </c>
      <c r="BJ93" s="59">
        <f t="shared" si="92"/>
        <v>278.21741231699929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28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2.2272734238532501</v>
      </c>
      <c r="BQ93" s="21">
        <f>EXP(-LN(2)/25)*BQ92+(1-EXP(-LN(2)/25))/(LN(2)/25)*Calculateur!BL93*Calculateur!BN93*VLOOKUP('Données projet'!$B$11,Paramètres!$A$1:$I$89,3,0)*0.475*44/12</f>
        <v>1.7742913951199921</v>
      </c>
      <c r="BR93" s="21">
        <f>EXP(-LN(2)/2)*BR92+(1-EXP(-LN(2)/2))/(LN(2)/2)*BL93*BO93*VLOOKUP('Données projet'!$B$11,Paramètres!$A$1:$I$89,3,0)*0.475*44/12</f>
        <v>7.9486822610140829E-9</v>
      </c>
      <c r="BS93" s="22">
        <f t="shared" si="63"/>
        <v>4.0015648269219248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-1.7053025658242404E-13</v>
      </c>
      <c r="CU93" s="17">
        <f>CT93*VLOOKUP('Données projet'!$B$13,Paramètres!$A$1:$I$89,3,0)*VLOOKUP('Données projet'!$B$13,Paramètres!$A$1:$I$89,5,0)</f>
        <v>-1.3567387213697657E-13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299.10536994156814</v>
      </c>
      <c r="CZ93" s="59">
        <f t="shared" si="96"/>
        <v>292.57799203101769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2.5664137226577619</v>
      </c>
      <c r="DG93" s="21">
        <f>EXP(-LN(2)/25)*DG92+(1-EXP(-LN(2)/25))/(LN(2)/25)*Calculateur!DB93*Calculateur!DD93*VLOOKUP('Données projet'!$B$13,Paramètres!$A$1:$I$89,3,0)*0.475*44/12</f>
        <v>2.0486334981878827</v>
      </c>
      <c r="DH93" s="21">
        <f>EXP(-LN(2)/2)*DH92+(1-EXP(-LN(2)/2))/(LN(2)/2)*DB93*DE93*VLOOKUP('Données projet'!$B$13,Paramètres!$A$1:$I$89,3,0)*0.475*44/12</f>
        <v>8.356430168100675E-9</v>
      </c>
      <c r="DI93" s="22">
        <f t="shared" si="69"/>
        <v>4.6150472292020748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283</v>
      </c>
      <c r="DM93" s="12">
        <f>VLOOKUP(A93,'Données projet'!$A$165:$I$185,9,0)</f>
        <v>3.8</v>
      </c>
      <c r="DN93" s="12">
        <f t="array" ref="DN93">INDEX(DM:DM,MIN(IF(ISNUMBER(DM93:DM289),ROW(DM93:DM289),"")))</f>
        <v>3.8</v>
      </c>
      <c r="DO93" s="12">
        <f>IF('Données projet'!$A$166&gt;35,DO92+DN93-DW92,IF(A93&lt;'Données projet'!$A$166,$DL$205^A93,IF(A93='Données projet'!$A$166,'Données projet'!$B$166,DO92+DN93-DW92)))</f>
        <v>283.00000000000023</v>
      </c>
      <c r="DP93" s="17">
        <f>DO93*VLOOKUP('Données projet'!$B$14,Paramètres!$A$1:$I$89,3,0)*VLOOKUP('Données projet'!$B$14,Paramètres!$A$1:$I$89,5,0)</f>
        <v>185.42160000000013</v>
      </c>
      <c r="DQ93" s="13">
        <f t="shared" si="97"/>
        <v>46.526301148997497</v>
      </c>
      <c r="DR93" s="20">
        <f t="shared" si="70"/>
        <v>403.97592783450415</v>
      </c>
      <c r="DS93" s="59">
        <f t="shared" si="71"/>
        <v>697.30926116783746</v>
      </c>
      <c r="DT93" s="59">
        <f ca="1">AVERAGE(OFFSET($DS$3,0,0,'Données projet'!$E$14+1,1))-AVERAGE(OFFSET($H$3,0,0,'Données projet'!$E$14+1,1))</f>
        <v>295.92103934364718</v>
      </c>
      <c r="DU93" s="59">
        <f t="shared" si="98"/>
        <v>304.84379909635476</v>
      </c>
      <c r="DV93" s="15">
        <f>IF(ISNA(VLOOKUP(A93,'Données projet'!$A$165:$I$185,3,0)),0,VLOOKUP(A93,'Données projet'!$A$165:$I$185,3,0))</f>
        <v>17</v>
      </c>
      <c r="DW93" s="15">
        <f>IF(ISNA(VLOOKUP(A93,'Données projet'!$A$165:$I$185,4,0)),0,VLOOKUP(A93,'Données projet'!$A$165:$I$185,4,0))</f>
        <v>283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1.359307641315076</v>
      </c>
      <c r="EB93" s="21">
        <f>EXP(-LN(2)/25)*EB92+(1-EXP(-LN(2)/25))/(LN(2)/25)*Calculateur!DW93*Calculateur!DY93*VLOOKUP('Données projet'!$B$14,Paramètres!$A$1:$I$89,3,0)*0.475*44/12</f>
        <v>1.355079252951608</v>
      </c>
      <c r="EC93" s="21">
        <f>EXP(-LN(2)/2)*EC92+(1-EXP(-LN(2)/2))/(LN(2)/2)*DW93*DZ93*VLOOKUP('Données projet'!$B$14,Paramètres!$A$1:$I$89,3,0)*0.475*44/12</f>
        <v>5.3594955256890644E-9</v>
      </c>
      <c r="ED93" s="22">
        <f t="shared" si="72"/>
        <v>2.7143868996261795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207.2913533618397</v>
      </c>
      <c r="EP93" s="59">
        <f t="shared" si="100"/>
        <v>230.81096055024483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2.1096460128186667</v>
      </c>
      <c r="EW93" s="21">
        <f>EXP(-LN(2)/25)*EW92+(1-EXP(-LN(2)/25))/(LN(2)/25)*Calculateur!ER93*Calculateur!ET93*VLOOKUP('Données projet'!$B$15,Paramètres!$A$1:$I$89,3,0)*0.475*44/12</f>
        <v>1.1426933586259835</v>
      </c>
      <c r="EX93" s="21">
        <f>EXP(-LN(2)/2)*EX92+(1-EXP(-LN(2)/2))/(LN(2)/2)*ER93*EU93*VLOOKUP('Données projet'!$B$15,Paramètres!$A$1:$I$89,3,0)*0.475*44/12</f>
        <v>2.7469430060755475E-9</v>
      </c>
      <c r="EY93" s="22">
        <f t="shared" si="75"/>
        <v>3.2523393741915934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18.5</v>
      </c>
      <c r="N94" s="13">
        <f>IF('Données projet'!$A$36&gt;35,N93+M94-V93,IF(A94&lt;'Données projet'!$A$36,$K$205^A94,IF(A94='Données projet'!$A$36,'Données projet'!$B$36,N93+M94-V93)))</f>
        <v>508.99999999999989</v>
      </c>
      <c r="O94" s="13">
        <f>N94*VLOOKUP('Données projet'!$B$9,Paramètres!$A$1:$I$89,3,0)*VLOOKUP('Données projet'!$B$9,Paramètres!$A$1:$I$89,5,0)</f>
        <v>238.21199999999993</v>
      </c>
      <c r="P94" s="13">
        <f t="shared" si="87"/>
        <v>58.054666307163771</v>
      </c>
      <c r="Q94" s="20">
        <f t="shared" si="54"/>
        <v>515.99777715164339</v>
      </c>
      <c r="R94" s="59">
        <f t="shared" si="55"/>
        <v>809.33111048497676</v>
      </c>
      <c r="S94" s="59">
        <f ca="1">AVERAGE(OFFSET($R$3,0,0,'Données projet'!$E$9+1,1))-AVERAGE(OFFSET($H$3,0,0,'Données projet'!$E$9+1,1))</f>
        <v>319.22903094674564</v>
      </c>
      <c r="T94" s="59">
        <f t="shared" si="88"/>
        <v>254.58690973142848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2.7117534823506779</v>
      </c>
      <c r="AA94" s="21">
        <f>EXP(-LN(2)/25)*AA93+(1-EXP(-LN(2)/25))/(LN(2)/25)*Calculateur!V94*Calculateur!X94*VLOOKUP('Données projet'!$B$9,Paramètres!$A$1:$I$89,3,0)*0.475*44/12</f>
        <v>2.0550060159527384</v>
      </c>
      <c r="AB94" s="21">
        <f>EXP(-LN(2)/2)*AB93+(1-EXP(-LN(2)/2))/(LN(2)/2)*V94*Y94*VLOOKUP('Données projet'!$B$9,Paramètres!$A$1:$I$89,3,0)*0.475*44/12</f>
        <v>7.2723917191883838E-9</v>
      </c>
      <c r="AC94" s="22">
        <f t="shared" si="57"/>
        <v>4.7667595055758083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-3.4106051316484809E-13</v>
      </c>
      <c r="AJ94" s="13">
        <f>AI94*VLOOKUP('Données projet'!$B$10,Paramètres!$A$1:$I$89,3,0)*VLOOKUP('Données projet'!$B$10,Paramètres!$A$1:$I$89,5,0)</f>
        <v>-1.9065282685915009E-13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544.48194192356823</v>
      </c>
      <c r="AO94" s="59">
        <f t="shared" si="90"/>
        <v>668.20427590250733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2.1934264729646276</v>
      </c>
      <c r="AV94" s="21">
        <f>EXP(-LN(2)/25)*AV93+(1-EXP(-LN(2)/25))/(LN(2)/25)*Calculateur!AQ94*Calculateur!AS94*VLOOKUP('Données projet'!$B$10,Paramètres!$A$1:$I$89,3,0)*0.475*44/12</f>
        <v>7.8527361888793692</v>
      </c>
      <c r="AW94" s="21">
        <f>EXP(-LN(2)/2)*AW93+(1-EXP(-LN(2)/2))/(LN(2)/2)*AQ94*AT94*VLOOKUP('Données projet'!$B$10,Paramètres!$A$1:$I$89,3,0)*0.475*44/12</f>
        <v>9.4948669022947766E-9</v>
      </c>
      <c r="AX94" s="21">
        <f t="shared" si="60"/>
        <v>10.046162671338864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6.2</v>
      </c>
      <c r="BD94" s="12">
        <f>IF('Données projet'!$A$88&gt;35,BD93+BC94-BL93,IF(A94&lt;'Données projet'!$A$88,$BA$205^A94,IF(A94='Données projet'!$A$88,'Données projet'!$B$88,BD93+BC94-BL93)))</f>
        <v>308.19999999999993</v>
      </c>
      <c r="BE94" s="13">
        <f>BD94*VLOOKUP('Données projet'!$B$11,Paramètres!$A$1:$I$89,3,0)*VLOOKUP('Données projet'!$B$11,Paramètres!$A$1:$I$89,5,0)</f>
        <v>278.85935999999992</v>
      </c>
      <c r="BF94" s="13">
        <f t="shared" si="91"/>
        <v>66.725901622172387</v>
      </c>
      <c r="BG94" s="20">
        <f t="shared" si="61"/>
        <v>601.8943306586167</v>
      </c>
      <c r="BH94" s="59">
        <f t="shared" si="62"/>
        <v>895.22766399195007</v>
      </c>
      <c r="BI94" s="59">
        <f ca="1">AVERAGE(OFFSET($BH$3,0,0,'Données projet'!$E$11+1,1))-AVERAGE(OFFSET($H$3,0,0,'Données projet'!$E$11+1,1))</f>
        <v>405.7176439604217</v>
      </c>
      <c r="BJ94" s="59">
        <f t="shared" si="92"/>
        <v>278.21741231699929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2.1835979505141356</v>
      </c>
      <c r="BQ94" s="21">
        <f>EXP(-LN(2)/25)*BQ93+(1-EXP(-LN(2)/25))/(LN(2)/25)*Calculateur!BL94*Calculateur!BN94*VLOOKUP('Données projet'!$B$11,Paramètres!$A$1:$I$89,3,0)*0.475*44/12</f>
        <v>1.7257733036145066</v>
      </c>
      <c r="BR94" s="21">
        <f>EXP(-LN(2)/2)*BR93+(1-EXP(-LN(2)/2))/(LN(2)/2)*BL94*BO94*VLOOKUP('Données projet'!$B$11,Paramètres!$A$1:$I$89,3,0)*0.475*44/12</f>
        <v>5.620567128260277E-9</v>
      </c>
      <c r="BS94" s="22">
        <f t="shared" si="63"/>
        <v>3.9093712597492094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-1.7053025658242404E-13</v>
      </c>
      <c r="CU94" s="17">
        <f>CT94*VLOOKUP('Données projet'!$B$13,Paramètres!$A$1:$I$89,3,0)*VLOOKUP('Données projet'!$B$13,Paramètres!$A$1:$I$89,5,0)</f>
        <v>-1.3567387213697657E-13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299.10536994156814</v>
      </c>
      <c r="CZ94" s="59">
        <f t="shared" si="96"/>
        <v>292.57799203101769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2.5160879149142477</v>
      </c>
      <c r="DG94" s="21">
        <f>EXP(-LN(2)/25)*DG93+(1-EXP(-LN(2)/25))/(LN(2)/25)*Calculateur!DB94*Calculateur!DD94*VLOOKUP('Données projet'!$B$13,Paramètres!$A$1:$I$89,3,0)*0.475*44/12</f>
        <v>1.9926135074469815</v>
      </c>
      <c r="DH94" s="21">
        <f>EXP(-LN(2)/2)*DH93+(1-EXP(-LN(2)/2))/(LN(2)/2)*DB94*DE94*VLOOKUP('Données projet'!$B$13,Paramètres!$A$1:$I$89,3,0)*0.475*44/12</f>
        <v>5.9088884383758287E-9</v>
      </c>
      <c r="DI94" s="22">
        <f t="shared" si="69"/>
        <v>4.5087014282701174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2.2737367544323206E-13</v>
      </c>
      <c r="DP94" s="17">
        <f>DO94*VLOOKUP('Données projet'!$B$14,Paramètres!$A$1:$I$89,3,0)*VLOOKUP('Données projet'!$B$14,Paramètres!$A$1:$I$89,5,0)</f>
        <v>1.4897523215040565E-13</v>
      </c>
      <c r="DQ94" s="13">
        <f t="shared" si="97"/>
        <v>2.136562777003313E-12</v>
      </c>
      <c r="DR94" s="20">
        <f t="shared" si="70"/>
        <v>3.9806453659427267E-12</v>
      </c>
      <c r="DS94" s="59">
        <f t="shared" si="71"/>
        <v>293.33333333333729</v>
      </c>
      <c r="DT94" s="59">
        <f ca="1">AVERAGE(OFFSET($DS$3,0,0,'Données projet'!$E$14+1,1))-AVERAGE(OFFSET($H$3,0,0,'Données projet'!$E$14+1,1))</f>
        <v>295.92103934364718</v>
      </c>
      <c r="DU94" s="59">
        <f t="shared" si="98"/>
        <v>304.84379909635476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1.3326524475646822</v>
      </c>
      <c r="EB94" s="21">
        <f>EXP(-LN(2)/25)*EB93+(1-EXP(-LN(2)/25))/(LN(2)/25)*Calculateur!DW94*Calculateur!DY94*VLOOKUP('Données projet'!$B$14,Paramètres!$A$1:$I$89,3,0)*0.475*44/12</f>
        <v>1.3180245395191255</v>
      </c>
      <c r="EC94" s="21">
        <f>EXP(-LN(2)/2)*EC93+(1-EXP(-LN(2)/2))/(LN(2)/2)*DW94*DZ94*VLOOKUP('Données projet'!$B$14,Paramètres!$A$1:$I$89,3,0)*0.475*44/12</f>
        <v>3.7897356299536977E-9</v>
      </c>
      <c r="ED94" s="22">
        <f t="shared" si="72"/>
        <v>2.650676990873543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207.2913533618397</v>
      </c>
      <c r="EP94" s="59">
        <f t="shared" si="100"/>
        <v>230.81096055024483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2.068277141264304</v>
      </c>
      <c r="EW94" s="21">
        <f>EXP(-LN(2)/25)*EW93+(1-EXP(-LN(2)/25))/(LN(2)/25)*Calculateur!ER94*Calculateur!ET94*VLOOKUP('Données projet'!$B$15,Paramètres!$A$1:$I$89,3,0)*0.475*44/12</f>
        <v>1.111446348642724</v>
      </c>
      <c r="EX94" s="21">
        <f>EXP(-LN(2)/2)*EX93+(1-EXP(-LN(2)/2))/(LN(2)/2)*ER94*EU94*VLOOKUP('Données projet'!$B$15,Paramètres!$A$1:$I$89,3,0)*0.475*44/12</f>
        <v>1.9423820271289792E-9</v>
      </c>
      <c r="EY94" s="22">
        <f t="shared" si="75"/>
        <v>3.1797234918494097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18.5</v>
      </c>
      <c r="N95" s="13">
        <f>IF('Données projet'!$A$36&gt;35,N94+M95-V94,IF(A95&lt;'Données projet'!$A$36,$K$205^A95,IF(A95='Données projet'!$A$36,'Données projet'!$B$36,N94+M95-V94)))</f>
        <v>527.49999999999989</v>
      </c>
      <c r="O95" s="13">
        <f>N95*VLOOKUP('Données projet'!$B$9,Paramètres!$A$1:$I$89,3,0)*VLOOKUP('Données projet'!$B$9,Paramètres!$A$1:$I$89,5,0)</f>
        <v>246.86999999999995</v>
      </c>
      <c r="P95" s="13">
        <f t="shared" si="87"/>
        <v>59.91520778876734</v>
      </c>
      <c r="Q95" s="20">
        <f t="shared" si="54"/>
        <v>534.31757023210309</v>
      </c>
      <c r="R95" s="59">
        <f t="shared" si="55"/>
        <v>827.65090356543647</v>
      </c>
      <c r="S95" s="59">
        <f ca="1">AVERAGE(OFFSET($R$3,0,0,'Données projet'!$E$9+1,1))-AVERAGE(OFFSET($H$3,0,0,'Données projet'!$E$9+1,1))</f>
        <v>319.22903094674564</v>
      </c>
      <c r="T95" s="59">
        <f t="shared" si="88"/>
        <v>254.58690973142848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2.6585776505680858</v>
      </c>
      <c r="AA95" s="21">
        <f>EXP(-LN(2)/25)*AA94+(1-EXP(-LN(2)/25))/(LN(2)/25)*Calculateur!V95*Calculateur!X95*VLOOKUP('Données projet'!$B$9,Paramètres!$A$1:$I$89,3,0)*0.475*44/12</f>
        <v>1.9988117683784412</v>
      </c>
      <c r="AB95" s="21">
        <f>EXP(-LN(2)/2)*AB94+(1-EXP(-LN(2)/2))/(LN(2)/2)*V95*Y95*VLOOKUP('Données projet'!$B$9,Paramètres!$A$1:$I$89,3,0)*0.475*44/12</f>
        <v>5.1423575000830014E-9</v>
      </c>
      <c r="AC95" s="22">
        <f t="shared" si="57"/>
        <v>4.6573894240888851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-3.4106051316484809E-13</v>
      </c>
      <c r="AJ95" s="13">
        <f>AI95*VLOOKUP('Données projet'!$B$10,Paramètres!$A$1:$I$89,3,0)*VLOOKUP('Données projet'!$B$10,Paramètres!$A$1:$I$89,5,0)</f>
        <v>-1.9065282685915009E-13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544.48194192356823</v>
      </c>
      <c r="AO95" s="59">
        <f t="shared" si="90"/>
        <v>668.20427590250733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2.1504147176878372</v>
      </c>
      <c r="AV95" s="21">
        <f>EXP(-LN(2)/25)*AV94+(1-EXP(-LN(2)/25))/(LN(2)/25)*Calculateur!AQ95*Calculateur!AS95*VLOOKUP('Données projet'!$B$10,Paramètres!$A$1:$I$89,3,0)*0.475*44/12</f>
        <v>7.6380027048370147</v>
      </c>
      <c r="AW95" s="21">
        <f>EXP(-LN(2)/2)*AW94+(1-EXP(-LN(2)/2))/(LN(2)/2)*AQ95*AT95*VLOOKUP('Données projet'!$B$10,Paramètres!$A$1:$I$89,3,0)*0.475*44/12</f>
        <v>6.713884773076345E-9</v>
      </c>
      <c r="AX95" s="21">
        <f t="shared" si="60"/>
        <v>9.788417429238736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6.2</v>
      </c>
      <c r="BD95" s="12">
        <f>IF('Données projet'!$A$88&gt;35,BD94+BC95-BL94,IF(A95&lt;'Données projet'!$A$88,$BA$205^A95,IF(A95='Données projet'!$A$88,'Données projet'!$B$88,BD94+BC95-BL94)))</f>
        <v>314.39999999999992</v>
      </c>
      <c r="BE95" s="13">
        <f>BD95*VLOOKUP('Données projet'!$B$11,Paramètres!$A$1:$I$89,3,0)*VLOOKUP('Données projet'!$B$11,Paramètres!$A$1:$I$89,5,0)</f>
        <v>284.46911999999992</v>
      </c>
      <c r="BF95" s="13">
        <f t="shared" si="91"/>
        <v>67.91059023737904</v>
      </c>
      <c r="BG95" s="20">
        <f t="shared" si="61"/>
        <v>613.72799533010163</v>
      </c>
      <c r="BH95" s="59">
        <f t="shared" si="62"/>
        <v>907.06132866343501</v>
      </c>
      <c r="BI95" s="59">
        <f ca="1">AVERAGE(OFFSET($BH$3,0,0,'Données projet'!$E$11+1,1))-AVERAGE(OFFSET($H$3,0,0,'Données projet'!$E$11+1,1))</f>
        <v>405.7176439604217</v>
      </c>
      <c r="BJ95" s="59">
        <f t="shared" si="92"/>
        <v>278.21741231699929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2.1407789265677928</v>
      </c>
      <c r="BQ95" s="21">
        <f>EXP(-LN(2)/25)*BQ94+(1-EXP(-LN(2)/25))/(LN(2)/25)*Calculateur!BL95*Calculateur!BN95*VLOOKUP('Données projet'!$B$11,Paramètres!$A$1:$I$89,3,0)*0.475*44/12</f>
        <v>1.6785819418726942</v>
      </c>
      <c r="BR95" s="21">
        <f>EXP(-LN(2)/2)*BR94+(1-EXP(-LN(2)/2))/(LN(2)/2)*BL95*BO95*VLOOKUP('Données projet'!$B$11,Paramètres!$A$1:$I$89,3,0)*0.475*44/12</f>
        <v>3.9743411305070415E-9</v>
      </c>
      <c r="BS95" s="22">
        <f t="shared" si="63"/>
        <v>3.8193608724148285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-1.7053025658242404E-13</v>
      </c>
      <c r="CU95" s="17">
        <f>CT95*VLOOKUP('Données projet'!$B$13,Paramètres!$A$1:$I$89,3,0)*VLOOKUP('Données projet'!$B$13,Paramètres!$A$1:$I$89,5,0)</f>
        <v>-1.3567387213697657E-13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299.10536994156814</v>
      </c>
      <c r="CZ95" s="59">
        <f t="shared" si="96"/>
        <v>292.57799203101769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2.466748965564872</v>
      </c>
      <c r="DG95" s="21">
        <f>EXP(-LN(2)/25)*DG94+(1-EXP(-LN(2)/25))/(LN(2)/25)*Calculateur!DB95*Calculateur!DD95*VLOOKUP('Données projet'!$B$13,Paramètres!$A$1:$I$89,3,0)*0.475*44/12</f>
        <v>1.9381253862988537</v>
      </c>
      <c r="DH95" s="21">
        <f>EXP(-LN(2)/2)*DH94+(1-EXP(-LN(2)/2))/(LN(2)/2)*DB95*DE95*VLOOKUP('Données projet'!$B$13,Paramètres!$A$1:$I$89,3,0)*0.475*44/12</f>
        <v>4.1782150840503375E-9</v>
      </c>
      <c r="DI95" s="22">
        <f t="shared" si="69"/>
        <v>4.4048743560419403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2.2737367544323206E-13</v>
      </c>
      <c r="DP95" s="17">
        <f>DO95*VLOOKUP('Données projet'!$B$14,Paramètres!$A$1:$I$89,3,0)*VLOOKUP('Données projet'!$B$14,Paramètres!$A$1:$I$89,5,0)</f>
        <v>1.4897523215040565E-13</v>
      </c>
      <c r="DQ95" s="13">
        <f t="shared" si="97"/>
        <v>2.136562777003313E-12</v>
      </c>
      <c r="DR95" s="20">
        <f t="shared" si="70"/>
        <v>3.9806453659427267E-12</v>
      </c>
      <c r="DS95" s="59">
        <f t="shared" si="71"/>
        <v>293.33333333333729</v>
      </c>
      <c r="DT95" s="59">
        <f ca="1">AVERAGE(OFFSET($DS$3,0,0,'Données projet'!$E$14+1,1))-AVERAGE(OFFSET($H$3,0,0,'Données projet'!$E$14+1,1))</f>
        <v>295.92103934364718</v>
      </c>
      <c r="DU95" s="59">
        <f t="shared" si="98"/>
        <v>304.84379909635476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1.3065199459056707</v>
      </c>
      <c r="EB95" s="21">
        <f>EXP(-LN(2)/25)*EB94+(1-EXP(-LN(2)/25))/(LN(2)/25)*Calculateur!DW95*Calculateur!DY95*VLOOKUP('Données projet'!$B$14,Paramètres!$A$1:$I$89,3,0)*0.475*44/12</f>
        <v>1.2819830891740769</v>
      </c>
      <c r="EC95" s="21">
        <f>EXP(-LN(2)/2)*EC94+(1-EXP(-LN(2)/2))/(LN(2)/2)*DW95*DZ95*VLOOKUP('Données projet'!$B$14,Paramètres!$A$1:$I$89,3,0)*0.475*44/12</f>
        <v>2.6797477628445322E-9</v>
      </c>
      <c r="ED95" s="22">
        <f t="shared" si="72"/>
        <v>2.5885030377594953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207.2913533618397</v>
      </c>
      <c r="EP95" s="59">
        <f t="shared" si="100"/>
        <v>230.81096055024483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2.0277194880486018</v>
      </c>
      <c r="EW95" s="21">
        <f>EXP(-LN(2)/25)*EW94+(1-EXP(-LN(2)/25))/(LN(2)/25)*Calculateur!ER95*Calculateur!ET95*VLOOKUP('Données projet'!$B$15,Paramètres!$A$1:$I$89,3,0)*0.475*44/12</f>
        <v>1.0810537897906654</v>
      </c>
      <c r="EX95" s="21">
        <f>EXP(-LN(2)/2)*EX94+(1-EXP(-LN(2)/2))/(LN(2)/2)*ER95*EU95*VLOOKUP('Données projet'!$B$15,Paramètres!$A$1:$I$89,3,0)*0.475*44/12</f>
        <v>1.3734715030377737E-9</v>
      </c>
      <c r="EY95" s="22">
        <f t="shared" si="75"/>
        <v>3.1087732792127389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18.5</v>
      </c>
      <c r="N96" s="13">
        <f>IF('Données projet'!$A$36&gt;35,N95+M96-V95,IF(A96&lt;'Données projet'!$A$36,$K$205^A96,IF(A96='Données projet'!$A$36,'Données projet'!$B$36,N95+M96-V95)))</f>
        <v>545.99999999999989</v>
      </c>
      <c r="O96" s="13">
        <f>N96*VLOOKUP('Données projet'!$B$9,Paramètres!$A$1:$I$89,3,0)*VLOOKUP('Données projet'!$B$9,Paramètres!$A$1:$I$89,5,0)</f>
        <v>255.52799999999993</v>
      </c>
      <c r="P96" s="13">
        <f t="shared" si="87"/>
        <v>61.768167868721477</v>
      </c>
      <c r="Q96" s="20">
        <f t="shared" si="54"/>
        <v>552.62415903802309</v>
      </c>
      <c r="R96" s="59">
        <f t="shared" si="55"/>
        <v>845.95749237135647</v>
      </c>
      <c r="S96" s="59">
        <f ca="1">AVERAGE(OFFSET($R$3,0,0,'Données projet'!$E$9+1,1))-AVERAGE(OFFSET($H$3,0,0,'Données projet'!$E$9+1,1))</f>
        <v>319.22903094674564</v>
      </c>
      <c r="T96" s="59">
        <f t="shared" si="88"/>
        <v>254.58690973142848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2.6064445644126955</v>
      </c>
      <c r="AA96" s="21">
        <f>EXP(-LN(2)/25)*AA95+(1-EXP(-LN(2)/25))/(LN(2)/25)*Calculateur!V96*Calculateur!X96*VLOOKUP('Données projet'!$B$9,Paramètres!$A$1:$I$89,3,0)*0.475*44/12</f>
        <v>1.9441541554591901</v>
      </c>
      <c r="AB96" s="21">
        <f>EXP(-LN(2)/2)*AB95+(1-EXP(-LN(2)/2))/(LN(2)/2)*V96*Y96*VLOOKUP('Données projet'!$B$9,Paramètres!$A$1:$I$89,3,0)*0.475*44/12</f>
        <v>3.6361958595941927E-9</v>
      </c>
      <c r="AC96" s="22">
        <f t="shared" si="57"/>
        <v>4.5505987235080818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-3.4106051316484809E-13</v>
      </c>
      <c r="AJ96" s="13">
        <f>AI96*VLOOKUP('Données projet'!$B$10,Paramètres!$A$1:$I$89,3,0)*VLOOKUP('Données projet'!$B$10,Paramètres!$A$1:$I$89,5,0)</f>
        <v>-1.9065282685915009E-13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544.48194192356823</v>
      </c>
      <c r="AO96" s="59">
        <f t="shared" si="90"/>
        <v>668.20427590250733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2.1082463966974445</v>
      </c>
      <c r="AV96" s="21">
        <f>EXP(-LN(2)/25)*AV95+(1-EXP(-LN(2)/25))/(LN(2)/25)*Calculateur!AQ96*Calculateur!AS96*VLOOKUP('Données projet'!$B$10,Paramètres!$A$1:$I$89,3,0)*0.475*44/12</f>
        <v>7.4291411192081416</v>
      </c>
      <c r="AW96" s="21">
        <f>EXP(-LN(2)/2)*AW95+(1-EXP(-LN(2)/2))/(LN(2)/2)*AQ96*AT96*VLOOKUP('Données projet'!$B$10,Paramètres!$A$1:$I$89,3,0)*0.475*44/12</f>
        <v>4.7474334511473883E-9</v>
      </c>
      <c r="AX96" s="21">
        <f t="shared" si="60"/>
        <v>9.5373875206530183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6.2</v>
      </c>
      <c r="BD96" s="12">
        <f>IF('Données projet'!$A$88&gt;35,BD95+BC96-BL95,IF(A96&lt;'Données projet'!$A$88,$BA$205^A96,IF(A96='Données projet'!$A$88,'Données projet'!$B$88,BD95+BC96-BL95)))</f>
        <v>320.59999999999991</v>
      </c>
      <c r="BE96" s="13">
        <f>BD96*VLOOKUP('Données projet'!$B$11,Paramètres!$A$1:$I$89,3,0)*VLOOKUP('Données projet'!$B$11,Paramètres!$A$1:$I$89,5,0)</f>
        <v>290.07887999999991</v>
      </c>
      <c r="BF96" s="13">
        <f t="shared" si="91"/>
        <v>69.092562427360406</v>
      </c>
      <c r="BG96" s="20">
        <f t="shared" si="61"/>
        <v>625.55692889431919</v>
      </c>
      <c r="BH96" s="59">
        <f t="shared" si="62"/>
        <v>918.89026222765256</v>
      </c>
      <c r="BI96" s="59">
        <f ca="1">AVERAGE(OFFSET($BH$3,0,0,'Données projet'!$E$11+1,1))-AVERAGE(OFFSET($H$3,0,0,'Données projet'!$E$11+1,1))</f>
        <v>405.7176439604217</v>
      </c>
      <c r="BJ96" s="59">
        <f t="shared" si="92"/>
        <v>278.21741231699929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2.0987995575640119</v>
      </c>
      <c r="BQ96" s="21">
        <f>EXP(-LN(2)/25)*BQ95+(1-EXP(-LN(2)/25))/(LN(2)/25)*Calculateur!BL96*Calculateur!BN96*VLOOKUP('Données projet'!$B$11,Paramètres!$A$1:$I$89,3,0)*0.475*44/12</f>
        <v>1.6326810303993975</v>
      </c>
      <c r="BR96" s="21">
        <f>EXP(-LN(2)/2)*BR95+(1-EXP(-LN(2)/2))/(LN(2)/2)*BL96*BO96*VLOOKUP('Données projet'!$B$11,Paramètres!$A$1:$I$89,3,0)*0.475*44/12</f>
        <v>2.8102835641301385E-9</v>
      </c>
      <c r="BS96" s="22">
        <f t="shared" si="63"/>
        <v>3.731480590773693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-1.7053025658242404E-13</v>
      </c>
      <c r="CU96" s="17">
        <f>CT96*VLOOKUP('Données projet'!$B$13,Paramètres!$A$1:$I$89,3,0)*VLOOKUP('Données projet'!$B$13,Paramètres!$A$1:$I$89,5,0)</f>
        <v>-1.3567387213697657E-13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299.10536994156814</v>
      </c>
      <c r="CZ96" s="59">
        <f t="shared" si="96"/>
        <v>292.57799203101769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2.4183775229184499</v>
      </c>
      <c r="DG96" s="21">
        <f>EXP(-LN(2)/25)*DG95+(1-EXP(-LN(2)/25))/(LN(2)/25)*Calculateur!DB96*Calculateur!DD96*VLOOKUP('Données projet'!$B$13,Paramètres!$A$1:$I$89,3,0)*0.475*44/12</f>
        <v>1.8851272456889272</v>
      </c>
      <c r="DH96" s="21">
        <f>EXP(-LN(2)/2)*DH95+(1-EXP(-LN(2)/2))/(LN(2)/2)*DB96*DE96*VLOOKUP('Données projet'!$B$13,Paramètres!$A$1:$I$89,3,0)*0.475*44/12</f>
        <v>2.9544442191879144E-9</v>
      </c>
      <c r="DI96" s="22">
        <f t="shared" si="69"/>
        <v>4.3035047715618209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2.2737367544323206E-13</v>
      </c>
      <c r="DP96" s="17">
        <f>DO96*VLOOKUP('Données projet'!$B$14,Paramètres!$A$1:$I$89,3,0)*VLOOKUP('Données projet'!$B$14,Paramètres!$A$1:$I$89,5,0)</f>
        <v>1.4897523215040565E-13</v>
      </c>
      <c r="DQ96" s="13">
        <f t="shared" si="97"/>
        <v>2.136562777003313E-12</v>
      </c>
      <c r="DR96" s="20">
        <f t="shared" si="70"/>
        <v>3.9806453659427267E-12</v>
      </c>
      <c r="DS96" s="59">
        <f t="shared" si="71"/>
        <v>293.33333333333729</v>
      </c>
      <c r="DT96" s="59">
        <f ca="1">AVERAGE(OFFSET($DS$3,0,0,'Données projet'!$E$14+1,1))-AVERAGE(OFFSET($H$3,0,0,'Données projet'!$E$14+1,1))</f>
        <v>295.92103934364718</v>
      </c>
      <c r="DU96" s="59">
        <f t="shared" si="98"/>
        <v>304.84379909635476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1.2808998866649404</v>
      </c>
      <c r="EB96" s="21">
        <f>EXP(-LN(2)/25)*EB95+(1-EXP(-LN(2)/25))/(LN(2)/25)*Calculateur!DW96*Calculateur!DY96*VLOOKUP('Données projet'!$B$14,Paramètres!$A$1:$I$89,3,0)*0.475*44/12</f>
        <v>1.2469271941840512</v>
      </c>
      <c r="EC96" s="21">
        <f>EXP(-LN(2)/2)*EC95+(1-EXP(-LN(2)/2))/(LN(2)/2)*DW96*DZ96*VLOOKUP('Données projet'!$B$14,Paramètres!$A$1:$I$89,3,0)*0.475*44/12</f>
        <v>1.8948678149768488E-9</v>
      </c>
      <c r="ED96" s="22">
        <f t="shared" si="72"/>
        <v>2.5278270827438596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207.2913533618397</v>
      </c>
      <c r="EP96" s="59">
        <f t="shared" si="100"/>
        <v>230.81096055024483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1.9879571456747338</v>
      </c>
      <c r="EW96" s="21">
        <f>EXP(-LN(2)/25)*EW95+(1-EXP(-LN(2)/25))/(LN(2)/25)*Calculateur!ER96*Calculateur!ET96*VLOOKUP('Données projet'!$B$15,Paramètres!$A$1:$I$89,3,0)*0.475*44/12</f>
        <v>1.0514923170586916</v>
      </c>
      <c r="EX96" s="21">
        <f>EXP(-LN(2)/2)*EX95+(1-EXP(-LN(2)/2))/(LN(2)/2)*ER96*EU96*VLOOKUP('Données projet'!$B$15,Paramètres!$A$1:$I$89,3,0)*0.475*44/12</f>
        <v>9.7119101356448958E-10</v>
      </c>
      <c r="EY96" s="22">
        <f t="shared" si="75"/>
        <v>3.0394494637046163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18.5</v>
      </c>
      <c r="N97" s="13">
        <f>IF('Données projet'!$A$36&gt;35,N96+M97-V96,IF(A97&lt;'Données projet'!$A$36,$K$205^A97,IF(A97='Données projet'!$A$36,'Données projet'!$B$36,N96+M97-V96)))</f>
        <v>564.49999999999989</v>
      </c>
      <c r="O97" s="13">
        <f>N97*VLOOKUP('Données projet'!$B$9,Paramètres!$A$1:$I$89,3,0)*VLOOKUP('Données projet'!$B$9,Paramètres!$A$1:$I$89,5,0)</f>
        <v>264.18599999999992</v>
      </c>
      <c r="P97" s="13">
        <f t="shared" si="87"/>
        <v>63.613832873262751</v>
      </c>
      <c r="Q97" s="20">
        <f t="shared" si="54"/>
        <v>570.91804225426574</v>
      </c>
      <c r="R97" s="59">
        <f t="shared" si="55"/>
        <v>864.25137558759911</v>
      </c>
      <c r="S97" s="59">
        <f ca="1">AVERAGE(OFFSET($R$3,0,0,'Données projet'!$E$9+1,1))-AVERAGE(OFFSET($H$3,0,0,'Données projet'!$E$9+1,1))</f>
        <v>319.22903094674564</v>
      </c>
      <c r="T97" s="59">
        <f t="shared" si="88"/>
        <v>254.58690973142848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2.5553337762787698</v>
      </c>
      <c r="AA97" s="21">
        <f>EXP(-LN(2)/25)*AA96+(1-EXP(-LN(2)/25))/(LN(2)/25)*Calculateur!V97*Calculateur!X97*VLOOKUP('Données projet'!$B$9,Paramètres!$A$1:$I$89,3,0)*0.475*44/12</f>
        <v>1.8909911578395349</v>
      </c>
      <c r="AB97" s="21">
        <f>EXP(-LN(2)/2)*AB96+(1-EXP(-LN(2)/2))/(LN(2)/2)*V97*Y97*VLOOKUP('Données projet'!$B$9,Paramètres!$A$1:$I$89,3,0)*0.475*44/12</f>
        <v>2.5711787500415011E-9</v>
      </c>
      <c r="AC97" s="22">
        <f t="shared" si="57"/>
        <v>4.4463249366894839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-3.4106051316484809E-13</v>
      </c>
      <c r="AJ97" s="13">
        <f>AI97*VLOOKUP('Données projet'!$B$10,Paramètres!$A$1:$I$89,3,0)*VLOOKUP('Données projet'!$B$10,Paramètres!$A$1:$I$89,5,0)</f>
        <v>-1.9065282685915009E-13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544.48194192356823</v>
      </c>
      <c r="AO97" s="59">
        <f t="shared" si="90"/>
        <v>668.20427590250733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2.066904970761537</v>
      </c>
      <c r="AV97" s="21">
        <f>EXP(-LN(2)/25)*AV96+(1-EXP(-LN(2)/25))/(LN(2)/25)*Calculateur!AQ97*Calculateur!AS97*VLOOKUP('Données projet'!$B$10,Paramètres!$A$1:$I$89,3,0)*0.475*44/12</f>
        <v>7.2259908646218429</v>
      </c>
      <c r="AW97" s="21">
        <f>EXP(-LN(2)/2)*AW96+(1-EXP(-LN(2)/2))/(LN(2)/2)*AQ97*AT97*VLOOKUP('Données projet'!$B$10,Paramètres!$A$1:$I$89,3,0)*0.475*44/12</f>
        <v>3.3569423865381725E-9</v>
      </c>
      <c r="AX97" s="21">
        <f t="shared" si="60"/>
        <v>9.2928958387403231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6.2</v>
      </c>
      <c r="BD97" s="12">
        <f>IF('Données projet'!$A$88&gt;35,BD96+BC97-BL96,IF(A97&lt;'Données projet'!$A$88,$BA$205^A97,IF(A97='Données projet'!$A$88,'Données projet'!$B$88,BD96+BC97-BL96)))</f>
        <v>326.7999999999999</v>
      </c>
      <c r="BE97" s="13">
        <f>BD97*VLOOKUP('Données projet'!$B$11,Paramètres!$A$1:$I$89,3,0)*VLOOKUP('Données projet'!$B$11,Paramètres!$A$1:$I$89,5,0)</f>
        <v>295.68863999999991</v>
      </c>
      <c r="BF97" s="13">
        <f t="shared" si="91"/>
        <v>70.271876780519747</v>
      </c>
      <c r="BG97" s="20">
        <f t="shared" si="61"/>
        <v>637.3812333927383</v>
      </c>
      <c r="BH97" s="59">
        <f t="shared" si="62"/>
        <v>930.71456672607155</v>
      </c>
      <c r="BI97" s="59">
        <f ca="1">AVERAGE(OFFSET($BH$3,0,0,'Données projet'!$E$11+1,1))-AVERAGE(OFFSET($H$3,0,0,'Données projet'!$E$11+1,1))</f>
        <v>405.7176439604217</v>
      </c>
      <c r="BJ97" s="59">
        <f t="shared" si="92"/>
        <v>278.21741231699929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2.0576433783815085</v>
      </c>
      <c r="BQ97" s="21">
        <f>EXP(-LN(2)/25)*BQ96+(1-EXP(-LN(2)/25))/(LN(2)/25)*Calculateur!BL97*Calculateur!BN97*VLOOKUP('Données projet'!$B$11,Paramètres!$A$1:$I$89,3,0)*0.475*44/12</f>
        <v>1.5880352817641621</v>
      </c>
      <c r="BR97" s="21">
        <f>EXP(-LN(2)/2)*BR96+(1-EXP(-LN(2)/2))/(LN(2)/2)*BL97*BO97*VLOOKUP('Données projet'!$B$11,Paramètres!$A$1:$I$89,3,0)*0.475*44/12</f>
        <v>1.9871705652535207E-9</v>
      </c>
      <c r="BS97" s="22">
        <f t="shared" si="63"/>
        <v>3.6456786621328412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-1.7053025658242404E-13</v>
      </c>
      <c r="CU97" s="17">
        <f>CT97*VLOOKUP('Données projet'!$B$13,Paramètres!$A$1:$I$89,3,0)*VLOOKUP('Données projet'!$B$13,Paramètres!$A$1:$I$89,5,0)</f>
        <v>-1.3567387213697657E-13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299.10536994156814</v>
      </c>
      <c r="CZ97" s="59">
        <f t="shared" si="96"/>
        <v>292.57799203101769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2.3709546147586575</v>
      </c>
      <c r="DG97" s="21">
        <f>EXP(-LN(2)/25)*DG96+(1-EXP(-LN(2)/25))/(LN(2)/25)*Calculateur!DB97*Calculateur!DD97*VLOOKUP('Données projet'!$B$13,Paramètres!$A$1:$I$89,3,0)*0.475*44/12</f>
        <v>1.8335783420210301</v>
      </c>
      <c r="DH97" s="21">
        <f>EXP(-LN(2)/2)*DH96+(1-EXP(-LN(2)/2))/(LN(2)/2)*DB97*DE97*VLOOKUP('Données projet'!$B$13,Paramètres!$A$1:$I$89,3,0)*0.475*44/12</f>
        <v>2.0891075420251688E-9</v>
      </c>
      <c r="DI97" s="22">
        <f t="shared" si="69"/>
        <v>4.2045329588687954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2.2737367544323206E-13</v>
      </c>
      <c r="DP97" s="17">
        <f>DO97*VLOOKUP('Données projet'!$B$14,Paramètres!$A$1:$I$89,3,0)*VLOOKUP('Données projet'!$B$14,Paramètres!$A$1:$I$89,5,0)</f>
        <v>1.4897523215040565E-13</v>
      </c>
      <c r="DQ97" s="13">
        <f t="shared" si="97"/>
        <v>2.136562777003313E-12</v>
      </c>
      <c r="DR97" s="20">
        <f t="shared" si="70"/>
        <v>3.9806453659427267E-12</v>
      </c>
      <c r="DS97" s="59">
        <f t="shared" si="71"/>
        <v>293.33333333333729</v>
      </c>
      <c r="DT97" s="59">
        <f ca="1">AVERAGE(OFFSET($DS$3,0,0,'Données projet'!$E$14+1,1))-AVERAGE(OFFSET($H$3,0,0,'Données projet'!$E$14+1,1))</f>
        <v>295.92103934364718</v>
      </c>
      <c r="DU97" s="59">
        <f t="shared" si="98"/>
        <v>304.84379909635476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1.2557822211592276</v>
      </c>
      <c r="EB97" s="21">
        <f>EXP(-LN(2)/25)*EB96+(1-EXP(-LN(2)/25))/(LN(2)/25)*Calculateur!DW97*Calculateur!DY97*VLOOKUP('Données projet'!$B$14,Paramètres!$A$1:$I$89,3,0)*0.475*44/12</f>
        <v>1.2128299044860371</v>
      </c>
      <c r="EC97" s="21">
        <f>EXP(-LN(2)/2)*EC96+(1-EXP(-LN(2)/2))/(LN(2)/2)*DW97*DZ97*VLOOKUP('Données projet'!$B$14,Paramètres!$A$1:$I$89,3,0)*0.475*44/12</f>
        <v>1.3398738814222661E-9</v>
      </c>
      <c r="ED97" s="22">
        <f t="shared" si="72"/>
        <v>2.4686121269851387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207.2913533618397</v>
      </c>
      <c r="EP97" s="59">
        <f t="shared" si="100"/>
        <v>230.81096055024483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1.9489745185821834</v>
      </c>
      <c r="EW97" s="21">
        <f>EXP(-LN(2)/25)*EW96+(1-EXP(-LN(2)/25))/(LN(2)/25)*Calculateur!ER97*Calculateur!ET97*VLOOKUP('Données projet'!$B$15,Paramètres!$A$1:$I$89,3,0)*0.475*44/12</f>
        <v>1.022739204353144</v>
      </c>
      <c r="EX97" s="21">
        <f>EXP(-LN(2)/2)*EX96+(1-EXP(-LN(2)/2))/(LN(2)/2)*ER97*EU97*VLOOKUP('Données projet'!$B$15,Paramètres!$A$1:$I$89,3,0)*0.475*44/12</f>
        <v>6.8673575151888686E-10</v>
      </c>
      <c r="EY97" s="22">
        <f t="shared" si="75"/>
        <v>2.971713723622063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18.5</v>
      </c>
      <c r="N98" s="13">
        <f>IF('Données projet'!$A$36&gt;35,N97+M98-V97,IF(A98&lt;'Données projet'!$A$36,$K$205^A98,IF(A98='Données projet'!$A$36,'Données projet'!$B$36,N97+M98-V97)))</f>
        <v>582.99999999999989</v>
      </c>
      <c r="O98" s="13">
        <f>N98*VLOOKUP('Données projet'!$B$9,Paramètres!$A$1:$I$89,3,0)*VLOOKUP('Données projet'!$B$9,Paramètres!$A$1:$I$89,5,0)</f>
        <v>272.84399999999994</v>
      </c>
      <c r="P98" s="13">
        <f t="shared" si="87"/>
        <v>65.452469296244189</v>
      </c>
      <c r="Q98" s="20">
        <f t="shared" si="54"/>
        <v>589.19968402429186</v>
      </c>
      <c r="R98" s="59">
        <f t="shared" si="55"/>
        <v>882.53301735762511</v>
      </c>
      <c r="S98" s="59">
        <f ca="1">AVERAGE(OFFSET($R$3,0,0,'Données projet'!$E$9+1,1))-AVERAGE(OFFSET($H$3,0,0,'Données projet'!$E$9+1,1))</f>
        <v>319.22903094674564</v>
      </c>
      <c r="T98" s="59">
        <f t="shared" si="88"/>
        <v>254.58690973142848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2.5052252395256476</v>
      </c>
      <c r="AA98" s="21">
        <f>EXP(-LN(2)/25)*AA97+(1-EXP(-LN(2)/25))/(LN(2)/25)*Calculateur!V98*Calculateur!X98*VLOOKUP('Données projet'!$B$9,Paramètres!$A$1:$I$89,3,0)*0.475*44/12</f>
        <v>1.8392819051855096</v>
      </c>
      <c r="AB98" s="21">
        <f>EXP(-LN(2)/2)*AB97+(1-EXP(-LN(2)/2))/(LN(2)/2)*V98*Y98*VLOOKUP('Données projet'!$B$9,Paramètres!$A$1:$I$89,3,0)*0.475*44/12</f>
        <v>1.8180979297970966E-9</v>
      </c>
      <c r="AC98" s="22">
        <f t="shared" si="57"/>
        <v>4.3445071465292546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-3.4106051316484809E-13</v>
      </c>
      <c r="AJ98" s="13">
        <f>AI98*VLOOKUP('Données projet'!$B$10,Paramètres!$A$1:$I$89,3,0)*VLOOKUP('Données projet'!$B$10,Paramètres!$A$1:$I$89,5,0)</f>
        <v>-1.9065282685915009E-13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544.48194192356823</v>
      </c>
      <c r="AO98" s="59">
        <f t="shared" si="90"/>
        <v>668.20427590250733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2.0263742249724528</v>
      </c>
      <c r="AV98" s="21">
        <f>EXP(-LN(2)/25)*AV97+(1-EXP(-LN(2)/25))/(LN(2)/25)*Calculateur!AQ98*Calculateur!AS98*VLOOKUP('Données projet'!$B$10,Paramètres!$A$1:$I$89,3,0)*0.475*44/12</f>
        <v>7.0283957644304147</v>
      </c>
      <c r="AW98" s="21">
        <f>EXP(-LN(2)/2)*AW97+(1-EXP(-LN(2)/2))/(LN(2)/2)*AQ98*AT98*VLOOKUP('Données projet'!$B$10,Paramètres!$A$1:$I$89,3,0)*0.475*44/12</f>
        <v>2.3737167255736942E-9</v>
      </c>
      <c r="AX98" s="21">
        <f t="shared" si="60"/>
        <v>9.0547699917765847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333</v>
      </c>
      <c r="BB98" s="12">
        <f>VLOOKUP(A98,'Données projet'!$A$87:$I$107,9,0)</f>
        <v>6.2</v>
      </c>
      <c r="BC98" s="12">
        <f t="array" ref="BC98">INDEX(BB:BB,MIN(IF(ISNUMBER(BB98:BB294),ROW(BB98:BB294),"")))</f>
        <v>6.2</v>
      </c>
      <c r="BD98" s="12">
        <f>IF('Données projet'!$A$88&gt;35,BD97+BC98-BL97,IF(A98&lt;'Données projet'!$A$88,$BA$205^A98,IF(A98='Données projet'!$A$88,'Données projet'!$B$88,BD97+BC98-BL97)))</f>
        <v>332.99999999999989</v>
      </c>
      <c r="BE98" s="13">
        <f>BD98*VLOOKUP('Données projet'!$B$11,Paramètres!$A$1:$I$89,3,0)*VLOOKUP('Données projet'!$B$11,Paramètres!$A$1:$I$89,5,0)</f>
        <v>301.2983999999999</v>
      </c>
      <c r="BF98" s="13">
        <f t="shared" si="91"/>
        <v>71.448589534990518</v>
      </c>
      <c r="BG98" s="20">
        <f t="shared" si="61"/>
        <v>649.20100677344158</v>
      </c>
      <c r="BH98" s="59">
        <f t="shared" si="62"/>
        <v>942.53434010677483</v>
      </c>
      <c r="BI98" s="59">
        <f ca="1">AVERAGE(OFFSET($BH$3,0,0,'Données projet'!$E$11+1,1))-AVERAGE(OFFSET($H$3,0,0,'Données projet'!$E$11+1,1))</f>
        <v>405.7176439604217</v>
      </c>
      <c r="BJ98" s="59">
        <f t="shared" si="92"/>
        <v>278.21741231699929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28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2.0172942467699833</v>
      </c>
      <c r="BQ98" s="21">
        <f>EXP(-LN(2)/25)*BQ97+(1-EXP(-LN(2)/25))/(LN(2)/25)*Calculateur!BL98*Calculateur!BN98*VLOOKUP('Données projet'!$B$11,Paramètres!$A$1:$I$89,3,0)*0.475*44/12</f>
        <v>1.5446103734731751</v>
      </c>
      <c r="BR98" s="21">
        <f>EXP(-LN(2)/2)*BR97+(1-EXP(-LN(2)/2))/(LN(2)/2)*BL98*BO98*VLOOKUP('Données projet'!$B$11,Paramètres!$A$1:$I$89,3,0)*0.475*44/12</f>
        <v>1.4051417820650693E-9</v>
      </c>
      <c r="BS98" s="22">
        <f t="shared" si="63"/>
        <v>3.5619046216483001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-1.7053025658242404E-13</v>
      </c>
      <c r="CU98" s="17">
        <f>CT98*VLOOKUP('Données projet'!$B$13,Paramètres!$A$1:$I$89,3,0)*VLOOKUP('Données projet'!$B$13,Paramètres!$A$1:$I$89,5,0)</f>
        <v>-1.3567387213697657E-13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299.10536994156814</v>
      </c>
      <c r="CZ98" s="59">
        <f t="shared" si="96"/>
        <v>292.57799203101769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2.324461640902761</v>
      </c>
      <c r="DG98" s="21">
        <f>EXP(-LN(2)/25)*DG97+(1-EXP(-LN(2)/25))/(LN(2)/25)*Calculateur!DB98*Calculateur!DD98*VLOOKUP('Données projet'!$B$13,Paramètres!$A$1:$I$89,3,0)*0.475*44/12</f>
        <v>1.7834390458347706</v>
      </c>
      <c r="DH98" s="21">
        <f>EXP(-LN(2)/2)*DH97+(1-EXP(-LN(2)/2))/(LN(2)/2)*DB98*DE98*VLOOKUP('Données projet'!$B$13,Paramètres!$A$1:$I$89,3,0)*0.475*44/12</f>
        <v>1.4772221095939572E-9</v>
      </c>
      <c r="DI98" s="22">
        <f t="shared" si="69"/>
        <v>4.1079006882147535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2.2737367544323206E-13</v>
      </c>
      <c r="DP98" s="17">
        <f>DO98*VLOOKUP('Données projet'!$B$14,Paramètres!$A$1:$I$89,3,0)*VLOOKUP('Données projet'!$B$14,Paramètres!$A$1:$I$89,5,0)</f>
        <v>1.4897523215040565E-13</v>
      </c>
      <c r="DQ98" s="13">
        <f t="shared" si="97"/>
        <v>2.136562777003313E-12</v>
      </c>
      <c r="DR98" s="20">
        <f t="shared" si="70"/>
        <v>3.9806453659427267E-12</v>
      </c>
      <c r="DS98" s="59">
        <f t="shared" si="71"/>
        <v>293.33333333333729</v>
      </c>
      <c r="DT98" s="59">
        <f ca="1">AVERAGE(OFFSET($DS$3,0,0,'Données projet'!$E$14+1,1))-AVERAGE(OFFSET($H$3,0,0,'Données projet'!$E$14+1,1))</f>
        <v>295.92103934364718</v>
      </c>
      <c r="DU98" s="59">
        <f t="shared" si="98"/>
        <v>304.84379909635476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1.2311570977538187</v>
      </c>
      <c r="EB98" s="21">
        <f>EXP(-LN(2)/25)*EB97+(1-EXP(-LN(2)/25))/(LN(2)/25)*Calculateur!DW98*Calculateur!DY98*VLOOKUP('Données projet'!$B$14,Paramètres!$A$1:$I$89,3,0)*0.475*44/12</f>
        <v>1.1796650069679138</v>
      </c>
      <c r="EC98" s="21">
        <f>EXP(-LN(2)/2)*EC97+(1-EXP(-LN(2)/2))/(LN(2)/2)*DW98*DZ98*VLOOKUP('Données projet'!$B$14,Paramètres!$A$1:$I$89,3,0)*0.475*44/12</f>
        <v>9.4743390748842442E-10</v>
      </c>
      <c r="ED98" s="22">
        <f t="shared" si="72"/>
        <v>2.4108221056691659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207.2913533618397</v>
      </c>
      <c r="EP98" s="59">
        <f t="shared" si="100"/>
        <v>230.81096055024483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1.9107563170298631</v>
      </c>
      <c r="EW98" s="21">
        <f>EXP(-LN(2)/25)*EW97+(1-EXP(-LN(2)/25))/(LN(2)/25)*Calculateur!ER98*Calculateur!ET98*VLOOKUP('Données projet'!$B$15,Paramètres!$A$1:$I$89,3,0)*0.475*44/12</f>
        <v>0.99477234702659001</v>
      </c>
      <c r="EX98" s="21">
        <f>EXP(-LN(2)/2)*EX97+(1-EXP(-LN(2)/2))/(LN(2)/2)*ER98*EU98*VLOOKUP('Données projet'!$B$15,Paramètres!$A$1:$I$89,3,0)*0.475*44/12</f>
        <v>4.8559550678224479E-10</v>
      </c>
      <c r="EY98" s="22">
        <f t="shared" si="75"/>
        <v>2.9055286645420488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18.5</v>
      </c>
      <c r="N99" s="13">
        <f>IF('Données projet'!$A$36&gt;35,N98+M99-V98,IF(A99&lt;'Données projet'!$A$36,$K$205^A99,IF(A99='Données projet'!$A$36,'Données projet'!$B$36,N98+M99-V98)))</f>
        <v>601.49999999999989</v>
      </c>
      <c r="O99" s="13">
        <f>N99*VLOOKUP('Données projet'!$B$9,Paramètres!$A$1:$I$89,3,0)*VLOOKUP('Données projet'!$B$9,Paramètres!$A$1:$I$89,5,0)</f>
        <v>281.50199999999995</v>
      </c>
      <c r="P99" s="13">
        <f t="shared" si="87"/>
        <v>67.28432575810065</v>
      </c>
      <c r="Q99" s="20">
        <f t="shared" ref="Q99:Q130" si="107">(O99+P99)*0.475*44/12</f>
        <v>607.46951736202516</v>
      </c>
      <c r="R99" s="59">
        <f t="shared" si="55"/>
        <v>900.80285069535853</v>
      </c>
      <c r="S99" s="59">
        <f ca="1">AVERAGE(OFFSET($R$3,0,0,'Données projet'!$E$9+1,1))-AVERAGE(OFFSET($H$3,0,0,'Données projet'!$E$9+1,1))</f>
        <v>319.22903094674564</v>
      </c>
      <c r="T99" s="59">
        <f t="shared" si="88"/>
        <v>254.58690973142848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2.4560993006150649</v>
      </c>
      <c r="AA99" s="21">
        <f>EXP(-LN(2)/25)*AA98+(1-EXP(-LN(2)/25))/(LN(2)/25)*Calculateur!V99*Calculateur!X99*VLOOKUP('Données projet'!$B$9,Paramètres!$A$1:$I$89,3,0)*0.475*44/12</f>
        <v>1.7889866447645801</v>
      </c>
      <c r="AB99" s="21">
        <f>EXP(-LN(2)/2)*AB98+(1-EXP(-LN(2)/2))/(LN(2)/2)*V99*Y99*VLOOKUP('Données projet'!$B$9,Paramètres!$A$1:$I$89,3,0)*0.475*44/12</f>
        <v>1.2855893750207508E-9</v>
      </c>
      <c r="AC99" s="22">
        <f t="shared" si="57"/>
        <v>4.2450859466652346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-3.4106051316484809E-13</v>
      </c>
      <c r="AJ99" s="13">
        <f>AI99*VLOOKUP('Données projet'!$B$10,Paramètres!$A$1:$I$89,3,0)*VLOOKUP('Données projet'!$B$10,Paramètres!$A$1:$I$89,5,0)</f>
        <v>-1.9065282685915009E-13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544.48194192356823</v>
      </c>
      <c r="AO99" s="59">
        <f t="shared" si="90"/>
        <v>668.20427590250733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1.9866382623869787</v>
      </c>
      <c r="AV99" s="21">
        <f>EXP(-LN(2)/25)*AV98+(1-EXP(-LN(2)/25))/(LN(2)/25)*Calculateur!AQ99*Calculateur!AS99*VLOOKUP('Données projet'!$B$10,Paramètres!$A$1:$I$89,3,0)*0.475*44/12</f>
        <v>6.8362039126447955</v>
      </c>
      <c r="AW99" s="21">
        <f>EXP(-LN(2)/2)*AW98+(1-EXP(-LN(2)/2))/(LN(2)/2)*AQ99*AT99*VLOOKUP('Données projet'!$B$10,Paramètres!$A$1:$I$89,3,0)*0.475*44/12</f>
        <v>1.6784711932690863E-9</v>
      </c>
      <c r="AX99" s="21">
        <f t="shared" si="60"/>
        <v>8.8228421767102443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5.6</v>
      </c>
      <c r="BD99" s="12">
        <f>IF('Données projet'!$A$88&gt;35,BD98+BC99-BL98,IF(A99&lt;'Données projet'!$A$88,$BA$205^A99,IF(A99='Données projet'!$A$88,'Données projet'!$B$88,BD98+BC99-BL98)))</f>
        <v>310.59999999999991</v>
      </c>
      <c r="BE99" s="13">
        <f>BD99*VLOOKUP('Données projet'!$B$11,Paramètres!$A$1:$I$89,3,0)*VLOOKUP('Données projet'!$B$11,Paramètres!$A$1:$I$89,5,0)</f>
        <v>281.03087999999991</v>
      </c>
      <c r="BF99" s="13">
        <f t="shared" si="91"/>
        <v>67.184816842275467</v>
      </c>
      <c r="BG99" s="20">
        <f t="shared" si="61"/>
        <v>606.4756720002963</v>
      </c>
      <c r="BH99" s="59">
        <f t="shared" si="62"/>
        <v>899.80900533362956</v>
      </c>
      <c r="BI99" s="59">
        <f ca="1">AVERAGE(OFFSET($BH$3,0,0,'Données projet'!$E$11+1,1))-AVERAGE(OFFSET($H$3,0,0,'Données projet'!$E$11+1,1))</f>
        <v>405.7176439604217</v>
      </c>
      <c r="BJ99" s="59">
        <f t="shared" si="92"/>
        <v>278.21741231699929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1.9777363370188197</v>
      </c>
      <c r="BQ99" s="21">
        <f>EXP(-LN(2)/25)*BQ98+(1-EXP(-LN(2)/25))/(LN(2)/25)*Calculateur!BL99*Calculateur!BN99*VLOOKUP('Données projet'!$B$11,Paramètres!$A$1:$I$89,3,0)*0.475*44/12</f>
        <v>1.5023729215830219</v>
      </c>
      <c r="BR99" s="21">
        <f>EXP(-LN(2)/2)*BR98+(1-EXP(-LN(2)/2))/(LN(2)/2)*BL99*BO99*VLOOKUP('Données projet'!$B$11,Paramètres!$A$1:$I$89,3,0)*0.475*44/12</f>
        <v>9.9358528262676037E-10</v>
      </c>
      <c r="BS99" s="22">
        <f t="shared" si="63"/>
        <v>3.4801092595954271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-1.7053025658242404E-13</v>
      </c>
      <c r="CU99" s="17">
        <f>CT99*VLOOKUP('Données projet'!$B$13,Paramètres!$A$1:$I$89,3,0)*VLOOKUP('Données projet'!$B$13,Paramètres!$A$1:$I$89,5,0)</f>
        <v>-1.3567387213697657E-13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299.10536994156814</v>
      </c>
      <c r="CZ99" s="59">
        <f t="shared" si="96"/>
        <v>292.57799203101769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2.2788803659062644</v>
      </c>
      <c r="DG99" s="21">
        <f>EXP(-LN(2)/25)*DG98+(1-EXP(-LN(2)/25))/(LN(2)/25)*Calculateur!DB99*Calculateur!DD99*VLOOKUP('Données projet'!$B$13,Paramètres!$A$1:$I$89,3,0)*0.475*44/12</f>
        <v>1.7346708113394356</v>
      </c>
      <c r="DH99" s="21">
        <f>EXP(-LN(2)/2)*DH98+(1-EXP(-LN(2)/2))/(LN(2)/2)*DB99*DE99*VLOOKUP('Données projet'!$B$13,Paramètres!$A$1:$I$89,3,0)*0.475*44/12</f>
        <v>1.0445537710125844E-9</v>
      </c>
      <c r="DI99" s="22">
        <f t="shared" si="69"/>
        <v>4.0135511782902542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2.2737367544323206E-13</v>
      </c>
      <c r="DP99" s="17">
        <f>DO99*VLOOKUP('Données projet'!$B$14,Paramètres!$A$1:$I$89,3,0)*VLOOKUP('Données projet'!$B$14,Paramètres!$A$1:$I$89,5,0)</f>
        <v>1.4897523215040565E-13</v>
      </c>
      <c r="DQ99" s="13">
        <f t="shared" si="97"/>
        <v>2.136562777003313E-12</v>
      </c>
      <c r="DR99" s="20">
        <f t="shared" si="70"/>
        <v>3.9806453659427267E-12</v>
      </c>
      <c r="DS99" s="59">
        <f t="shared" si="71"/>
        <v>293.33333333333729</v>
      </c>
      <c r="DT99" s="59">
        <f ca="1">AVERAGE(OFFSET($DS$3,0,0,'Données projet'!$E$14+1,1))-AVERAGE(OFFSET($H$3,0,0,'Données projet'!$E$14+1,1))</f>
        <v>295.92103934364718</v>
      </c>
      <c r="DU99" s="59">
        <f t="shared" si="98"/>
        <v>304.84379909635476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1.2070148579985476</v>
      </c>
      <c r="EB99" s="21">
        <f>EXP(-LN(2)/25)*EB98+(1-EXP(-LN(2)/25))/(LN(2)/25)*Calculateur!DW99*Calculateur!DY99*VLOOKUP('Données projet'!$B$14,Paramètres!$A$1:$I$89,3,0)*0.475*44/12</f>
        <v>1.1474070053164895</v>
      </c>
      <c r="EC99" s="21">
        <f>EXP(-LN(2)/2)*EC98+(1-EXP(-LN(2)/2))/(LN(2)/2)*DW99*DZ99*VLOOKUP('Données projet'!$B$14,Paramètres!$A$1:$I$89,3,0)*0.475*44/12</f>
        <v>6.6993694071113305E-10</v>
      </c>
      <c r="ED99" s="22">
        <f t="shared" si="72"/>
        <v>2.3544218639849741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207.2913533618397</v>
      </c>
      <c r="EP99" s="59">
        <f t="shared" si="100"/>
        <v>230.81096055024483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1.8732875510991827</v>
      </c>
      <c r="EW99" s="21">
        <f>EXP(-LN(2)/25)*EW98+(1-EXP(-LN(2)/25))/(LN(2)/25)*Calculateur!ER99*Calculateur!ET99*VLOOKUP('Données projet'!$B$15,Paramètres!$A$1:$I$89,3,0)*0.475*44/12</f>
        <v>0.96757024488434373</v>
      </c>
      <c r="EX99" s="21">
        <f>EXP(-LN(2)/2)*EX98+(1-EXP(-LN(2)/2))/(LN(2)/2)*ER99*EU99*VLOOKUP('Données projet'!$B$15,Paramètres!$A$1:$I$89,3,0)*0.475*44/12</f>
        <v>3.4336787575944343E-10</v>
      </c>
      <c r="EY99" s="22">
        <f t="shared" si="75"/>
        <v>2.8408577963268944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18.5</v>
      </c>
      <c r="N100" s="13">
        <f>IF('Données projet'!$A$36&gt;35,N99+M100-V99,IF(A100&lt;'Données projet'!$A$36,$K$205^A100,IF(A100='Données projet'!$A$36,'Données projet'!$B$36,N99+M100-V99)))</f>
        <v>619.99999999999989</v>
      </c>
      <c r="O100" s="13">
        <f>N100*VLOOKUP('Données projet'!$B$9,Paramètres!$A$1:$I$89,3,0)*VLOOKUP('Données projet'!$B$9,Paramètres!$A$1:$I$89,5,0)</f>
        <v>290.15999999999997</v>
      </c>
      <c r="P100" s="13">
        <f t="shared" si="87"/>
        <v>69.109634717039938</v>
      </c>
      <c r="Q100" s="20">
        <f t="shared" si="107"/>
        <v>625.72794713217797</v>
      </c>
      <c r="R100" s="59">
        <f t="shared" si="55"/>
        <v>919.06128046551135</v>
      </c>
      <c r="S100" s="59">
        <f ca="1">AVERAGE(OFFSET($R$3,0,0,'Données projet'!$E$9+1,1))-AVERAGE(OFFSET($H$3,0,0,'Données projet'!$E$9+1,1))</f>
        <v>319.22903094674564</v>
      </c>
      <c r="T100" s="59">
        <f t="shared" si="88"/>
        <v>254.58690973142848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2.4079366914026545</v>
      </c>
      <c r="AA100" s="21">
        <f>EXP(-LN(2)/25)*AA99+(1-EXP(-LN(2)/25))/(LN(2)/25)*Calculateur!V100*Calculateur!X100*VLOOKUP('Données projet'!$B$9,Paramètres!$A$1:$I$89,3,0)*0.475*44/12</f>
        <v>1.7400667108847738</v>
      </c>
      <c r="AB100" s="21">
        <f>EXP(-LN(2)/2)*AB99+(1-EXP(-LN(2)/2))/(LN(2)/2)*V100*Y100*VLOOKUP('Données projet'!$B$9,Paramètres!$A$1:$I$89,3,0)*0.475*44/12</f>
        <v>9.0904896489854849E-10</v>
      </c>
      <c r="AC100" s="22">
        <f t="shared" si="57"/>
        <v>4.1480034031964772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-3.4106051316484809E-13</v>
      </c>
      <c r="AJ100" s="13">
        <f>AI100*VLOOKUP('Données projet'!$B$10,Paramètres!$A$1:$I$89,3,0)*VLOOKUP('Données projet'!$B$10,Paramètres!$A$1:$I$89,5,0)</f>
        <v>-1.9065282685915009E-13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544.48194192356823</v>
      </c>
      <c r="AO100" s="59">
        <f t="shared" si="90"/>
        <v>668.20427590250733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1.9476814977912618</v>
      </c>
      <c r="AV100" s="21">
        <f>EXP(-LN(2)/25)*AV99+(1-EXP(-LN(2)/25))/(LN(2)/25)*Calculateur!AQ100*Calculateur!AS100*VLOOKUP('Données projet'!$B$10,Paramètres!$A$1:$I$89,3,0)*0.475*44/12</f>
        <v>6.6492675571531841</v>
      </c>
      <c r="AW100" s="21">
        <f>EXP(-LN(2)/2)*AW99+(1-EXP(-LN(2)/2))/(LN(2)/2)*AQ100*AT100*VLOOKUP('Données projet'!$B$10,Paramètres!$A$1:$I$89,3,0)*0.475*44/12</f>
        <v>1.1868583627868471E-9</v>
      </c>
      <c r="AX100" s="21">
        <f t="shared" si="60"/>
        <v>8.5969490561313044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5.6</v>
      </c>
      <c r="BD100" s="12">
        <f>IF('Données projet'!$A$88&gt;35,BD99+BC100-BL99,IF(A100&lt;'Données projet'!$A$88,$BA$205^A100,IF(A100='Données projet'!$A$88,'Données projet'!$B$88,BD99+BC100-BL99)))</f>
        <v>316.19999999999993</v>
      </c>
      <c r="BE100" s="13">
        <f>BD100*VLOOKUP('Données projet'!$B$11,Paramètres!$A$1:$I$89,3,0)*VLOOKUP('Données projet'!$B$11,Paramètres!$A$1:$I$89,5,0)</f>
        <v>286.09775999999994</v>
      </c>
      <c r="BF100" s="13">
        <f t="shared" si="91"/>
        <v>68.254020651723678</v>
      </c>
      <c r="BG100" s="20">
        <f t="shared" si="61"/>
        <v>617.16268463508527</v>
      </c>
      <c r="BH100" s="59">
        <f t="shared" si="62"/>
        <v>910.49601796841853</v>
      </c>
      <c r="BI100" s="59">
        <f ca="1">AVERAGE(OFFSET($BH$3,0,0,'Données projet'!$E$11+1,1))-AVERAGE(OFFSET($H$3,0,0,'Données projet'!$E$11+1,1))</f>
        <v>405.7176439604217</v>
      </c>
      <c r="BJ100" s="59">
        <f t="shared" si="92"/>
        <v>278.21741231699929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1.9389541337499339</v>
      </c>
      <c r="BQ100" s="21">
        <f>EXP(-LN(2)/25)*BQ99+(1-EXP(-LN(2)/25))/(LN(2)/25)*Calculateur!BL100*Calculateur!BN100*VLOOKUP('Données projet'!$B$11,Paramètres!$A$1:$I$89,3,0)*0.475*44/12</f>
        <v>1.461290455035976</v>
      </c>
      <c r="BR100" s="21">
        <f>EXP(-LN(2)/2)*BR99+(1-EXP(-LN(2)/2))/(LN(2)/2)*BL100*BO100*VLOOKUP('Données projet'!$B$11,Paramètres!$A$1:$I$89,3,0)*0.475*44/12</f>
        <v>7.0257089103253463E-10</v>
      </c>
      <c r="BS100" s="22">
        <f t="shared" si="63"/>
        <v>3.4002445894884805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-1.7053025658242404E-13</v>
      </c>
      <c r="CU100" s="17">
        <f>CT100*VLOOKUP('Données projet'!$B$13,Paramètres!$A$1:$I$89,3,0)*VLOOKUP('Données projet'!$B$13,Paramètres!$A$1:$I$89,5,0)</f>
        <v>-1.3567387213697657E-13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299.10536994156814</v>
      </c>
      <c r="CZ100" s="59">
        <f t="shared" si="96"/>
        <v>292.57799203101769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2.2341929119106165</v>
      </c>
      <c r="DG100" s="21">
        <f>EXP(-LN(2)/25)*DG99+(1-EXP(-LN(2)/25))/(LN(2)/25)*Calculateur!DB100*Calculateur!DD100*VLOOKUP('Données projet'!$B$13,Paramètres!$A$1:$I$89,3,0)*0.475*44/12</f>
        <v>1.6872361467809853</v>
      </c>
      <c r="DH100" s="21">
        <f>EXP(-LN(2)/2)*DH99+(1-EXP(-LN(2)/2))/(LN(2)/2)*DB100*DE100*VLOOKUP('Données projet'!$B$13,Paramètres!$A$1:$I$89,3,0)*0.475*44/12</f>
        <v>7.3861105479697859E-10</v>
      </c>
      <c r="DI100" s="22">
        <f t="shared" si="69"/>
        <v>3.9214290594302126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2.2737367544323206E-13</v>
      </c>
      <c r="DP100" s="17">
        <f>DO100*VLOOKUP('Données projet'!$B$14,Paramètres!$A$1:$I$89,3,0)*VLOOKUP('Données projet'!$B$14,Paramètres!$A$1:$I$89,5,0)</f>
        <v>1.4897523215040565E-13</v>
      </c>
      <c r="DQ100" s="13">
        <f t="shared" si="97"/>
        <v>2.136562777003313E-12</v>
      </c>
      <c r="DR100" s="20">
        <f t="shared" si="70"/>
        <v>3.9806453659427267E-12</v>
      </c>
      <c r="DS100" s="59">
        <f t="shared" si="71"/>
        <v>293.33333333333729</v>
      </c>
      <c r="DT100" s="59">
        <f ca="1">AVERAGE(OFFSET($DS$3,0,0,'Données projet'!$E$14+1,1))-AVERAGE(OFFSET($H$3,0,0,'Données projet'!$E$14+1,1))</f>
        <v>295.92103934364718</v>
      </c>
      <c r="DU100" s="59">
        <f t="shared" si="98"/>
        <v>304.84379909635476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1.1833460328395651</v>
      </c>
      <c r="EB100" s="21">
        <f>EXP(-LN(2)/25)*EB99+(1-EXP(-LN(2)/25))/(LN(2)/25)*Calculateur!DW100*Calculateur!DY100*VLOOKUP('Données projet'!$B$14,Paramètres!$A$1:$I$89,3,0)*0.475*44/12</f>
        <v>1.1160311004165981</v>
      </c>
      <c r="EC100" s="21">
        <f>EXP(-LN(2)/2)*EC99+(1-EXP(-LN(2)/2))/(LN(2)/2)*DW100*DZ100*VLOOKUP('Données projet'!$B$14,Paramètres!$A$1:$I$89,3,0)*0.475*44/12</f>
        <v>4.7371695374421221E-10</v>
      </c>
      <c r="ED100" s="22">
        <f t="shared" si="72"/>
        <v>2.2993771337298803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207.2913533618397</v>
      </c>
      <c r="EP100" s="59">
        <f t="shared" si="100"/>
        <v>230.81096055024483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1.8365535248147122</v>
      </c>
      <c r="EW100" s="21">
        <f>EXP(-LN(2)/25)*EW99+(1-EXP(-LN(2)/25))/(LN(2)/25)*Calculateur!ER100*Calculateur!ET100*VLOOKUP('Données projet'!$B$15,Paramètres!$A$1:$I$89,3,0)*0.475*44/12</f>
        <v>0.94111198565567356</v>
      </c>
      <c r="EX100" s="21">
        <f>EXP(-LN(2)/2)*EX99+(1-EXP(-LN(2)/2))/(LN(2)/2)*ER100*EU100*VLOOKUP('Données projet'!$B$15,Paramètres!$A$1:$I$89,3,0)*0.475*44/12</f>
        <v>2.4279775339112239E-10</v>
      </c>
      <c r="EY100" s="22">
        <f t="shared" si="75"/>
        <v>2.7776655107131836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18.5</v>
      </c>
      <c r="N101" s="13">
        <f>IF('Données projet'!$A$36&gt;35,N100+M101-V100,IF(A101&lt;'Données projet'!$A$36,$K$205^A101,IF(A101='Données projet'!$A$36,'Données projet'!$B$36,N100+M101-V100)))</f>
        <v>638.49999999999989</v>
      </c>
      <c r="O101" s="13">
        <f>N101*VLOOKUP('Données projet'!$B$9,Paramètres!$A$1:$I$89,3,0)*VLOOKUP('Données projet'!$B$9,Paramètres!$A$1:$I$89,5,0)</f>
        <v>298.81799999999993</v>
      </c>
      <c r="P101" s="13">
        <f t="shared" si="87"/>
        <v>70.928613970256563</v>
      </c>
      <c r="Q101" s="20">
        <f t="shared" si="107"/>
        <v>643.97535266486341</v>
      </c>
      <c r="R101" s="59">
        <f t="shared" si="55"/>
        <v>937.30868599819678</v>
      </c>
      <c r="S101" s="59">
        <f ca="1">AVERAGE(OFFSET($R$3,0,0,'Données projet'!$E$9+1,1))-AVERAGE(OFFSET($H$3,0,0,'Données projet'!$E$9+1,1))</f>
        <v>319.22903094674564</v>
      </c>
      <c r="T101" s="59">
        <f t="shared" si="88"/>
        <v>254.58690973142848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2.3607185215806084</v>
      </c>
      <c r="AA101" s="21">
        <f>EXP(-LN(2)/25)*AA100+(1-EXP(-LN(2)/25))/(LN(2)/25)*Calculateur!V101*Calculateur!X101*VLOOKUP('Données projet'!$B$9,Paramètres!$A$1:$I$89,3,0)*0.475*44/12</f>
        <v>1.6924844951694984</v>
      </c>
      <c r="AB101" s="21">
        <f>EXP(-LN(2)/2)*AB100+(1-EXP(-LN(2)/2))/(LN(2)/2)*V101*Y101*VLOOKUP('Données projet'!$B$9,Paramètres!$A$1:$I$89,3,0)*0.475*44/12</f>
        <v>6.4279468751037549E-10</v>
      </c>
      <c r="AC101" s="22">
        <f t="shared" si="57"/>
        <v>4.0532030173929012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-3.4106051316484809E-13</v>
      </c>
      <c r="AJ101" s="13">
        <f>AI101*VLOOKUP('Données projet'!$B$10,Paramètres!$A$1:$I$89,3,0)*VLOOKUP('Données projet'!$B$10,Paramètres!$A$1:$I$89,5,0)</f>
        <v>-1.9065282685915009E-13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544.48194192356823</v>
      </c>
      <c r="AO101" s="59">
        <f t="shared" si="90"/>
        <v>668.20427590250733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1.9094886515879865</v>
      </c>
      <c r="AV101" s="21">
        <f>EXP(-LN(2)/25)*AV100+(1-EXP(-LN(2)/25))/(LN(2)/25)*Calculateur!AQ101*Calculateur!AS101*VLOOKUP('Données projet'!$B$10,Paramètres!$A$1:$I$89,3,0)*0.475*44/12</f>
        <v>6.4674429861330465</v>
      </c>
      <c r="AW101" s="21">
        <f>EXP(-LN(2)/2)*AW100+(1-EXP(-LN(2)/2))/(LN(2)/2)*AQ101*AT101*VLOOKUP('Données projet'!$B$10,Paramètres!$A$1:$I$89,3,0)*0.475*44/12</f>
        <v>8.3923559663454313E-10</v>
      </c>
      <c r="AX101" s="21">
        <f t="shared" si="60"/>
        <v>8.3769316385602686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5.6</v>
      </c>
      <c r="BD101" s="12">
        <f>IF('Données projet'!$A$88&gt;35,BD100+BC101-BL100,IF(A101&lt;'Données projet'!$A$88,$BA$205^A101,IF(A101='Données projet'!$A$88,'Données projet'!$B$88,BD100+BC101-BL100)))</f>
        <v>321.79999999999995</v>
      </c>
      <c r="BE101" s="13">
        <f>BD101*VLOOKUP('Données projet'!$B$11,Paramètres!$A$1:$I$89,3,0)*VLOOKUP('Données projet'!$B$11,Paramètres!$A$1:$I$89,5,0)</f>
        <v>291.16463999999991</v>
      </c>
      <c r="BF101" s="13">
        <f t="shared" si="91"/>
        <v>69.321022467464644</v>
      </c>
      <c r="BG101" s="20">
        <f t="shared" si="61"/>
        <v>627.84586213083401</v>
      </c>
      <c r="BH101" s="59">
        <f t="shared" si="62"/>
        <v>921.17919546416738</v>
      </c>
      <c r="BI101" s="59">
        <f ca="1">AVERAGE(OFFSET($BH$3,0,0,'Données projet'!$E$11+1,1))-AVERAGE(OFFSET($H$3,0,0,'Données projet'!$E$11+1,1))</f>
        <v>405.7176439604217</v>
      </c>
      <c r="BJ101" s="59">
        <f t="shared" si="92"/>
        <v>278.21741231699929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1.9009324258323428</v>
      </c>
      <c r="BQ101" s="21">
        <f>EXP(-LN(2)/25)*BQ100+(1-EXP(-LN(2)/25))/(LN(2)/25)*Calculateur!BL101*Calculateur!BN101*VLOOKUP('Données projet'!$B$11,Paramètres!$A$1:$I$89,3,0)*0.475*44/12</f>
        <v>1.4213313906970919</v>
      </c>
      <c r="BR101" s="21">
        <f>EXP(-LN(2)/2)*BR100+(1-EXP(-LN(2)/2))/(LN(2)/2)*BL101*BO101*VLOOKUP('Données projet'!$B$11,Paramètres!$A$1:$I$89,3,0)*0.475*44/12</f>
        <v>4.9679264131338018E-10</v>
      </c>
      <c r="BS101" s="22">
        <f t="shared" si="63"/>
        <v>3.3222638170262275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-1.7053025658242404E-13</v>
      </c>
      <c r="CU101" s="17">
        <f>CT101*VLOOKUP('Données projet'!$B$13,Paramètres!$A$1:$I$89,3,0)*VLOOKUP('Données projet'!$B$13,Paramètres!$A$1:$I$89,5,0)</f>
        <v>-1.3567387213697657E-13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299.10536994156814</v>
      </c>
      <c r="CZ101" s="59">
        <f t="shared" si="96"/>
        <v>292.57799203101769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2.1903817516311679</v>
      </c>
      <c r="DG101" s="21">
        <f>EXP(-LN(2)/25)*DG100+(1-EXP(-LN(2)/25))/(LN(2)/25)*Calculateur!DB101*Calculateur!DD101*VLOOKUP('Données projet'!$B$13,Paramètres!$A$1:$I$89,3,0)*0.475*44/12</f>
        <v>1.6410985856193665</v>
      </c>
      <c r="DH101" s="21">
        <f>EXP(-LN(2)/2)*DH100+(1-EXP(-LN(2)/2))/(LN(2)/2)*DB101*DE101*VLOOKUP('Données projet'!$B$13,Paramètres!$A$1:$I$89,3,0)*0.475*44/12</f>
        <v>5.2227688550629219E-10</v>
      </c>
      <c r="DI101" s="22">
        <f t="shared" si="69"/>
        <v>3.8314803377728111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2.2737367544323206E-13</v>
      </c>
      <c r="DP101" s="17">
        <f>DO101*VLOOKUP('Données projet'!$B$14,Paramètres!$A$1:$I$89,3,0)*VLOOKUP('Données projet'!$B$14,Paramètres!$A$1:$I$89,5,0)</f>
        <v>1.4897523215040565E-13</v>
      </c>
      <c r="DQ101" s="13">
        <f t="shared" si="97"/>
        <v>2.136562777003313E-12</v>
      </c>
      <c r="DR101" s="20">
        <f t="shared" si="70"/>
        <v>3.9806453659427267E-12</v>
      </c>
      <c r="DS101" s="59">
        <f t="shared" si="71"/>
        <v>293.33333333333729</v>
      </c>
      <c r="DT101" s="59">
        <f ca="1">AVERAGE(OFFSET($DS$3,0,0,'Données projet'!$E$14+1,1))-AVERAGE(OFFSET($H$3,0,0,'Données projet'!$E$14+1,1))</f>
        <v>295.92103934364718</v>
      </c>
      <c r="DU101" s="59">
        <f t="shared" si="98"/>
        <v>304.84379909635476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1.1601413389053923</v>
      </c>
      <c r="EB101" s="21">
        <f>EXP(-LN(2)/25)*EB100+(1-EXP(-LN(2)/25))/(LN(2)/25)*Calculateur!DW101*Calculateur!DY101*VLOOKUP('Données projet'!$B$14,Paramètres!$A$1:$I$89,3,0)*0.475*44/12</f>
        <v>1.0855131712861814</v>
      </c>
      <c r="EC101" s="21">
        <f>EXP(-LN(2)/2)*EC100+(1-EXP(-LN(2)/2))/(LN(2)/2)*DW101*DZ101*VLOOKUP('Données projet'!$B$14,Paramètres!$A$1:$I$89,3,0)*0.475*44/12</f>
        <v>3.3496847035556652E-10</v>
      </c>
      <c r="ED101" s="22">
        <f t="shared" si="72"/>
        <v>2.245654510526542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207.2913533618397</v>
      </c>
      <c r="EP101" s="59">
        <f t="shared" si="100"/>
        <v>230.81096055024483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1.8005398303801365</v>
      </c>
      <c r="EW101" s="21">
        <f>EXP(-LN(2)/25)*EW100+(1-EXP(-LN(2)/25))/(LN(2)/25)*Calculateur!ER101*Calculateur!ET101*VLOOKUP('Données projet'!$B$15,Paramètres!$A$1:$I$89,3,0)*0.475*44/12</f>
        <v>0.9153772289169908</v>
      </c>
      <c r="EX101" s="21">
        <f>EXP(-LN(2)/2)*EX100+(1-EXP(-LN(2)/2))/(LN(2)/2)*ER101*EU101*VLOOKUP('Données projet'!$B$15,Paramètres!$A$1:$I$89,3,0)*0.475*44/12</f>
        <v>1.7168393787972172E-10</v>
      </c>
      <c r="EY101" s="22">
        <f t="shared" si="75"/>
        <v>2.7159170594688113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18.5</v>
      </c>
      <c r="N102" s="13">
        <f>IF('Données projet'!$A$36&gt;35,N101+M102-V101,IF(A102&lt;'Données projet'!$A$36,$K$205^A102,IF(A102='Données projet'!$A$36,'Données projet'!$B$36,N101+M102-V101)))</f>
        <v>656.99999999999989</v>
      </c>
      <c r="O102" s="13">
        <f>N102*VLOOKUP('Données projet'!$B$9,Paramètres!$A$1:$I$89,3,0)*VLOOKUP('Données projet'!$B$9,Paramètres!$A$1:$I$89,5,0)</f>
        <v>307.47599999999994</v>
      </c>
      <c r="P102" s="13">
        <f t="shared" si="87"/>
        <v>72.741467976269988</v>
      </c>
      <c r="Q102" s="20">
        <f t="shared" si="107"/>
        <v>662.21209005867013</v>
      </c>
      <c r="R102" s="59">
        <f t="shared" si="55"/>
        <v>955.54542339200339</v>
      </c>
      <c r="S102" s="59">
        <f ca="1">AVERAGE(OFFSET($R$3,0,0,'Données projet'!$E$9+1,1))-AVERAGE(OFFSET($H$3,0,0,'Données projet'!$E$9+1,1))</f>
        <v>319.22903094674564</v>
      </c>
      <c r="T102" s="59">
        <f t="shared" si="88"/>
        <v>254.58690973142848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2.3144262712685331</v>
      </c>
      <c r="AA102" s="21">
        <f>EXP(-LN(2)/25)*AA101+(1-EXP(-LN(2)/25))/(LN(2)/25)*Calculateur!V102*Calculateur!X102*VLOOKUP('Données projet'!$B$9,Paramètres!$A$1:$I$89,3,0)*0.475*44/12</f>
        <v>1.6462034176451972</v>
      </c>
      <c r="AB102" s="21">
        <f>EXP(-LN(2)/2)*AB101+(1-EXP(-LN(2)/2))/(LN(2)/2)*V102*Y102*VLOOKUP('Données projet'!$B$9,Paramètres!$A$1:$I$89,3,0)*0.475*44/12</f>
        <v>4.545244824492743E-10</v>
      </c>
      <c r="AC102" s="22">
        <f t="shared" si="57"/>
        <v>3.9606296893682549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-3.4106051316484809E-13</v>
      </c>
      <c r="AJ102" s="13">
        <f>AI102*VLOOKUP('Données projet'!$B$10,Paramètres!$A$1:$I$89,3,0)*VLOOKUP('Données projet'!$B$10,Paramètres!$A$1:$I$89,5,0)</f>
        <v>-1.9065282685915009E-13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544.48194192356823</v>
      </c>
      <c r="AO102" s="59">
        <f t="shared" si="90"/>
        <v>668.20427590250733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1.8720447438034216</v>
      </c>
      <c r="AV102" s="21">
        <f>EXP(-LN(2)/25)*AV101+(1-EXP(-LN(2)/25))/(LN(2)/25)*Calculateur!AQ102*Calculateur!AS102*VLOOKUP('Données projet'!$B$10,Paramètres!$A$1:$I$89,3,0)*0.475*44/12</f>
        <v>6.2905904175691933</v>
      </c>
      <c r="AW102" s="21">
        <f>EXP(-LN(2)/2)*AW101+(1-EXP(-LN(2)/2))/(LN(2)/2)*AQ102*AT102*VLOOKUP('Données projet'!$B$10,Paramètres!$A$1:$I$89,3,0)*0.475*44/12</f>
        <v>5.9342918139342354E-10</v>
      </c>
      <c r="AX102" s="21">
        <f t="shared" si="60"/>
        <v>8.162635161966044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5.6</v>
      </c>
      <c r="BD102" s="12">
        <f>IF('Données projet'!$A$88&gt;35,BD101+BC102-BL101,IF(A102&lt;'Données projet'!$A$88,$BA$205^A102,IF(A102='Données projet'!$A$88,'Données projet'!$B$88,BD101+BC102-BL101)))</f>
        <v>327.39999999999998</v>
      </c>
      <c r="BE102" s="13">
        <f>BD102*VLOOKUP('Données projet'!$B$11,Paramètres!$A$1:$I$89,3,0)*VLOOKUP('Données projet'!$B$11,Paramètres!$A$1:$I$89,5,0)</f>
        <v>296.23151999999993</v>
      </c>
      <c r="BF102" s="13">
        <f t="shared" si="91"/>
        <v>70.385865030263986</v>
      </c>
      <c r="BG102" s="20">
        <f t="shared" si="61"/>
        <v>638.52527892770956</v>
      </c>
      <c r="BH102" s="59">
        <f t="shared" si="62"/>
        <v>931.85861226104294</v>
      </c>
      <c r="BI102" s="59">
        <f ca="1">AVERAGE(OFFSET($BH$3,0,0,'Données projet'!$E$11+1,1))-AVERAGE(OFFSET($H$3,0,0,'Données projet'!$E$11+1,1))</f>
        <v>405.7176439604217</v>
      </c>
      <c r="BJ102" s="59">
        <f t="shared" si="92"/>
        <v>278.21741231699929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1.8636563004160638</v>
      </c>
      <c r="BQ102" s="21">
        <f>EXP(-LN(2)/25)*BQ101+(1-EXP(-LN(2)/25))/(LN(2)/25)*Calculateur!BL102*Calculateur!BN102*VLOOKUP('Données projet'!$B$11,Paramètres!$A$1:$I$89,3,0)*0.475*44/12</f>
        <v>1.3824650090739106</v>
      </c>
      <c r="BR102" s="21">
        <f>EXP(-LN(2)/2)*BR101+(1-EXP(-LN(2)/2))/(LN(2)/2)*BL102*BO102*VLOOKUP('Données projet'!$B$11,Paramètres!$A$1:$I$89,3,0)*0.475*44/12</f>
        <v>3.5128544551626731E-10</v>
      </c>
      <c r="BS102" s="22">
        <f t="shared" si="63"/>
        <v>3.2461213098412602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-1.7053025658242404E-13</v>
      </c>
      <c r="CU102" s="17">
        <f>CT102*VLOOKUP('Données projet'!$B$13,Paramètres!$A$1:$I$89,3,0)*VLOOKUP('Données projet'!$B$13,Paramètres!$A$1:$I$89,5,0)</f>
        <v>-1.3567387213697657E-13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299.10536994156814</v>
      </c>
      <c r="CZ102" s="59">
        <f t="shared" si="96"/>
        <v>292.57799203101769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2.14742970148263</v>
      </c>
      <c r="DG102" s="21">
        <f>EXP(-LN(2)/25)*DG101+(1-EXP(-LN(2)/25))/(LN(2)/25)*Calculateur!DB102*Calculateur!DD102*VLOOKUP('Données projet'!$B$13,Paramètres!$A$1:$I$89,3,0)*0.475*44/12</f>
        <v>1.5962226584939812</v>
      </c>
      <c r="DH102" s="21">
        <f>EXP(-LN(2)/2)*DH101+(1-EXP(-LN(2)/2))/(LN(2)/2)*DB102*DE102*VLOOKUP('Données projet'!$B$13,Paramètres!$A$1:$I$89,3,0)*0.475*44/12</f>
        <v>3.693055273984893E-10</v>
      </c>
      <c r="DI102" s="22">
        <f t="shared" si="69"/>
        <v>3.7436523603459166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2.2737367544323206E-13</v>
      </c>
      <c r="DP102" s="17">
        <f>DO102*VLOOKUP('Données projet'!$B$14,Paramètres!$A$1:$I$89,3,0)*VLOOKUP('Données projet'!$B$14,Paramètres!$A$1:$I$89,5,0)</f>
        <v>1.4897523215040565E-13</v>
      </c>
      <c r="DQ102" s="13">
        <f t="shared" si="97"/>
        <v>2.136562777003313E-12</v>
      </c>
      <c r="DR102" s="20">
        <f t="shared" si="70"/>
        <v>3.9806453659427267E-12</v>
      </c>
      <c r="DS102" s="59">
        <f t="shared" si="71"/>
        <v>293.33333333333729</v>
      </c>
      <c r="DT102" s="59">
        <f ca="1">AVERAGE(OFFSET($DS$3,0,0,'Données projet'!$E$14+1,1))-AVERAGE(OFFSET($H$3,0,0,'Données projet'!$E$14+1,1))</f>
        <v>295.92103934364718</v>
      </c>
      <c r="DU102" s="59">
        <f t="shared" si="98"/>
        <v>304.84379909635476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1.1373916748658031</v>
      </c>
      <c r="EB102" s="21">
        <f>EXP(-LN(2)/25)*EB101+(1-EXP(-LN(2)/25))/(LN(2)/25)*Calculateur!DW102*Calculateur!DY102*VLOOKUP('Données projet'!$B$14,Paramètres!$A$1:$I$89,3,0)*0.475*44/12</f>
        <v>1.0558297565327042</v>
      </c>
      <c r="EC102" s="21">
        <f>EXP(-LN(2)/2)*EC101+(1-EXP(-LN(2)/2))/(LN(2)/2)*DW102*DZ102*VLOOKUP('Données projet'!$B$14,Paramètres!$A$1:$I$89,3,0)*0.475*44/12</f>
        <v>2.3685847687210611E-10</v>
      </c>
      <c r="ED102" s="22">
        <f t="shared" si="72"/>
        <v>2.193221431635366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207.2913533618397</v>
      </c>
      <c r="EP102" s="59">
        <f t="shared" si="100"/>
        <v>230.81096055024483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1.7652323425272383</v>
      </c>
      <c r="EW102" s="21">
        <f>EXP(-LN(2)/25)*EW101+(1-EXP(-LN(2)/25))/(LN(2)/25)*Calculateur!ER102*Calculateur!ET102*VLOOKUP('Données projet'!$B$15,Paramètres!$A$1:$I$89,3,0)*0.475*44/12</f>
        <v>0.89034619045465935</v>
      </c>
      <c r="EX102" s="21">
        <f>EXP(-LN(2)/2)*EX101+(1-EXP(-LN(2)/2))/(LN(2)/2)*ER102*EU102*VLOOKUP('Données projet'!$B$15,Paramètres!$A$1:$I$89,3,0)*0.475*44/12</f>
        <v>1.213988766955612E-10</v>
      </c>
      <c r="EY102" s="22">
        <f t="shared" si="75"/>
        <v>2.6555785331032964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675.5</v>
      </c>
      <c r="L103" s="12">
        <f>VLOOKUP(A103,'Données projet'!$A$35:$I$55,9,0)</f>
        <v>18.5</v>
      </c>
      <c r="M103" s="12">
        <f t="array" ref="M103">INDEX(L:L,MIN(IF(ISNUMBER(L103:L299),ROW(L103:L299),"")))</f>
        <v>18.5</v>
      </c>
      <c r="N103" s="13">
        <f>IF('Données projet'!$A$36&gt;35,N102+M103-V102,IF(A103&lt;'Données projet'!$A$36,$K$205^A103,IF(A103='Données projet'!$A$36,'Données projet'!$B$36,N102+M103-V102)))</f>
        <v>675.49999999999989</v>
      </c>
      <c r="O103" s="13">
        <f>N103*VLOOKUP('Données projet'!$B$9,Paramètres!$A$1:$I$89,3,0)*VLOOKUP('Données projet'!$B$9,Paramètres!$A$1:$I$89,5,0)</f>
        <v>316.13399999999996</v>
      </c>
      <c r="P103" s="13">
        <f t="shared" si="87"/>
        <v>74.548389024136753</v>
      </c>
      <c r="Q103" s="20">
        <f t="shared" si="107"/>
        <v>680.43849421703806</v>
      </c>
      <c r="R103" s="59">
        <f t="shared" si="55"/>
        <v>973.77182755037143</v>
      </c>
      <c r="S103" s="59">
        <f ca="1">AVERAGE(OFFSET($R$3,0,0,'Données projet'!$E$9+1,1))-AVERAGE(OFFSET($H$3,0,0,'Données projet'!$E$9+1,1))</f>
        <v>319.22903094674564</v>
      </c>
      <c r="T103" s="59">
        <f t="shared" si="88"/>
        <v>254.58690973142848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675.5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2.2690417837495929</v>
      </c>
      <c r="AA103" s="21">
        <f>EXP(-LN(2)/25)*AA102+(1-EXP(-LN(2)/25))/(LN(2)/25)*Calculateur!V103*Calculateur!X103*VLOOKUP('Données projet'!$B$9,Paramètres!$A$1:$I$89,3,0)*0.475*44/12</f>
        <v>1.601187898619614</v>
      </c>
      <c r="AB103" s="21">
        <f>EXP(-LN(2)/2)*AB102+(1-EXP(-LN(2)/2))/(LN(2)/2)*V103*Y103*VLOOKUP('Données projet'!$B$9,Paramètres!$A$1:$I$89,3,0)*0.475*44/12</f>
        <v>3.213973437551878E-10</v>
      </c>
      <c r="AC103" s="22">
        <f t="shared" si="57"/>
        <v>3.8702296826906037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-3.4106051316484809E-13</v>
      </c>
      <c r="AJ103" s="13">
        <f>AI103*VLOOKUP('Données projet'!$B$10,Paramètres!$A$1:$I$89,3,0)*VLOOKUP('Données projet'!$B$10,Paramètres!$A$1:$I$89,5,0)</f>
        <v>-1.9065282685915009E-13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544.48194192356823</v>
      </c>
      <c r="AO103" s="59">
        <f t="shared" si="90"/>
        <v>668.20427590250733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1.8353350882119834</v>
      </c>
      <c r="AV103" s="21">
        <f>EXP(-LN(2)/25)*AV102+(1-EXP(-LN(2)/25))/(LN(2)/25)*Calculateur!AQ103*Calculateur!AS103*VLOOKUP('Données projet'!$B$10,Paramètres!$A$1:$I$89,3,0)*0.475*44/12</f>
        <v>6.118573891792991</v>
      </c>
      <c r="AW103" s="21">
        <f>EXP(-LN(2)/2)*AW102+(1-EXP(-LN(2)/2))/(LN(2)/2)*AQ103*AT103*VLOOKUP('Données projet'!$B$10,Paramètres!$A$1:$I$89,3,0)*0.475*44/12</f>
        <v>4.1961779831727156E-10</v>
      </c>
      <c r="AX103" s="21">
        <f t="shared" si="60"/>
        <v>7.9539089804245924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333</v>
      </c>
      <c r="BB103" s="12">
        <f>VLOOKUP(A103,'Données projet'!$A$87:$I$107,9,0)</f>
        <v>5.6</v>
      </c>
      <c r="BC103" s="12">
        <f t="array" ref="BC103">INDEX(BB:BB,MIN(IF(ISNUMBER(BB103:BB299),ROW(BB103:BB299),"")))</f>
        <v>5.6</v>
      </c>
      <c r="BD103" s="12">
        <f>IF('Données projet'!$A$88&gt;35,BD102+BC103-BL102,IF(A103&lt;'Données projet'!$A$88,$BA$205^A103,IF(A103='Données projet'!$A$88,'Données projet'!$B$88,BD102+BC103-BL102)))</f>
        <v>333</v>
      </c>
      <c r="BE103" s="13">
        <f>BD103*VLOOKUP('Données projet'!$B$11,Paramètres!$A$1:$I$89,3,0)*VLOOKUP('Données projet'!$B$11,Paramètres!$A$1:$I$89,5,0)</f>
        <v>301.29840000000002</v>
      </c>
      <c r="BF103" s="13">
        <f t="shared" si="91"/>
        <v>71.448589534990518</v>
      </c>
      <c r="BG103" s="20">
        <f t="shared" si="61"/>
        <v>649.2010067734418</v>
      </c>
      <c r="BH103" s="59">
        <f t="shared" si="62"/>
        <v>942.53434010677506</v>
      </c>
      <c r="BI103" s="59">
        <f ca="1">AVERAGE(OFFSET($BH$3,0,0,'Données projet'!$E$11+1,1))-AVERAGE(OFFSET($H$3,0,0,'Données projet'!$E$11+1,1))</f>
        <v>405.7176439604217</v>
      </c>
      <c r="BJ103" s="59">
        <f t="shared" si="92"/>
        <v>278.21741231699929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333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1.8271111370830064</v>
      </c>
      <c r="BQ103" s="21">
        <f>EXP(-LN(2)/25)*BQ102+(1-EXP(-LN(2)/25))/(LN(2)/25)*Calculateur!BL103*Calculateur!BN103*VLOOKUP('Données projet'!$B$11,Paramètres!$A$1:$I$89,3,0)*0.475*44/12</f>
        <v>1.3446614307001092</v>
      </c>
      <c r="BR103" s="21">
        <f>EXP(-LN(2)/2)*BR102+(1-EXP(-LN(2)/2))/(LN(2)/2)*BL103*BO103*VLOOKUP('Données projet'!$B$11,Paramètres!$A$1:$I$89,3,0)*0.475*44/12</f>
        <v>2.4839632065669009E-10</v>
      </c>
      <c r="BS103" s="22">
        <f t="shared" si="63"/>
        <v>3.1717725680315119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-1.7053025658242404E-13</v>
      </c>
      <c r="CU103" s="17">
        <f>CT103*VLOOKUP('Données projet'!$B$13,Paramètres!$A$1:$I$89,3,0)*VLOOKUP('Données projet'!$B$13,Paramètres!$A$1:$I$89,5,0)</f>
        <v>-1.3567387213697657E-13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299.10536994156814</v>
      </c>
      <c r="CZ103" s="59">
        <f t="shared" si="96"/>
        <v>292.57799203101769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2.1053199148393413</v>
      </c>
      <c r="DG103" s="21">
        <f>EXP(-LN(2)/25)*DG102+(1-EXP(-LN(2)/25))/(LN(2)/25)*Calculateur!DB103*Calculateur!DD103*VLOOKUP('Données projet'!$B$13,Paramètres!$A$1:$I$89,3,0)*0.475*44/12</f>
        <v>1.5525738659557617</v>
      </c>
      <c r="DH103" s="21">
        <f>EXP(-LN(2)/2)*DH102+(1-EXP(-LN(2)/2))/(LN(2)/2)*DB103*DE103*VLOOKUP('Données projet'!$B$13,Paramètres!$A$1:$I$89,3,0)*0.475*44/12</f>
        <v>2.6113844275314609E-10</v>
      </c>
      <c r="DI103" s="22">
        <f t="shared" si="69"/>
        <v>3.6578937810562411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2.2737367544323206E-13</v>
      </c>
      <c r="DP103" s="17">
        <f>DO103*VLOOKUP('Données projet'!$B$14,Paramètres!$A$1:$I$89,3,0)*VLOOKUP('Données projet'!$B$14,Paramètres!$A$1:$I$89,5,0)</f>
        <v>1.4897523215040565E-13</v>
      </c>
      <c r="DQ103" s="13">
        <f t="shared" si="97"/>
        <v>2.136562777003313E-12</v>
      </c>
      <c r="DR103" s="20">
        <f t="shared" si="70"/>
        <v>3.9806453659427267E-12</v>
      </c>
      <c r="DS103" s="59">
        <f t="shared" si="71"/>
        <v>293.33333333333729</v>
      </c>
      <c r="DT103" s="59">
        <f ca="1">AVERAGE(OFFSET($DS$3,0,0,'Données projet'!$E$14+1,1))-AVERAGE(OFFSET($H$3,0,0,'Données projet'!$E$14+1,1))</f>
        <v>295.92103934364718</v>
      </c>
      <c r="DU103" s="59">
        <f t="shared" si="98"/>
        <v>304.84379909635476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1.115088117862105</v>
      </c>
      <c r="EB103" s="21">
        <f>EXP(-LN(2)/25)*EB102+(1-EXP(-LN(2)/25))/(LN(2)/25)*Calculateur!DW103*Calculateur!DY103*VLOOKUP('Données projet'!$B$14,Paramètres!$A$1:$I$89,3,0)*0.475*44/12</f>
        <v>1.0269580363166435</v>
      </c>
      <c r="EC103" s="21">
        <f>EXP(-LN(2)/2)*EC102+(1-EXP(-LN(2)/2))/(LN(2)/2)*DW103*DZ103*VLOOKUP('Données projet'!$B$14,Paramètres!$A$1:$I$89,3,0)*0.475*44/12</f>
        <v>1.6748423517778326E-10</v>
      </c>
      <c r="ED103" s="22">
        <f t="shared" si="72"/>
        <v>2.1420461543462328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207.2913533618397</v>
      </c>
      <c r="EP103" s="59">
        <f t="shared" si="100"/>
        <v>230.81096055024483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1.7306172129756943</v>
      </c>
      <c r="EW103" s="21">
        <f>EXP(-LN(2)/25)*EW102+(1-EXP(-LN(2)/25))/(LN(2)/25)*Calculateur!ER103*Calculateur!ET103*VLOOKUP('Données projet'!$B$15,Paramètres!$A$1:$I$89,3,0)*0.475*44/12</f>
        <v>0.86599962705540545</v>
      </c>
      <c r="EX103" s="21">
        <f>EXP(-LN(2)/2)*EX102+(1-EXP(-LN(2)/2))/(LN(2)/2)*ER103*EU103*VLOOKUP('Données projet'!$B$15,Paramètres!$A$1:$I$89,3,0)*0.475*44/12</f>
        <v>8.5841968939860858E-11</v>
      </c>
      <c r="EY103" s="22">
        <f t="shared" si="75"/>
        <v>2.5966168401169418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319.22903094674564</v>
      </c>
      <c r="T104" s="59">
        <f t="shared" si="88"/>
        <v>254.58690973142848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2.2245472583490948</v>
      </c>
      <c r="AA104" s="21">
        <f>EXP(-LN(2)/25)*AA103+(1-EXP(-LN(2)/25))/(LN(2)/25)*Calculateur!V104*Calculateur!X104*VLOOKUP('Données projet'!$B$9,Paramètres!$A$1:$I$89,3,0)*0.475*44/12</f>
        <v>1.5574033313290485</v>
      </c>
      <c r="AB104" s="21">
        <f>EXP(-LN(2)/2)*AB103+(1-EXP(-LN(2)/2))/(LN(2)/2)*V104*Y104*VLOOKUP('Données projet'!$B$9,Paramètres!$A$1:$I$89,3,0)*0.475*44/12</f>
        <v>2.272622412246372E-10</v>
      </c>
      <c r="AC104" s="22">
        <f t="shared" si="57"/>
        <v>3.7819505899054056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-3.4106051316484809E-13</v>
      </c>
      <c r="AJ104" s="13">
        <f>AI104*VLOOKUP('Données projet'!$B$10,Paramètres!$A$1:$I$89,3,0)*VLOOKUP('Données projet'!$B$10,Paramètres!$A$1:$I$89,5,0)</f>
        <v>-1.9065282685915009E-13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544.48194192356823</v>
      </c>
      <c r="AO104" s="59">
        <f t="shared" si="90"/>
        <v>668.20427590250733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1.7993452865760144</v>
      </c>
      <c r="AV104" s="21">
        <f>EXP(-LN(2)/25)*AV103+(1-EXP(-LN(2)/25))/(LN(2)/25)*Calculateur!AQ104*Calculateur!AS104*VLOOKUP('Données projet'!$B$10,Paramètres!$A$1:$I$89,3,0)*0.475*44/12</f>
        <v>5.9512611669600952</v>
      </c>
      <c r="AW104" s="21">
        <f>EXP(-LN(2)/2)*AW103+(1-EXP(-LN(2)/2))/(LN(2)/2)*AQ104*AT104*VLOOKUP('Données projet'!$B$10,Paramètres!$A$1:$I$89,3,0)*0.475*44/12</f>
        <v>2.9671459069671177E-10</v>
      </c>
      <c r="AX104" s="21">
        <f t="shared" si="60"/>
        <v>7.7506064538328241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405.7176439604217</v>
      </c>
      <c r="BJ104" s="59">
        <f t="shared" si="92"/>
        <v>278.21741231699929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1.7912826021125616</v>
      </c>
      <c r="BQ104" s="21">
        <f>EXP(-LN(2)/25)*BQ103+(1-EXP(-LN(2)/25))/(LN(2)/25)*Calculateur!BL104*Calculateur!BN104*VLOOKUP('Données projet'!$B$11,Paramètres!$A$1:$I$89,3,0)*0.475*44/12</f>
        <v>1.3078915931649433</v>
      </c>
      <c r="BR104" s="21">
        <f>EXP(-LN(2)/2)*BR103+(1-EXP(-LN(2)/2))/(LN(2)/2)*BL104*BO104*VLOOKUP('Données projet'!$B$11,Paramètres!$A$1:$I$89,3,0)*0.475*44/12</f>
        <v>1.7564272275813366E-10</v>
      </c>
      <c r="BS104" s="22">
        <f t="shared" si="63"/>
        <v>3.0991741954531475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-1.7053025658242404E-13</v>
      </c>
      <c r="CU104" s="17">
        <f>CT104*VLOOKUP('Données projet'!$B$13,Paramètres!$A$1:$I$89,3,0)*VLOOKUP('Données projet'!$B$13,Paramètres!$A$1:$I$89,5,0)</f>
        <v>-1.3567387213697657E-13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299.10536994156814</v>
      </c>
      <c r="CZ104" s="59">
        <f t="shared" si="96"/>
        <v>292.57799203101769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2.064035875427694</v>
      </c>
      <c r="DG104" s="21">
        <f>EXP(-LN(2)/25)*DG103+(1-EXP(-LN(2)/25))/(LN(2)/25)*Calculateur!DB104*Calculateur!DD104*VLOOKUP('Données projet'!$B$13,Paramètres!$A$1:$I$89,3,0)*0.475*44/12</f>
        <v>1.5101186519448904</v>
      </c>
      <c r="DH104" s="21">
        <f>EXP(-LN(2)/2)*DH103+(1-EXP(-LN(2)/2))/(LN(2)/2)*DB104*DE104*VLOOKUP('Données projet'!$B$13,Paramètres!$A$1:$I$89,3,0)*0.475*44/12</f>
        <v>1.8465276369924465E-10</v>
      </c>
      <c r="DI104" s="22">
        <f t="shared" si="69"/>
        <v>3.5741545275572371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2.2737367544323206E-13</v>
      </c>
      <c r="DP104" s="17">
        <f>DO104*VLOOKUP('Données projet'!$B$14,Paramètres!$A$1:$I$89,3,0)*VLOOKUP('Données projet'!$B$14,Paramètres!$A$1:$I$89,5,0)</f>
        <v>1.4897523215040565E-13</v>
      </c>
      <c r="DQ104" s="13">
        <f t="shared" si="97"/>
        <v>2.136562777003313E-12</v>
      </c>
      <c r="DR104" s="20">
        <f t="shared" si="70"/>
        <v>3.9806453659427267E-12</v>
      </c>
      <c r="DS104" s="59">
        <f t="shared" si="71"/>
        <v>293.33333333333729</v>
      </c>
      <c r="DT104" s="59">
        <f ca="1">AVERAGE(OFFSET($DS$3,0,0,'Données projet'!$E$14+1,1))-AVERAGE(OFFSET($H$3,0,0,'Données projet'!$E$14+1,1))</f>
        <v>295.92103934364718</v>
      </c>
      <c r="DU104" s="59">
        <f t="shared" si="98"/>
        <v>304.84379909635476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1.0932219200074231</v>
      </c>
      <c r="EB104" s="21">
        <f>EXP(-LN(2)/25)*EB103+(1-EXP(-LN(2)/25))/(LN(2)/25)*Calculateur!DW104*Calculateur!DY104*VLOOKUP('Données projet'!$B$14,Paramètres!$A$1:$I$89,3,0)*0.475*44/12</f>
        <v>0.99887581480818888</v>
      </c>
      <c r="EC104" s="21">
        <f>EXP(-LN(2)/2)*EC103+(1-EXP(-LN(2)/2))/(LN(2)/2)*DW104*DZ104*VLOOKUP('Données projet'!$B$14,Paramètres!$A$1:$I$89,3,0)*0.475*44/12</f>
        <v>1.1842923843605305E-10</v>
      </c>
      <c r="ED104" s="22">
        <f t="shared" si="72"/>
        <v>2.0920977349340411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207.2913533618397</v>
      </c>
      <c r="EP104" s="59">
        <f t="shared" si="100"/>
        <v>230.81096055024483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1.6966808650015117</v>
      </c>
      <c r="EW104" s="21">
        <f>EXP(-LN(2)/25)*EW103+(1-EXP(-LN(2)/25))/(LN(2)/25)*Calculateur!ER104*Calculateur!ET104*VLOOKUP('Données projet'!$B$15,Paramètres!$A$1:$I$89,3,0)*0.475*44/12</f>
        <v>0.84231882171263428</v>
      </c>
      <c r="EX104" s="21">
        <f>EXP(-LN(2)/2)*EX103+(1-EXP(-LN(2)/2))/(LN(2)/2)*ER104*EU104*VLOOKUP('Données projet'!$B$15,Paramètres!$A$1:$I$89,3,0)*0.475*44/12</f>
        <v>6.0699438347780598E-11</v>
      </c>
      <c r="EY104" s="22">
        <f t="shared" si="75"/>
        <v>2.5389996867748454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319.22903094674564</v>
      </c>
      <c r="T105" s="59">
        <f t="shared" si="88"/>
        <v>254.58690973142848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2.18092524345272</v>
      </c>
      <c r="AA105" s="21">
        <f>EXP(-LN(2)/25)*AA104+(1-EXP(-LN(2)/25))/(LN(2)/25)*Calculateur!V105*Calculateur!X105*VLOOKUP('Données projet'!$B$9,Paramètres!$A$1:$I$89,3,0)*0.475*44/12</f>
        <v>1.5148160553335739</v>
      </c>
      <c r="AB105" s="21">
        <f>EXP(-LN(2)/2)*AB104+(1-EXP(-LN(2)/2))/(LN(2)/2)*V105*Y105*VLOOKUP('Données projet'!$B$9,Paramètres!$A$1:$I$89,3,0)*0.475*44/12</f>
        <v>1.6069867187759392E-10</v>
      </c>
      <c r="AC105" s="22">
        <f t="shared" si="57"/>
        <v>3.6957412989469924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-3.4106051316484809E-13</v>
      </c>
      <c r="AJ105" s="13">
        <f>AI105*VLOOKUP('Données projet'!$B$10,Paramètres!$A$1:$I$89,3,0)*VLOOKUP('Données projet'!$B$10,Paramètres!$A$1:$I$89,5,0)</f>
        <v>-1.9065282685915009E-13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544.48194192356823</v>
      </c>
      <c r="AO105" s="59">
        <f t="shared" si="90"/>
        <v>668.20427590250733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1.7640612229985153</v>
      </c>
      <c r="AV105" s="21">
        <f>EXP(-LN(2)/25)*AV104+(1-EXP(-LN(2)/25))/(LN(2)/25)*Calculateur!AQ105*Calculateur!AS105*VLOOKUP('Données projet'!$B$10,Paramètres!$A$1:$I$89,3,0)*0.475*44/12</f>
        <v>5.7885236173863488</v>
      </c>
      <c r="AW105" s="21">
        <f>EXP(-LN(2)/2)*AW104+(1-EXP(-LN(2)/2))/(LN(2)/2)*AQ105*AT105*VLOOKUP('Données projet'!$B$10,Paramètres!$A$1:$I$89,3,0)*0.475*44/12</f>
        <v>2.0980889915863578E-10</v>
      </c>
      <c r="AX105" s="21">
        <f t="shared" si="60"/>
        <v>7.5525848405946734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405.7176439604217</v>
      </c>
      <c r="BJ105" s="59">
        <f t="shared" si="92"/>
        <v>278.21741231699929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1.7561566428596389</v>
      </c>
      <c r="BQ105" s="21">
        <f>EXP(-LN(2)/25)*BQ104+(1-EXP(-LN(2)/25))/(LN(2)/25)*Calculateur!BL105*Calculateur!BN105*VLOOKUP('Données projet'!$B$11,Paramètres!$A$1:$I$89,3,0)*0.475*44/12</f>
        <v>1.2721272287708183</v>
      </c>
      <c r="BR105" s="21">
        <f>EXP(-LN(2)/2)*BR104+(1-EXP(-LN(2)/2))/(LN(2)/2)*BL105*BO105*VLOOKUP('Données projet'!$B$11,Paramètres!$A$1:$I$89,3,0)*0.475*44/12</f>
        <v>1.2419816032834505E-10</v>
      </c>
      <c r="BS105" s="22">
        <f t="shared" si="63"/>
        <v>3.0282838717546552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-1.7053025658242404E-13</v>
      </c>
      <c r="CU105" s="17">
        <f>CT105*VLOOKUP('Données projet'!$B$13,Paramètres!$A$1:$I$89,3,0)*VLOOKUP('Données projet'!$B$13,Paramètres!$A$1:$I$89,5,0)</f>
        <v>-1.3567387213697657E-13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299.10536994156814</v>
      </c>
      <c r="CZ105" s="59">
        <f t="shared" si="96"/>
        <v>292.57799203101769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2.0235613908481311</v>
      </c>
      <c r="DG105" s="21">
        <f>EXP(-LN(2)/25)*DG104+(1-EXP(-LN(2)/25))/(LN(2)/25)*Calculateur!DB105*Calculateur!DD105*VLOOKUP('Données projet'!$B$13,Paramètres!$A$1:$I$89,3,0)*0.475*44/12</f>
        <v>1.4688243779937689</v>
      </c>
      <c r="DH105" s="21">
        <f>EXP(-LN(2)/2)*DH104+(1-EXP(-LN(2)/2))/(LN(2)/2)*DB105*DE105*VLOOKUP('Données projet'!$B$13,Paramètres!$A$1:$I$89,3,0)*0.475*44/12</f>
        <v>1.3056922137657305E-10</v>
      </c>
      <c r="DI105" s="22">
        <f t="shared" si="69"/>
        <v>3.4923857689724693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2.2737367544323206E-13</v>
      </c>
      <c r="DP105" s="17">
        <f>DO105*VLOOKUP('Données projet'!$B$14,Paramètres!$A$1:$I$89,3,0)*VLOOKUP('Données projet'!$B$14,Paramètres!$A$1:$I$89,5,0)</f>
        <v>1.4897523215040565E-13</v>
      </c>
      <c r="DQ105" s="13">
        <f t="shared" si="97"/>
        <v>2.136562777003313E-12</v>
      </c>
      <c r="DR105" s="20">
        <f t="shared" si="70"/>
        <v>3.9806453659427267E-12</v>
      </c>
      <c r="DS105" s="59">
        <f t="shared" si="71"/>
        <v>293.33333333333729</v>
      </c>
      <c r="DT105" s="59">
        <f ca="1">AVERAGE(OFFSET($DS$3,0,0,'Données projet'!$E$14+1,1))-AVERAGE(OFFSET($H$3,0,0,'Données projet'!$E$14+1,1))</f>
        <v>295.92103934364718</v>
      </c>
      <c r="DU105" s="59">
        <f t="shared" si="98"/>
        <v>304.84379909635476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1.0717845049556078</v>
      </c>
      <c r="EB105" s="21">
        <f>EXP(-LN(2)/25)*EB104+(1-EXP(-LN(2)/25))/(LN(2)/25)*Calculateur!DW105*Calculateur!DY105*VLOOKUP('Données projet'!$B$14,Paramètres!$A$1:$I$89,3,0)*0.475*44/12</f>
        <v>0.97156150312366285</v>
      </c>
      <c r="EC105" s="21">
        <f>EXP(-LN(2)/2)*EC104+(1-EXP(-LN(2)/2))/(LN(2)/2)*DW105*DZ105*VLOOKUP('Données projet'!$B$14,Paramètres!$A$1:$I$89,3,0)*0.475*44/12</f>
        <v>8.3742117588891631E-11</v>
      </c>
      <c r="ED105" s="22">
        <f t="shared" si="72"/>
        <v>2.0433460081630126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207.2913533618397</v>
      </c>
      <c r="EP105" s="59">
        <f t="shared" si="100"/>
        <v>230.81096055024483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1.6634099881119744</v>
      </c>
      <c r="EW105" s="21">
        <f>EXP(-LN(2)/25)*EW104+(1-EXP(-LN(2)/25))/(LN(2)/25)*Calculateur!ER105*Calculateur!ET105*VLOOKUP('Données projet'!$B$15,Paramètres!$A$1:$I$89,3,0)*0.475*44/12</f>
        <v>0.81928556923728058</v>
      </c>
      <c r="EX105" s="21">
        <f>EXP(-LN(2)/2)*EX104+(1-EXP(-LN(2)/2))/(LN(2)/2)*ER105*EU105*VLOOKUP('Données projet'!$B$15,Paramètres!$A$1:$I$89,3,0)*0.475*44/12</f>
        <v>4.2920984469930429E-11</v>
      </c>
      <c r="EY105" s="22">
        <f t="shared" si="75"/>
        <v>2.4826955573921756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319.22903094674564</v>
      </c>
      <c r="T106" s="59">
        <f t="shared" si="88"/>
        <v>254.58690973142848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2.1381586296616613</v>
      </c>
      <c r="AA106" s="21">
        <f>EXP(-LN(2)/25)*AA105+(1-EXP(-LN(2)/25))/(LN(2)/25)*Calculateur!V106*Calculateur!X106*VLOOKUP('Données projet'!$B$9,Paramètres!$A$1:$I$89,3,0)*0.475*44/12</f>
        <v>1.4733933306397631</v>
      </c>
      <c r="AB106" s="21">
        <f>EXP(-LN(2)/2)*AB105+(1-EXP(-LN(2)/2))/(LN(2)/2)*V106*Y106*VLOOKUP('Données projet'!$B$9,Paramètres!$A$1:$I$89,3,0)*0.475*44/12</f>
        <v>1.1363112061231861E-10</v>
      </c>
      <c r="AC106" s="22">
        <f t="shared" si="57"/>
        <v>3.6115519604150559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-3.4106051316484809E-13</v>
      </c>
      <c r="AJ106" s="13">
        <f>AI106*VLOOKUP('Données projet'!$B$10,Paramètres!$A$1:$I$89,3,0)*VLOOKUP('Données projet'!$B$10,Paramètres!$A$1:$I$89,5,0)</f>
        <v>-1.9065282685915009E-13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544.48194192356823</v>
      </c>
      <c r="AO106" s="59">
        <f t="shared" si="90"/>
        <v>668.20427590250733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1.7294690583866172</v>
      </c>
      <c r="AV106" s="21">
        <f>EXP(-LN(2)/25)*AV105+(1-EXP(-LN(2)/25))/(LN(2)/25)*Calculateur!AQ106*Calculateur!AS106*VLOOKUP('Données projet'!$B$10,Paramètres!$A$1:$I$89,3,0)*0.475*44/12</f>
        <v>5.6302361346636918</v>
      </c>
      <c r="AW106" s="21">
        <f>EXP(-LN(2)/2)*AW105+(1-EXP(-LN(2)/2))/(LN(2)/2)*AQ106*AT106*VLOOKUP('Données projet'!$B$10,Paramètres!$A$1:$I$89,3,0)*0.475*44/12</f>
        <v>1.4835729534835588E-10</v>
      </c>
      <c r="AX106" s="21">
        <f t="shared" si="60"/>
        <v>7.3597051931986659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405.7176439604217</v>
      </c>
      <c r="BJ106" s="59">
        <f t="shared" si="92"/>
        <v>278.21741231699929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1.7217194822429462</v>
      </c>
      <c r="BQ106" s="21">
        <f>EXP(-LN(2)/25)*BQ105+(1-EXP(-LN(2)/25))/(LN(2)/25)*Calculateur!BL106*Calculateur!BN106*VLOOKUP('Données projet'!$B$11,Paramètres!$A$1:$I$89,3,0)*0.475*44/12</f>
        <v>1.2373408428018169</v>
      </c>
      <c r="BR106" s="21">
        <f>EXP(-LN(2)/2)*BR105+(1-EXP(-LN(2)/2))/(LN(2)/2)*BL106*BO106*VLOOKUP('Données projet'!$B$11,Paramètres!$A$1:$I$89,3,0)*0.475*44/12</f>
        <v>8.7821361379066829E-11</v>
      </c>
      <c r="BS106" s="22">
        <f t="shared" si="63"/>
        <v>2.9590603251325844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-1.7053025658242404E-13</v>
      </c>
      <c r="CU106" s="17">
        <f>CT106*VLOOKUP('Données projet'!$B$13,Paramètres!$A$1:$I$89,3,0)*VLOOKUP('Données projet'!$B$13,Paramètres!$A$1:$I$89,5,0)</f>
        <v>-1.3567387213697657E-13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299.10536994156814</v>
      </c>
      <c r="CZ106" s="59">
        <f t="shared" si="96"/>
        <v>292.57799203101769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1.9838805862241755</v>
      </c>
      <c r="DG106" s="21">
        <f>EXP(-LN(2)/25)*DG105+(1-EXP(-LN(2)/25))/(LN(2)/25)*Calculateur!DB106*Calculateur!DD106*VLOOKUP('Données projet'!$B$13,Paramètres!$A$1:$I$89,3,0)*0.475*44/12</f>
        <v>1.4286592981354123</v>
      </c>
      <c r="DH106" s="21">
        <f>EXP(-LN(2)/2)*DH105+(1-EXP(-LN(2)/2))/(LN(2)/2)*DB106*DE106*VLOOKUP('Données projet'!$B$13,Paramètres!$A$1:$I$89,3,0)*0.475*44/12</f>
        <v>9.2326381849622324E-11</v>
      </c>
      <c r="DI106" s="22">
        <f t="shared" si="69"/>
        <v>3.4125398844519146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2.2737367544323206E-13</v>
      </c>
      <c r="DP106" s="17">
        <f>DO106*VLOOKUP('Données projet'!$B$14,Paramètres!$A$1:$I$89,3,0)*VLOOKUP('Données projet'!$B$14,Paramètres!$A$1:$I$89,5,0)</f>
        <v>1.4897523215040565E-13</v>
      </c>
      <c r="DQ106" s="13">
        <f t="shared" si="97"/>
        <v>2.136562777003313E-12</v>
      </c>
      <c r="DR106" s="20">
        <f t="shared" si="70"/>
        <v>3.9806453659427267E-12</v>
      </c>
      <c r="DS106" s="59">
        <f t="shared" si="71"/>
        <v>293.33333333333729</v>
      </c>
      <c r="DT106" s="59">
        <f ca="1">AVERAGE(OFFSET($DS$3,0,0,'Données projet'!$E$14+1,1))-AVERAGE(OFFSET($H$3,0,0,'Données projet'!$E$14+1,1))</f>
        <v>295.92103934364718</v>
      </c>
      <c r="DU106" s="59">
        <f t="shared" si="98"/>
        <v>304.84379909635476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1.0507674645374265</v>
      </c>
      <c r="EB106" s="21">
        <f>EXP(-LN(2)/25)*EB105+(1-EXP(-LN(2)/25))/(LN(2)/25)*Calculateur!DW106*Calculateur!DY106*VLOOKUP('Données projet'!$B$14,Paramètres!$A$1:$I$89,3,0)*0.475*44/12</f>
        <v>0.94499410272854734</v>
      </c>
      <c r="EC106" s="21">
        <f>EXP(-LN(2)/2)*EC105+(1-EXP(-LN(2)/2))/(LN(2)/2)*DW106*DZ106*VLOOKUP('Données projet'!$B$14,Paramètres!$A$1:$I$89,3,0)*0.475*44/12</f>
        <v>5.9214619218026526E-11</v>
      </c>
      <c r="ED106" s="22">
        <f t="shared" si="72"/>
        <v>1.9957615673251885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207.2913533618397</v>
      </c>
      <c r="EP106" s="59">
        <f t="shared" si="100"/>
        <v>230.81096055024483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1.6307915328250098</v>
      </c>
      <c r="EW106" s="21">
        <f>EXP(-LN(2)/25)*EW105+(1-EXP(-LN(2)/25))/(LN(2)/25)*Calculateur!ER106*Calculateur!ET106*VLOOKUP('Données projet'!$B$15,Paramètres!$A$1:$I$89,3,0)*0.475*44/12</f>
        <v>0.7968821622621316</v>
      </c>
      <c r="EX106" s="21">
        <f>EXP(-LN(2)/2)*EX105+(1-EXP(-LN(2)/2))/(LN(2)/2)*ER106*EU106*VLOOKUP('Données projet'!$B$15,Paramètres!$A$1:$I$89,3,0)*0.475*44/12</f>
        <v>3.0349719173890299E-11</v>
      </c>
      <c r="EY106" s="22">
        <f t="shared" si="75"/>
        <v>2.4276736951174906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319.22903094674564</v>
      </c>
      <c r="T107" s="59">
        <f t="shared" si="88"/>
        <v>254.58690973142848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2.0962306430819861</v>
      </c>
      <c r="AA107" s="21">
        <f>EXP(-LN(2)/25)*AA106+(1-EXP(-LN(2)/25))/(LN(2)/25)*Calculateur!V107*Calculateur!X107*VLOOKUP('Données projet'!$B$9,Paramètres!$A$1:$I$89,3,0)*0.475*44/12</f>
        <v>1.4331033125310311</v>
      </c>
      <c r="AB107" s="21">
        <f>EXP(-LN(2)/2)*AB106+(1-EXP(-LN(2)/2))/(LN(2)/2)*V107*Y107*VLOOKUP('Données projet'!$B$9,Paramètres!$A$1:$I$89,3,0)*0.475*44/12</f>
        <v>8.0349335938796975E-11</v>
      </c>
      <c r="AC107" s="22">
        <f t="shared" si="57"/>
        <v>3.5293339556933669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-3.4106051316484809E-13</v>
      </c>
      <c r="AJ107" s="13">
        <f>AI107*VLOOKUP('Données projet'!$B$10,Paramètres!$A$1:$I$89,3,0)*VLOOKUP('Données projet'!$B$10,Paramètres!$A$1:$I$89,5,0)</f>
        <v>-1.9065282685915009E-13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544.48194192356823</v>
      </c>
      <c r="AO107" s="59">
        <f t="shared" si="90"/>
        <v>668.20427590250733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1.6955552250236214</v>
      </c>
      <c r="AV107" s="21">
        <f>EXP(-LN(2)/25)*AV106+(1-EXP(-LN(2)/25))/(LN(2)/25)*Calculateur!AQ107*Calculateur!AS107*VLOOKUP('Données projet'!$B$10,Paramètres!$A$1:$I$89,3,0)*0.475*44/12</f>
        <v>5.4762770314800626</v>
      </c>
      <c r="AW107" s="21">
        <f>EXP(-LN(2)/2)*AW106+(1-EXP(-LN(2)/2))/(LN(2)/2)*AQ107*AT107*VLOOKUP('Données projet'!$B$10,Paramètres!$A$1:$I$89,3,0)*0.475*44/12</f>
        <v>1.0490444957931789E-10</v>
      </c>
      <c r="AX107" s="21">
        <f t="shared" si="60"/>
        <v>7.1718322566085888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405.7176439604217</v>
      </c>
      <c r="BJ107" s="59">
        <f t="shared" si="92"/>
        <v>278.21741231699929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1.687957613341353</v>
      </c>
      <c r="BQ107" s="21">
        <f>EXP(-LN(2)/25)*BQ106+(1-EXP(-LN(2)/25))/(LN(2)/25)*Calculateur!BL107*Calculateur!BN107*VLOOKUP('Données projet'!$B$11,Paramètres!$A$1:$I$89,3,0)*0.475*44/12</f>
        <v>1.2035056923864742</v>
      </c>
      <c r="BR107" s="21">
        <f>EXP(-LN(2)/2)*BR106+(1-EXP(-LN(2)/2))/(LN(2)/2)*BL107*BO107*VLOOKUP('Données projet'!$B$11,Paramètres!$A$1:$I$89,3,0)*0.475*44/12</f>
        <v>6.2099080164172523E-11</v>
      </c>
      <c r="BS107" s="22">
        <f t="shared" si="63"/>
        <v>2.8914633057899262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-1.7053025658242404E-13</v>
      </c>
      <c r="CU107" s="17">
        <f>CT107*VLOOKUP('Données projet'!$B$13,Paramètres!$A$1:$I$89,3,0)*VLOOKUP('Données projet'!$B$13,Paramètres!$A$1:$I$89,5,0)</f>
        <v>-1.3567387213697657E-13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299.10536994156814</v>
      </c>
      <c r="CZ107" s="59">
        <f t="shared" si="96"/>
        <v>292.57799203101769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1.9449778979759949</v>
      </c>
      <c r="DG107" s="21">
        <f>EXP(-LN(2)/25)*DG106+(1-EXP(-LN(2)/25))/(LN(2)/25)*Calculateur!DB107*Calculateur!DD107*VLOOKUP('Données projet'!$B$13,Paramètres!$A$1:$I$89,3,0)*0.475*44/12</f>
        <v>1.3895925344979723</v>
      </c>
      <c r="DH107" s="21">
        <f>EXP(-LN(2)/2)*DH106+(1-EXP(-LN(2)/2))/(LN(2)/2)*DB107*DE107*VLOOKUP('Données projet'!$B$13,Paramètres!$A$1:$I$89,3,0)*0.475*44/12</f>
        <v>6.5284610688286524E-11</v>
      </c>
      <c r="DI107" s="22">
        <f t="shared" si="69"/>
        <v>3.3345704325392518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2.2737367544323206E-13</v>
      </c>
      <c r="DP107" s="17">
        <f>DO107*VLOOKUP('Données projet'!$B$14,Paramètres!$A$1:$I$89,3,0)*VLOOKUP('Données projet'!$B$14,Paramètres!$A$1:$I$89,5,0)</f>
        <v>1.4897523215040565E-13</v>
      </c>
      <c r="DQ107" s="13">
        <f t="shared" si="97"/>
        <v>2.136562777003313E-12</v>
      </c>
      <c r="DR107" s="20">
        <f t="shared" si="70"/>
        <v>3.9806453659427267E-12</v>
      </c>
      <c r="DS107" s="59">
        <f t="shared" si="71"/>
        <v>293.33333333333729</v>
      </c>
      <c r="DT107" s="59">
        <f ca="1">AVERAGE(OFFSET($DS$3,0,0,'Données projet'!$E$14+1,1))-AVERAGE(OFFSET($H$3,0,0,'Données projet'!$E$14+1,1))</f>
        <v>295.92103934364718</v>
      </c>
      <c r="DU107" s="59">
        <f t="shared" si="98"/>
        <v>304.84379909635476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1.030162555462717</v>
      </c>
      <c r="EB107" s="21">
        <f>EXP(-LN(2)/25)*EB106+(1-EXP(-LN(2)/25))/(LN(2)/25)*Calculateur!DW107*Calculateur!DY107*VLOOKUP('Données projet'!$B$14,Paramètres!$A$1:$I$89,3,0)*0.475*44/12</f>
        <v>0.91915318929435519</v>
      </c>
      <c r="EC107" s="21">
        <f>EXP(-LN(2)/2)*EC106+(1-EXP(-LN(2)/2))/(LN(2)/2)*DW107*DZ107*VLOOKUP('Données projet'!$B$14,Paramètres!$A$1:$I$89,3,0)*0.475*44/12</f>
        <v>4.1871058794445815E-11</v>
      </c>
      <c r="ED107" s="22">
        <f t="shared" si="72"/>
        <v>1.9493157447989431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207.2913533618397</v>
      </c>
      <c r="EP107" s="59">
        <f t="shared" si="100"/>
        <v>230.81096055024483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1.5988127055509294</v>
      </c>
      <c r="EW107" s="21">
        <f>EXP(-LN(2)/25)*EW106+(1-EXP(-LN(2)/25))/(LN(2)/25)*Calculateur!ER107*Calculateur!ET107*VLOOKUP('Données projet'!$B$15,Paramètres!$A$1:$I$89,3,0)*0.475*44/12</f>
        <v>0.77509137762886204</v>
      </c>
      <c r="EX107" s="21">
        <f>EXP(-LN(2)/2)*EX106+(1-EXP(-LN(2)/2))/(LN(2)/2)*ER107*EU107*VLOOKUP('Données projet'!$B$15,Paramètres!$A$1:$I$89,3,0)*0.475*44/12</f>
        <v>2.1460492234965215E-11</v>
      </c>
      <c r="EY107" s="22">
        <f t="shared" si="75"/>
        <v>2.3739040832012521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319.22903094674564</v>
      </c>
      <c r="T108" s="59">
        <f t="shared" si="88"/>
        <v>254.58690973142848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2.0551248387455918</v>
      </c>
      <c r="AA108" s="21">
        <f>EXP(-LN(2)/25)*AA107+(1-EXP(-LN(2)/25))/(LN(2)/25)*Calculateur!V108*Calculateur!X108*VLOOKUP('Données projet'!$B$9,Paramètres!$A$1:$I$89,3,0)*0.475*44/12</f>
        <v>1.3939150270862422</v>
      </c>
      <c r="AB108" s="21">
        <f>EXP(-LN(2)/2)*AB107+(1-EXP(-LN(2)/2))/(LN(2)/2)*V108*Y108*VLOOKUP('Données projet'!$B$9,Paramètres!$A$1:$I$89,3,0)*0.475*44/12</f>
        <v>5.6815560306159313E-11</v>
      </c>
      <c r="AC108" s="22">
        <f t="shared" si="57"/>
        <v>3.4490398658886492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-3.4106051316484809E-13</v>
      </c>
      <c r="AJ108" s="13">
        <f>AI108*VLOOKUP('Données projet'!$B$10,Paramètres!$A$1:$I$89,3,0)*VLOOKUP('Données projet'!$B$10,Paramètres!$A$1:$I$89,5,0)</f>
        <v>-1.9065282685915009E-13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544.48194192356823</v>
      </c>
      <c r="AO108" s="59">
        <f t="shared" si="90"/>
        <v>668.20427590250733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1.6623064212474781</v>
      </c>
      <c r="AV108" s="21">
        <f>EXP(-LN(2)/25)*AV107+(1-EXP(-LN(2)/25))/(LN(2)/25)*Calculateur!AQ108*Calculateur!AS108*VLOOKUP('Données projet'!$B$10,Paramètres!$A$1:$I$89,3,0)*0.475*44/12</f>
        <v>5.326527948069347</v>
      </c>
      <c r="AW108" s="21">
        <f>EXP(-LN(2)/2)*AW107+(1-EXP(-LN(2)/2))/(LN(2)/2)*AQ108*AT108*VLOOKUP('Données projet'!$B$10,Paramètres!$A$1:$I$89,3,0)*0.475*44/12</f>
        <v>7.4178647674177942E-11</v>
      </c>
      <c r="AX108" s="21">
        <f t="shared" si="60"/>
        <v>6.9888343693910038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405.7176439604217</v>
      </c>
      <c r="BJ108" s="59">
        <f t="shared" si="92"/>
        <v>278.21741231699929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1.6548577940962133</v>
      </c>
      <c r="BQ108" s="21">
        <f>EXP(-LN(2)/25)*BQ107+(1-EXP(-LN(2)/25))/(LN(2)/25)*Calculateur!BL108*Calculateur!BN108*VLOOKUP('Données projet'!$B$11,Paramètres!$A$1:$I$89,3,0)*0.475*44/12</f>
        <v>1.1705957659385524</v>
      </c>
      <c r="BR108" s="21">
        <f>EXP(-LN(2)/2)*BR107+(1-EXP(-LN(2)/2))/(LN(2)/2)*BL108*BO108*VLOOKUP('Données projet'!$B$11,Paramètres!$A$1:$I$89,3,0)*0.475*44/12</f>
        <v>4.3910680689533414E-11</v>
      </c>
      <c r="BS108" s="22">
        <f t="shared" si="63"/>
        <v>2.8254535600786763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-1.7053025658242404E-13</v>
      </c>
      <c r="CU108" s="17">
        <f>CT108*VLOOKUP('Données projet'!$B$13,Paramètres!$A$1:$I$89,3,0)*VLOOKUP('Données projet'!$B$13,Paramètres!$A$1:$I$89,5,0)</f>
        <v>-1.3567387213697657E-13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299.10536994156814</v>
      </c>
      <c r="CZ108" s="59">
        <f t="shared" si="96"/>
        <v>292.57799203101769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1.9068380677160641</v>
      </c>
      <c r="DG108" s="21">
        <f>EXP(-LN(2)/25)*DG107+(1-EXP(-LN(2)/25))/(LN(2)/25)*Calculateur!DB108*Calculateur!DD108*VLOOKUP('Données projet'!$B$13,Paramètres!$A$1:$I$89,3,0)*0.475*44/12</f>
        <v>1.3515940535666298</v>
      </c>
      <c r="DH108" s="21">
        <f>EXP(-LN(2)/2)*DH107+(1-EXP(-LN(2)/2))/(LN(2)/2)*DB108*DE108*VLOOKUP('Données projet'!$B$13,Paramètres!$A$1:$I$89,3,0)*0.475*44/12</f>
        <v>4.6163190924811162E-11</v>
      </c>
      <c r="DI108" s="22">
        <f t="shared" si="69"/>
        <v>3.2584321213288572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2.2737367544323206E-13</v>
      </c>
      <c r="DP108" s="17">
        <f>DO108*VLOOKUP('Données projet'!$B$14,Paramètres!$A$1:$I$89,3,0)*VLOOKUP('Données projet'!$B$14,Paramètres!$A$1:$I$89,5,0)</f>
        <v>1.4897523215040565E-13</v>
      </c>
      <c r="DQ108" s="13">
        <f t="shared" si="97"/>
        <v>2.136562777003313E-12</v>
      </c>
      <c r="DR108" s="20">
        <f t="shared" si="70"/>
        <v>3.9806453659427267E-12</v>
      </c>
      <c r="DS108" s="59">
        <f t="shared" si="71"/>
        <v>293.33333333333729</v>
      </c>
      <c r="DT108" s="59">
        <f ca="1">AVERAGE(OFFSET($DS$3,0,0,'Données projet'!$E$14+1,1))-AVERAGE(OFFSET($H$3,0,0,'Données projet'!$E$14+1,1))</f>
        <v>295.92103934364718</v>
      </c>
      <c r="DU108" s="59">
        <f t="shared" si="98"/>
        <v>304.84379909635476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1.0099616960872089</v>
      </c>
      <c r="EB108" s="21">
        <f>EXP(-LN(2)/25)*EB107+(1-EXP(-LN(2)/25))/(LN(2)/25)*Calculateur!DW108*Calculateur!DY108*VLOOKUP('Données projet'!$B$14,Paramètres!$A$1:$I$89,3,0)*0.475*44/12</f>
        <v>0.8940188969969356</v>
      </c>
      <c r="EC108" s="21">
        <f>EXP(-LN(2)/2)*EC107+(1-EXP(-LN(2)/2))/(LN(2)/2)*DW108*DZ108*VLOOKUP('Données projet'!$B$14,Paramètres!$A$1:$I$89,3,0)*0.475*44/12</f>
        <v>2.9607309609013263E-11</v>
      </c>
      <c r="ED108" s="22">
        <f t="shared" si="72"/>
        <v>1.9039805931137517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207.2913533618397</v>
      </c>
      <c r="EP108" s="59">
        <f t="shared" si="100"/>
        <v>230.81096055024483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1.5674609635745351</v>
      </c>
      <c r="EW108" s="21">
        <f>EXP(-LN(2)/25)*EW107+(1-EXP(-LN(2)/25))/(LN(2)/25)*Calculateur!ER108*Calculateur!ET108*VLOOKUP('Données projet'!$B$15,Paramètres!$A$1:$I$89,3,0)*0.475*44/12</f>
        <v>0.75389646314731673</v>
      </c>
      <c r="EX108" s="21">
        <f>EXP(-LN(2)/2)*EX107+(1-EXP(-LN(2)/2))/(LN(2)/2)*ER108*EU108*VLOOKUP('Données projet'!$B$15,Paramètres!$A$1:$I$89,3,0)*0.475*44/12</f>
        <v>1.517485958694515E-11</v>
      </c>
      <c r="EY108" s="22">
        <f t="shared" si="75"/>
        <v>2.3213574267370269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319.22903094674564</v>
      </c>
      <c r="T109" s="59">
        <f t="shared" si="88"/>
        <v>254.58690973142848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2.0148250941601695</v>
      </c>
      <c r="AA109" s="21">
        <f>EXP(-LN(2)/25)*AA108+(1-EXP(-LN(2)/25))/(LN(2)/25)*Calculateur!V109*Calculateur!X109*VLOOKUP('Données projet'!$B$9,Paramètres!$A$1:$I$89,3,0)*0.475*44/12</f>
        <v>1.3557983473677635</v>
      </c>
      <c r="AB109" s="21">
        <f>EXP(-LN(2)/2)*AB108+(1-EXP(-LN(2)/2))/(LN(2)/2)*V109*Y109*VLOOKUP('Données projet'!$B$9,Paramètres!$A$1:$I$89,3,0)*0.475*44/12</f>
        <v>4.0174667969398494E-11</v>
      </c>
      <c r="AC109" s="22">
        <f t="shared" si="57"/>
        <v>3.3706234415681076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-3.4106051316484809E-13</v>
      </c>
      <c r="AJ109" s="13">
        <f>AI109*VLOOKUP('Données projet'!$B$10,Paramètres!$A$1:$I$89,3,0)*VLOOKUP('Données projet'!$B$10,Paramètres!$A$1:$I$89,5,0)</f>
        <v>-1.9065282685915009E-13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544.48194192356823</v>
      </c>
      <c r="AO109" s="59">
        <f t="shared" si="90"/>
        <v>668.20427590250733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1.6297096062336169</v>
      </c>
      <c r="AV109" s="21">
        <f>EXP(-LN(2)/25)*AV108+(1-EXP(-LN(2)/25))/(LN(2)/25)*Calculateur!AQ109*Calculateur!AS109*VLOOKUP('Données projet'!$B$10,Paramètres!$A$1:$I$89,3,0)*0.475*44/12</f>
        <v>5.18087376121946</v>
      </c>
      <c r="AW109" s="21">
        <f>EXP(-LN(2)/2)*AW108+(1-EXP(-LN(2)/2))/(LN(2)/2)*AQ109*AT109*VLOOKUP('Données projet'!$B$10,Paramètres!$A$1:$I$89,3,0)*0.475*44/12</f>
        <v>5.2452224789658945E-11</v>
      </c>
      <c r="AX109" s="21">
        <f t="shared" si="60"/>
        <v>6.8105833675055294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405.7176439604217</v>
      </c>
      <c r="BJ109" s="59">
        <f t="shared" si="92"/>
        <v>278.21741231699929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1.6224070421175745</v>
      </c>
      <c r="BQ109" s="21">
        <f>EXP(-LN(2)/25)*BQ108+(1-EXP(-LN(2)/25))/(LN(2)/25)*Calculateur!BL109*Calculateur!BN109*VLOOKUP('Données projet'!$B$11,Paramètres!$A$1:$I$89,3,0)*0.475*44/12</f>
        <v>1.1385857631600067</v>
      </c>
      <c r="BR109" s="21">
        <f>EXP(-LN(2)/2)*BR108+(1-EXP(-LN(2)/2))/(LN(2)/2)*BL109*BO109*VLOOKUP('Données projet'!$B$11,Paramètres!$A$1:$I$89,3,0)*0.475*44/12</f>
        <v>3.1049540082086261E-11</v>
      </c>
      <c r="BS109" s="22">
        <f t="shared" si="63"/>
        <v>2.7609928053086308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-1.7053025658242404E-13</v>
      </c>
      <c r="CU109" s="17">
        <f>CT109*VLOOKUP('Données projet'!$B$13,Paramètres!$A$1:$I$89,3,0)*VLOOKUP('Données projet'!$B$13,Paramètres!$A$1:$I$89,5,0)</f>
        <v>-1.3567387213697657E-13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299.10536994156814</v>
      </c>
      <c r="CZ109" s="59">
        <f t="shared" si="96"/>
        <v>292.57799203101769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1.8694461362645312</v>
      </c>
      <c r="DG109" s="21">
        <f>EXP(-LN(2)/25)*DG108+(1-EXP(-LN(2)/25))/(LN(2)/25)*Calculateur!DB109*Calculateur!DD109*VLOOKUP('Données projet'!$B$13,Paramètres!$A$1:$I$89,3,0)*0.475*44/12</f>
        <v>1.3146346430946081</v>
      </c>
      <c r="DH109" s="21">
        <f>EXP(-LN(2)/2)*DH108+(1-EXP(-LN(2)/2))/(LN(2)/2)*DB109*DE109*VLOOKUP('Données projet'!$B$13,Paramètres!$A$1:$I$89,3,0)*0.475*44/12</f>
        <v>3.2642305344143262E-11</v>
      </c>
      <c r="DI109" s="22">
        <f t="shared" si="69"/>
        <v>3.1840807793917816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2.2737367544323206E-13</v>
      </c>
      <c r="DP109" s="17">
        <f>DO109*VLOOKUP('Données projet'!$B$14,Paramètres!$A$1:$I$89,3,0)*VLOOKUP('Données projet'!$B$14,Paramètres!$A$1:$I$89,5,0)</f>
        <v>1.4897523215040565E-13</v>
      </c>
      <c r="DQ109" s="13">
        <f t="shared" si="97"/>
        <v>2.136562777003313E-12</v>
      </c>
      <c r="DR109" s="20">
        <f t="shared" si="70"/>
        <v>3.9806453659427267E-12</v>
      </c>
      <c r="DS109" s="59">
        <f t="shared" si="71"/>
        <v>293.33333333333729</v>
      </c>
      <c r="DT109" s="59">
        <f ca="1">AVERAGE(OFFSET($DS$3,0,0,'Données projet'!$E$14+1,1))-AVERAGE(OFFSET($H$3,0,0,'Données projet'!$E$14+1,1))</f>
        <v>295.92103934364718</v>
      </c>
      <c r="DU109" s="59">
        <f t="shared" si="98"/>
        <v>304.84379909635476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0.99015696324274682</v>
      </c>
      <c r="EB109" s="21">
        <f>EXP(-LN(2)/25)*EB108+(1-EXP(-LN(2)/25))/(LN(2)/25)*Calculateur!DW109*Calculateur!DY109*VLOOKUP('Données projet'!$B$14,Paramètres!$A$1:$I$89,3,0)*0.475*44/12</f>
        <v>0.86957190324414391</v>
      </c>
      <c r="EC109" s="21">
        <f>EXP(-LN(2)/2)*EC108+(1-EXP(-LN(2)/2))/(LN(2)/2)*DW109*DZ109*VLOOKUP('Données projet'!$B$14,Paramètres!$A$1:$I$89,3,0)*0.475*44/12</f>
        <v>2.0935529397222908E-11</v>
      </c>
      <c r="ED109" s="22">
        <f t="shared" si="72"/>
        <v>1.8597288665078262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207.2913533618397</v>
      </c>
      <c r="EP109" s="59">
        <f t="shared" si="100"/>
        <v>230.81096055024483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1.5367240101356234</v>
      </c>
      <c r="EW109" s="21">
        <f>EXP(-LN(2)/25)*EW108+(1-EXP(-LN(2)/25))/(LN(2)/25)*Calculateur!ER109*Calculateur!ET109*VLOOKUP('Données projet'!$B$15,Paramètres!$A$1:$I$89,3,0)*0.475*44/12</f>
        <v>0.73328112471686147</v>
      </c>
      <c r="EX109" s="21">
        <f>EXP(-LN(2)/2)*EX108+(1-EXP(-LN(2)/2))/(LN(2)/2)*ER109*EU109*VLOOKUP('Données projet'!$B$15,Paramètres!$A$1:$I$89,3,0)*0.475*44/12</f>
        <v>1.0730246117482607E-11</v>
      </c>
      <c r="EY109" s="22">
        <f t="shared" si="75"/>
        <v>2.2700051348632151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319.22903094674564</v>
      </c>
      <c r="T110" s="59">
        <f t="shared" si="88"/>
        <v>254.58690973142848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1.97531560298565</v>
      </c>
      <c r="AA110" s="21">
        <f>EXP(-LN(2)/25)*AA109+(1-EXP(-LN(2)/25))/(LN(2)/25)*Calculateur!V110*Calculateur!X110*VLOOKUP('Données projet'!$B$9,Paramètres!$A$1:$I$89,3,0)*0.475*44/12</f>
        <v>1.3187239702606557</v>
      </c>
      <c r="AB110" s="21">
        <f>EXP(-LN(2)/2)*AB109+(1-EXP(-LN(2)/2))/(LN(2)/2)*V110*Y110*VLOOKUP('Données projet'!$B$9,Paramètres!$A$1:$I$89,3,0)*0.475*44/12</f>
        <v>2.8407780153079663E-11</v>
      </c>
      <c r="AC110" s="22">
        <f t="shared" si="57"/>
        <v>3.2940395732747136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-3.4106051316484809E-13</v>
      </c>
      <c r="AJ110" s="13">
        <f>AI110*VLOOKUP('Données projet'!$B$10,Paramètres!$A$1:$I$89,3,0)*VLOOKUP('Données projet'!$B$10,Paramètres!$A$1:$I$89,5,0)</f>
        <v>-1.9065282685915009E-13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544.48194192356823</v>
      </c>
      <c r="AO110" s="59">
        <f t="shared" si="90"/>
        <v>668.20427590250733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1.5977519948800838</v>
      </c>
      <c r="AV110" s="21">
        <f>EXP(-LN(2)/25)*AV109+(1-EXP(-LN(2)/25))/(LN(2)/25)*Calculateur!AQ110*Calculateur!AS110*VLOOKUP('Données projet'!$B$10,Paramètres!$A$1:$I$89,3,0)*0.475*44/12</f>
        <v>5.0392024957686035</v>
      </c>
      <c r="AW110" s="21">
        <f>EXP(-LN(2)/2)*AW109+(1-EXP(-LN(2)/2))/(LN(2)/2)*AQ110*AT110*VLOOKUP('Données projet'!$B$10,Paramètres!$A$1:$I$89,3,0)*0.475*44/12</f>
        <v>3.7089323837088971E-11</v>
      </c>
      <c r="AX110" s="21">
        <f t="shared" si="60"/>
        <v>6.6369544906857767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405.7176439604217</v>
      </c>
      <c r="BJ110" s="59">
        <f t="shared" si="92"/>
        <v>278.21741231699929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1.5905926295922326</v>
      </c>
      <c r="BQ110" s="21">
        <f>EXP(-LN(2)/25)*BQ109+(1-EXP(-LN(2)/25))/(LN(2)/25)*Calculateur!BL110*Calculateur!BN110*VLOOKUP('Données projet'!$B$11,Paramètres!$A$1:$I$89,3,0)*0.475*44/12</f>
        <v>1.1074510755907734</v>
      </c>
      <c r="BR110" s="21">
        <f>EXP(-LN(2)/2)*BR109+(1-EXP(-LN(2)/2))/(LN(2)/2)*BL110*BO110*VLOOKUP('Données projet'!$B$11,Paramètres!$A$1:$I$89,3,0)*0.475*44/12</f>
        <v>2.1955340344766707E-11</v>
      </c>
      <c r="BS110" s="22">
        <f t="shared" si="63"/>
        <v>2.6980437052049613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-1.7053025658242404E-13</v>
      </c>
      <c r="CU110" s="17">
        <f>CT110*VLOOKUP('Données projet'!$B$13,Paramètres!$A$1:$I$89,3,0)*VLOOKUP('Données projet'!$B$13,Paramètres!$A$1:$I$89,5,0)</f>
        <v>-1.3567387213697657E-13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299.10536994156814</v>
      </c>
      <c r="CZ110" s="59">
        <f t="shared" si="96"/>
        <v>292.57799203101769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1.8327874377819364</v>
      </c>
      <c r="DG110" s="21">
        <f>EXP(-LN(2)/25)*DG109+(1-EXP(-LN(2)/25))/(LN(2)/25)*Calculateur!DB110*Calculateur!DD110*VLOOKUP('Données projet'!$B$13,Paramètres!$A$1:$I$89,3,0)*0.475*44/12</f>
        <v>1.2786858896455549</v>
      </c>
      <c r="DH110" s="21">
        <f>EXP(-LN(2)/2)*DH109+(1-EXP(-LN(2)/2))/(LN(2)/2)*DB110*DE110*VLOOKUP('Données projet'!$B$13,Paramètres!$A$1:$I$89,3,0)*0.475*44/12</f>
        <v>2.3081595462405581E-11</v>
      </c>
      <c r="DI110" s="22">
        <f t="shared" si="69"/>
        <v>3.111473327450573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2.2737367544323206E-13</v>
      </c>
      <c r="DP110" s="17">
        <f>DO110*VLOOKUP('Données projet'!$B$14,Paramètres!$A$1:$I$89,3,0)*VLOOKUP('Données projet'!$B$14,Paramètres!$A$1:$I$89,5,0)</f>
        <v>1.4897523215040565E-13</v>
      </c>
      <c r="DQ110" s="13">
        <f t="shared" si="97"/>
        <v>2.136562777003313E-12</v>
      </c>
      <c r="DR110" s="20">
        <f t="shared" si="70"/>
        <v>3.9806453659427267E-12</v>
      </c>
      <c r="DS110" s="59">
        <f t="shared" si="71"/>
        <v>293.33333333333729</v>
      </c>
      <c r="DT110" s="59">
        <f ca="1">AVERAGE(OFFSET($DS$3,0,0,'Données projet'!$E$14+1,1))-AVERAGE(OFFSET($H$3,0,0,'Données projet'!$E$14+1,1))</f>
        <v>295.92103934364718</v>
      </c>
      <c r="DU110" s="59">
        <f t="shared" si="98"/>
        <v>304.84379909635476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0.97074058912967043</v>
      </c>
      <c r="EB110" s="21">
        <f>EXP(-LN(2)/25)*EB109+(1-EXP(-LN(2)/25))/(LN(2)/25)*Calculateur!DW110*Calculateur!DY110*VLOOKUP('Données projet'!$B$14,Paramètres!$A$1:$I$89,3,0)*0.475*44/12</f>
        <v>0.84579341382113382</v>
      </c>
      <c r="EC110" s="21">
        <f>EXP(-LN(2)/2)*EC109+(1-EXP(-LN(2)/2))/(LN(2)/2)*DW110*DZ110*VLOOKUP('Données projet'!$B$14,Paramètres!$A$1:$I$89,3,0)*0.475*44/12</f>
        <v>1.4803654804506632E-11</v>
      </c>
      <c r="ED110" s="22">
        <f t="shared" si="72"/>
        <v>1.8165340029656081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207.2913533618397</v>
      </c>
      <c r="EP110" s="59">
        <f t="shared" si="100"/>
        <v>230.81096055024483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1.5065897896059584</v>
      </c>
      <c r="EW110" s="21">
        <f>EXP(-LN(2)/25)*EW109+(1-EXP(-LN(2)/25))/(LN(2)/25)*Calculateur!ER110*Calculateur!ET110*VLOOKUP('Données projet'!$B$15,Paramètres!$A$1:$I$89,3,0)*0.475*44/12</f>
        <v>0.71322951379990052</v>
      </c>
      <c r="EX110" s="21">
        <f>EXP(-LN(2)/2)*EX109+(1-EXP(-LN(2)/2))/(LN(2)/2)*ER110*EU110*VLOOKUP('Données projet'!$B$15,Paramètres!$A$1:$I$89,3,0)*0.475*44/12</f>
        <v>7.5874297934725748E-12</v>
      </c>
      <c r="EY110" s="22">
        <f t="shared" si="75"/>
        <v>2.2198193034134461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319.22903094674564</v>
      </c>
      <c r="T111" s="59">
        <f t="shared" si="88"/>
        <v>254.58690973142848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1.9365808688346529</v>
      </c>
      <c r="AA111" s="21">
        <f>EXP(-LN(2)/25)*AA110+(1-EXP(-LN(2)/25))/(LN(2)/25)*Calculateur!V111*Calculateur!X111*VLOOKUP('Données projet'!$B$9,Paramètres!$A$1:$I$89,3,0)*0.475*44/12</f>
        <v>1.2826633939451983</v>
      </c>
      <c r="AB111" s="21">
        <f>EXP(-LN(2)/2)*AB110+(1-EXP(-LN(2)/2))/(LN(2)/2)*V111*Y111*VLOOKUP('Données projet'!$B$9,Paramètres!$A$1:$I$89,3,0)*0.475*44/12</f>
        <v>2.008733398469925E-11</v>
      </c>
      <c r="AC111" s="22">
        <f t="shared" si="57"/>
        <v>3.2192442627999385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-3.4106051316484809E-13</v>
      </c>
      <c r="AJ111" s="13">
        <f>AI111*VLOOKUP('Données projet'!$B$10,Paramètres!$A$1:$I$89,3,0)*VLOOKUP('Données projet'!$B$10,Paramètres!$A$1:$I$89,5,0)</f>
        <v>-1.9065282685915009E-13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544.48194192356823</v>
      </c>
      <c r="AO111" s="59">
        <f t="shared" si="90"/>
        <v>668.20427590250733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1.5664210527929752</v>
      </c>
      <c r="AV111" s="21">
        <f>EXP(-LN(2)/25)*AV110+(1-EXP(-LN(2)/25))/(LN(2)/25)*Calculateur!AQ111*Calculateur!AS111*VLOOKUP('Données projet'!$B$10,Paramètres!$A$1:$I$89,3,0)*0.475*44/12</f>
        <v>4.9014052385216687</v>
      </c>
      <c r="AW111" s="21">
        <f>EXP(-LN(2)/2)*AW110+(1-EXP(-LN(2)/2))/(LN(2)/2)*AQ111*AT111*VLOOKUP('Données projet'!$B$10,Paramètres!$A$1:$I$89,3,0)*0.475*44/12</f>
        <v>2.6226112394829473E-11</v>
      </c>
      <c r="AX111" s="21">
        <f t="shared" si="60"/>
        <v>6.4678262913408702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405.7176439604217</v>
      </c>
      <c r="BJ111" s="59">
        <f t="shared" si="92"/>
        <v>278.21741231699929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1.5594020782916371</v>
      </c>
      <c r="BQ111" s="21">
        <f>EXP(-LN(2)/25)*BQ110+(1-EXP(-LN(2)/25))/(LN(2)/25)*Calculateur!BL111*Calculateur!BN111*VLOOKUP('Données projet'!$B$11,Paramètres!$A$1:$I$89,3,0)*0.475*44/12</f>
        <v>1.0771677676904228</v>
      </c>
      <c r="BR111" s="21">
        <f>EXP(-LN(2)/2)*BR110+(1-EXP(-LN(2)/2))/(LN(2)/2)*BL111*BO111*VLOOKUP('Données projet'!$B$11,Paramètres!$A$1:$I$89,3,0)*0.475*44/12</f>
        <v>1.5524770041043131E-11</v>
      </c>
      <c r="BS111" s="22">
        <f t="shared" si="63"/>
        <v>2.636569845997585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-1.7053025658242404E-13</v>
      </c>
      <c r="CU111" s="17">
        <f>CT111*VLOOKUP('Données projet'!$B$13,Paramètres!$A$1:$I$89,3,0)*VLOOKUP('Données projet'!$B$13,Paramètres!$A$1:$I$89,5,0)</f>
        <v>-1.3567387213697657E-13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299.10536994156814</v>
      </c>
      <c r="CZ111" s="59">
        <f t="shared" si="96"/>
        <v>292.57799203101769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1.7968475940169872</v>
      </c>
      <c r="DG111" s="21">
        <f>EXP(-LN(2)/25)*DG110+(1-EXP(-LN(2)/25))/(LN(2)/25)*Calculateur!DB111*Calculateur!DD111*VLOOKUP('Données projet'!$B$13,Paramètres!$A$1:$I$89,3,0)*0.475*44/12</f>
        <v>1.2437201567500287</v>
      </c>
      <c r="DH111" s="21">
        <f>EXP(-LN(2)/2)*DH110+(1-EXP(-LN(2)/2))/(LN(2)/2)*DB111*DE111*VLOOKUP('Données projet'!$B$13,Paramètres!$A$1:$I$89,3,0)*0.475*44/12</f>
        <v>1.6321152672071631E-11</v>
      </c>
      <c r="DI111" s="22">
        <f t="shared" si="69"/>
        <v>3.0405677507833371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2.2737367544323206E-13</v>
      </c>
      <c r="DP111" s="17">
        <f>DO111*VLOOKUP('Données projet'!$B$14,Paramètres!$A$1:$I$89,3,0)*VLOOKUP('Données projet'!$B$14,Paramètres!$A$1:$I$89,5,0)</f>
        <v>1.4897523215040565E-13</v>
      </c>
      <c r="DQ111" s="13">
        <f t="shared" si="97"/>
        <v>2.136562777003313E-12</v>
      </c>
      <c r="DR111" s="20">
        <f t="shared" si="70"/>
        <v>3.9806453659427267E-12</v>
      </c>
      <c r="DS111" s="59">
        <f t="shared" si="71"/>
        <v>293.33333333333729</v>
      </c>
      <c r="DT111" s="59">
        <f ca="1">AVERAGE(OFFSET($DS$3,0,0,'Données projet'!$E$14+1,1))-AVERAGE(OFFSET($H$3,0,0,'Données projet'!$E$14+1,1))</f>
        <v>295.92103934364718</v>
      </c>
      <c r="DU111" s="59">
        <f t="shared" si="98"/>
        <v>304.84379909635476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0.95170495827013257</v>
      </c>
      <c r="EB111" s="21">
        <f>EXP(-LN(2)/25)*EB110+(1-EXP(-LN(2)/25))/(LN(2)/25)*Calculateur!DW111*Calculateur!DY111*VLOOKUP('Données projet'!$B$14,Paramètres!$A$1:$I$89,3,0)*0.475*44/12</f>
        <v>0.82266514844185235</v>
      </c>
      <c r="EC111" s="21">
        <f>EXP(-LN(2)/2)*EC110+(1-EXP(-LN(2)/2))/(LN(2)/2)*DW111*DZ111*VLOOKUP('Données projet'!$B$14,Paramètres!$A$1:$I$89,3,0)*0.475*44/12</f>
        <v>1.0467764698611454E-11</v>
      </c>
      <c r="ED111" s="22">
        <f t="shared" si="72"/>
        <v>1.7743701067224527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207.2913533618397</v>
      </c>
      <c r="EP111" s="59">
        <f t="shared" si="100"/>
        <v>230.81096055024483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1.4770464827608205</v>
      </c>
      <c r="EW111" s="21">
        <f>EXP(-LN(2)/25)*EW110+(1-EXP(-LN(2)/25))/(LN(2)/25)*Calculateur!ER111*Calculateur!ET111*VLOOKUP('Données projet'!$B$15,Paramètres!$A$1:$I$89,3,0)*0.475*44/12</f>
        <v>0.69372621523793221</v>
      </c>
      <c r="EX111" s="21">
        <f>EXP(-LN(2)/2)*EX110+(1-EXP(-LN(2)/2))/(LN(2)/2)*ER111*EU111*VLOOKUP('Données projet'!$B$15,Paramètres!$A$1:$I$89,3,0)*0.475*44/12</f>
        <v>5.3651230587413036E-12</v>
      </c>
      <c r="EY111" s="22">
        <f t="shared" si="75"/>
        <v>2.1707726980041175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319.22903094674564</v>
      </c>
      <c r="T112" s="59">
        <f t="shared" si="88"/>
        <v>254.58690973142848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1.8986056991945017</v>
      </c>
      <c r="AA112" s="21">
        <f>EXP(-LN(2)/25)*AA111+(1-EXP(-LN(2)/25))/(LN(2)/25)*Calculateur!V112*Calculateur!X112*VLOOKUP('Données projet'!$B$9,Paramètres!$A$1:$I$89,3,0)*0.475*44/12</f>
        <v>1.2475888959854307</v>
      </c>
      <c r="AB112" s="21">
        <f>EXP(-LN(2)/2)*AB111+(1-EXP(-LN(2)/2))/(LN(2)/2)*V112*Y112*VLOOKUP('Données projet'!$B$9,Paramètres!$A$1:$I$89,3,0)*0.475*44/12</f>
        <v>1.4203890076539833E-11</v>
      </c>
      <c r="AC112" s="22">
        <f t="shared" si="57"/>
        <v>3.1461945951941361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-3.4106051316484809E-13</v>
      </c>
      <c r="AJ112" s="13">
        <f>AI112*VLOOKUP('Données projet'!$B$10,Paramètres!$A$1:$I$89,3,0)*VLOOKUP('Données projet'!$B$10,Paramètres!$A$1:$I$89,5,0)</f>
        <v>-1.9065282685915009E-13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544.48194192356823</v>
      </c>
      <c r="AO112" s="59">
        <f t="shared" si="90"/>
        <v>668.20427590250733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1.5357044913702069</v>
      </c>
      <c r="AV112" s="21">
        <f>EXP(-LN(2)/25)*AV111+(1-EXP(-LN(2)/25))/(LN(2)/25)*Calculateur!AQ112*Calculateur!AS112*VLOOKUP('Données projet'!$B$10,Paramètres!$A$1:$I$89,3,0)*0.475*44/12</f>
        <v>4.7673760545205948</v>
      </c>
      <c r="AW112" s="21">
        <f>EXP(-LN(2)/2)*AW111+(1-EXP(-LN(2)/2))/(LN(2)/2)*AQ112*AT112*VLOOKUP('Données projet'!$B$10,Paramètres!$A$1:$I$89,3,0)*0.475*44/12</f>
        <v>1.8544661918544486E-11</v>
      </c>
      <c r="AX112" s="21">
        <f t="shared" si="60"/>
        <v>6.3030805459093457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405.7176439604217</v>
      </c>
      <c r="BJ112" s="59">
        <f t="shared" si="92"/>
        <v>278.21741231699929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1.5288231546776885</v>
      </c>
      <c r="BQ112" s="21">
        <f>EXP(-LN(2)/25)*BQ111+(1-EXP(-LN(2)/25))/(LN(2)/25)*Calculateur!BL112*Calculateur!BN112*VLOOKUP('Données projet'!$B$11,Paramètres!$A$1:$I$89,3,0)*0.475*44/12</f>
        <v>1.0477125584371372</v>
      </c>
      <c r="BR112" s="21">
        <f>EXP(-LN(2)/2)*BR111+(1-EXP(-LN(2)/2))/(LN(2)/2)*BL112*BO112*VLOOKUP('Données projet'!$B$11,Paramètres!$A$1:$I$89,3,0)*0.475*44/12</f>
        <v>1.0977670172383354E-11</v>
      </c>
      <c r="BS112" s="22">
        <f t="shared" si="63"/>
        <v>2.5765357131258035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-1.7053025658242404E-13</v>
      </c>
      <c r="CU112" s="17">
        <f>CT112*VLOOKUP('Données projet'!$B$13,Paramètres!$A$1:$I$89,3,0)*VLOOKUP('Données projet'!$B$13,Paramètres!$A$1:$I$89,5,0)</f>
        <v>-1.3567387213697657E-13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299.10536994156814</v>
      </c>
      <c r="CZ112" s="59">
        <f t="shared" si="96"/>
        <v>292.57799203101769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1.7616125086671286</v>
      </c>
      <c r="DG112" s="21">
        <f>EXP(-LN(2)/25)*DG111+(1-EXP(-LN(2)/25))/(LN(2)/25)*Calculateur!DB112*Calculateur!DD112*VLOOKUP('Données projet'!$B$13,Paramètres!$A$1:$I$89,3,0)*0.475*44/12</f>
        <v>1.2097105636592986</v>
      </c>
      <c r="DH112" s="21">
        <f>EXP(-LN(2)/2)*DH111+(1-EXP(-LN(2)/2))/(LN(2)/2)*DB112*DE112*VLOOKUP('Données projet'!$B$13,Paramètres!$A$1:$I$89,3,0)*0.475*44/12</f>
        <v>1.154079773120279E-11</v>
      </c>
      <c r="DI112" s="22">
        <f t="shared" si="69"/>
        <v>2.9713230723379684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2.2737367544323206E-13</v>
      </c>
      <c r="DP112" s="17">
        <f>DO112*VLOOKUP('Données projet'!$B$14,Paramètres!$A$1:$I$89,3,0)*VLOOKUP('Données projet'!$B$14,Paramètres!$A$1:$I$89,5,0)</f>
        <v>1.4897523215040565E-13</v>
      </c>
      <c r="DQ112" s="13">
        <f t="shared" si="97"/>
        <v>2.136562777003313E-12</v>
      </c>
      <c r="DR112" s="20">
        <f t="shared" si="70"/>
        <v>3.9806453659427267E-12</v>
      </c>
      <c r="DS112" s="59">
        <f t="shared" si="71"/>
        <v>293.33333333333729</v>
      </c>
      <c r="DT112" s="59">
        <f ca="1">AVERAGE(OFFSET($DS$3,0,0,'Données projet'!$E$14+1,1))-AVERAGE(OFFSET($H$3,0,0,'Données projet'!$E$14+1,1))</f>
        <v>295.92103934364718</v>
      </c>
      <c r="DU112" s="59">
        <f t="shared" si="98"/>
        <v>304.84379909635476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0.93304260452116194</v>
      </c>
      <c r="EB112" s="21">
        <f>EXP(-LN(2)/25)*EB111+(1-EXP(-LN(2)/25))/(LN(2)/25)*Calculateur!DW112*Calculateur!DY112*VLOOKUP('Données projet'!$B$14,Paramètres!$A$1:$I$89,3,0)*0.475*44/12</f>
        <v>0.80016932669563001</v>
      </c>
      <c r="EC112" s="21">
        <f>EXP(-LN(2)/2)*EC111+(1-EXP(-LN(2)/2))/(LN(2)/2)*DW112*DZ112*VLOOKUP('Données projet'!$B$14,Paramètres!$A$1:$I$89,3,0)*0.475*44/12</f>
        <v>7.4018274022533158E-12</v>
      </c>
      <c r="ED112" s="22">
        <f t="shared" si="72"/>
        <v>1.7332119312241938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207.2913533618397</v>
      </c>
      <c r="EP112" s="59">
        <f t="shared" si="100"/>
        <v>230.81096055024483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1.4480825021432779</v>
      </c>
      <c r="EW112" s="21">
        <f>EXP(-LN(2)/25)*EW111+(1-EXP(-LN(2)/25))/(LN(2)/25)*Calculateur!ER112*Calculateur!ET112*VLOOKUP('Données projet'!$B$15,Paramètres!$A$1:$I$89,3,0)*0.475*44/12</f>
        <v>0.67475623540077478</v>
      </c>
      <c r="EX112" s="21">
        <f>EXP(-LN(2)/2)*EX111+(1-EXP(-LN(2)/2))/(LN(2)/2)*ER112*EU112*VLOOKUP('Données projet'!$B$15,Paramètres!$A$1:$I$89,3,0)*0.475*44/12</f>
        <v>3.7937148967362874E-12</v>
      </c>
      <c r="EY112" s="22">
        <f t="shared" si="75"/>
        <v>2.1228387375478466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319.22903094674564</v>
      </c>
      <c r="T113" s="59">
        <f t="shared" si="88"/>
        <v>254.58690973142848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1.8613751994684276</v>
      </c>
      <c r="AA113" s="21">
        <f>EXP(-LN(2)/25)*AA112+(1-EXP(-LN(2)/25))/(LN(2)/25)*Calculateur!V113*Calculateur!X113*VLOOKUP('Données projet'!$B$9,Paramètres!$A$1:$I$89,3,0)*0.475*44/12</f>
        <v>1.2134735120168605</v>
      </c>
      <c r="AB113" s="21">
        <f>EXP(-LN(2)/2)*AB112+(1-EXP(-LN(2)/2))/(LN(2)/2)*V113*Y113*VLOOKUP('Données projet'!$B$9,Paramètres!$A$1:$I$89,3,0)*0.475*44/12</f>
        <v>1.0043666992349627E-11</v>
      </c>
      <c r="AC113" s="22">
        <f t="shared" si="57"/>
        <v>3.0748487114953313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-3.4106051316484809E-13</v>
      </c>
      <c r="AJ113" s="13">
        <f>AI113*VLOOKUP('Données projet'!$B$10,Paramètres!$A$1:$I$89,3,0)*VLOOKUP('Données projet'!$B$10,Paramètres!$A$1:$I$89,5,0)</f>
        <v>-1.9065282685915009E-13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544.48194192356823</v>
      </c>
      <c r="AO113" s="59">
        <f t="shared" si="90"/>
        <v>668.20427590250733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1.5055902629816866</v>
      </c>
      <c r="AV113" s="21">
        <f>EXP(-LN(2)/25)*AV112+(1-EXP(-LN(2)/25))/(LN(2)/25)*Calculateur!AQ113*Calculateur!AS113*VLOOKUP('Données projet'!$B$10,Paramètres!$A$1:$I$89,3,0)*0.475*44/12</f>
        <v>4.637011905604318</v>
      </c>
      <c r="AW113" s="21">
        <f>EXP(-LN(2)/2)*AW112+(1-EXP(-LN(2)/2))/(LN(2)/2)*AQ113*AT113*VLOOKUP('Données projet'!$B$10,Paramètres!$A$1:$I$89,3,0)*0.475*44/12</f>
        <v>1.3113056197414736E-11</v>
      </c>
      <c r="AX113" s="21">
        <f t="shared" si="60"/>
        <v>6.1426021685991179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405.7176439604217</v>
      </c>
      <c r="BJ113" s="59">
        <f t="shared" si="92"/>
        <v>278.21741231699929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1.4988438651045075</v>
      </c>
      <c r="BQ113" s="21">
        <f>EXP(-LN(2)/25)*BQ112+(1-EXP(-LN(2)/25))/(LN(2)/25)*Calculateur!BL113*Calculateur!BN113*VLOOKUP('Données projet'!$B$11,Paramètres!$A$1:$I$89,3,0)*0.475*44/12</f>
        <v>1.0190628034298648</v>
      </c>
      <c r="BR113" s="21">
        <f>EXP(-LN(2)/2)*BR112+(1-EXP(-LN(2)/2))/(LN(2)/2)*BL113*BO113*VLOOKUP('Données projet'!$B$11,Paramètres!$A$1:$I$89,3,0)*0.475*44/12</f>
        <v>7.7623850205215654E-12</v>
      </c>
      <c r="BS113" s="22">
        <f t="shared" si="63"/>
        <v>2.5179066685421345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-1.7053025658242404E-13</v>
      </c>
      <c r="CU113" s="17">
        <f>CT113*VLOOKUP('Données projet'!$B$13,Paramètres!$A$1:$I$89,3,0)*VLOOKUP('Données projet'!$B$13,Paramètres!$A$1:$I$89,5,0)</f>
        <v>-1.3567387213697657E-13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299.10536994156814</v>
      </c>
      <c r="CZ113" s="59">
        <f t="shared" si="96"/>
        <v>292.57799203101769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1.7270683618497007</v>
      </c>
      <c r="DG113" s="21">
        <f>EXP(-LN(2)/25)*DG112+(1-EXP(-LN(2)/25))/(LN(2)/25)*Calculateur!DB113*Calculateur!DD113*VLOOKUP('Données projet'!$B$13,Paramètres!$A$1:$I$89,3,0)*0.475*44/12</f>
        <v>1.1766309646801214</v>
      </c>
      <c r="DH113" s="21">
        <f>EXP(-LN(2)/2)*DH112+(1-EXP(-LN(2)/2))/(LN(2)/2)*DB113*DE113*VLOOKUP('Données projet'!$B$13,Paramètres!$A$1:$I$89,3,0)*0.475*44/12</f>
        <v>8.1605763360358154E-12</v>
      </c>
      <c r="DI113" s="22">
        <f t="shared" si="69"/>
        <v>2.9036993265379829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2.2737367544323206E-13</v>
      </c>
      <c r="DP113" s="17">
        <f>DO113*VLOOKUP('Données projet'!$B$14,Paramètres!$A$1:$I$89,3,0)*VLOOKUP('Données projet'!$B$14,Paramètres!$A$1:$I$89,5,0)</f>
        <v>1.4897523215040565E-13</v>
      </c>
      <c r="DQ113" s="13">
        <f t="shared" si="97"/>
        <v>2.136562777003313E-12</v>
      </c>
      <c r="DR113" s="20">
        <f t="shared" si="70"/>
        <v>3.9806453659427267E-12</v>
      </c>
      <c r="DS113" s="59">
        <f t="shared" si="71"/>
        <v>293.33333333333729</v>
      </c>
      <c r="DT113" s="59">
        <f ca="1">AVERAGE(OFFSET($DS$3,0,0,'Données projet'!$E$14+1,1))-AVERAGE(OFFSET($H$3,0,0,'Données projet'!$E$14+1,1))</f>
        <v>295.92103934364718</v>
      </c>
      <c r="DU113" s="59">
        <f t="shared" si="98"/>
        <v>304.84379909635476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0.91474620814629681</v>
      </c>
      <c r="EB113" s="21">
        <f>EXP(-LN(2)/25)*EB112+(1-EXP(-LN(2)/25))/(LN(2)/25)*Calculateur!DW113*Calculateur!DY113*VLOOKUP('Données projet'!$B$14,Paramètres!$A$1:$I$89,3,0)*0.475*44/12</f>
        <v>0.77828865437806194</v>
      </c>
      <c r="EC113" s="21">
        <f>EXP(-LN(2)/2)*EC112+(1-EXP(-LN(2)/2))/(LN(2)/2)*DW113*DZ113*VLOOKUP('Données projet'!$B$14,Paramètres!$A$1:$I$89,3,0)*0.475*44/12</f>
        <v>5.2338823493057269E-12</v>
      </c>
      <c r="ED113" s="22">
        <f t="shared" si="72"/>
        <v>1.6930348625295926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207.2913533618397</v>
      </c>
      <c r="EP113" s="59">
        <f t="shared" si="100"/>
        <v>230.81096055024483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1.4196864875193616</v>
      </c>
      <c r="EW113" s="21">
        <f>EXP(-LN(2)/25)*EW112+(1-EXP(-LN(2)/25))/(LN(2)/25)*Calculateur!ER113*Calculateur!ET113*VLOOKUP('Données projet'!$B$15,Paramètres!$A$1:$I$89,3,0)*0.475*44/12</f>
        <v>0.65630499065985237</v>
      </c>
      <c r="EX113" s="21">
        <f>EXP(-LN(2)/2)*EX112+(1-EXP(-LN(2)/2))/(LN(2)/2)*ER113*EU113*VLOOKUP('Données projet'!$B$15,Paramètres!$A$1:$I$89,3,0)*0.475*44/12</f>
        <v>2.6825615293706518E-12</v>
      </c>
      <c r="EY113" s="22">
        <f t="shared" si="75"/>
        <v>2.0759914781818964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319.22903094674564</v>
      </c>
      <c r="T114" s="59">
        <f t="shared" si="88"/>
        <v>254.58690973142848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1.8248747671336192</v>
      </c>
      <c r="AA114" s="21">
        <f>EXP(-LN(2)/25)*AA113+(1-EXP(-LN(2)/25))/(LN(2)/25)*Calculateur!V114*Calculateur!X114*VLOOKUP('Données projet'!$B$9,Paramètres!$A$1:$I$89,3,0)*0.475*44/12</f>
        <v>1.1802910150169608</v>
      </c>
      <c r="AB114" s="21">
        <f>EXP(-LN(2)/2)*AB113+(1-EXP(-LN(2)/2))/(LN(2)/2)*V114*Y114*VLOOKUP('Données projet'!$B$9,Paramètres!$A$1:$I$89,3,0)*0.475*44/12</f>
        <v>7.1019450382699182E-12</v>
      </c>
      <c r="AC114" s="22">
        <f t="shared" si="57"/>
        <v>3.0051657821576816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-3.4106051316484809E-13</v>
      </c>
      <c r="AJ114" s="13">
        <f>AI114*VLOOKUP('Données projet'!$B$10,Paramètres!$A$1:$I$89,3,0)*VLOOKUP('Données projet'!$B$10,Paramètres!$A$1:$I$89,5,0)</f>
        <v>-1.9065282685915009E-13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544.48194192356823</v>
      </c>
      <c r="AO114" s="59">
        <f t="shared" si="90"/>
        <v>668.20427590250733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1.4760665562439996</v>
      </c>
      <c r="AV114" s="21">
        <f>EXP(-LN(2)/25)*AV113+(1-EXP(-LN(2)/25))/(LN(2)/25)*Calculateur!AQ114*Calculateur!AS114*VLOOKUP('Données projet'!$B$10,Paramètres!$A$1:$I$89,3,0)*0.475*44/12</f>
        <v>4.5102125711957095</v>
      </c>
      <c r="AW114" s="21">
        <f>EXP(-LN(2)/2)*AW113+(1-EXP(-LN(2)/2))/(LN(2)/2)*AQ114*AT114*VLOOKUP('Données projet'!$B$10,Paramètres!$A$1:$I$89,3,0)*0.475*44/12</f>
        <v>9.2723309592722428E-12</v>
      </c>
      <c r="AX114" s="21">
        <f t="shared" si="60"/>
        <v>5.9862791274489817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405.7176439604217</v>
      </c>
      <c r="BJ114" s="59">
        <f t="shared" si="92"/>
        <v>278.21741231699929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1.4694524511142957</v>
      </c>
      <c r="BQ114" s="21">
        <f>EXP(-LN(2)/25)*BQ113+(1-EXP(-LN(2)/25))/(LN(2)/25)*Calculateur!BL114*Calculateur!BN114*VLOOKUP('Données projet'!$B$11,Paramètres!$A$1:$I$89,3,0)*0.475*44/12</f>
        <v>0.99119647747989137</v>
      </c>
      <c r="BR114" s="21">
        <f>EXP(-LN(2)/2)*BR113+(1-EXP(-LN(2)/2))/(LN(2)/2)*BL114*BO114*VLOOKUP('Données projet'!$B$11,Paramètres!$A$1:$I$89,3,0)*0.475*44/12</f>
        <v>5.4888350861916768E-12</v>
      </c>
      <c r="BS114" s="22">
        <f t="shared" si="63"/>
        <v>2.4606489285996762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-1.7053025658242404E-13</v>
      </c>
      <c r="CU114" s="17">
        <f>CT114*VLOOKUP('Données projet'!$B$13,Paramètres!$A$1:$I$89,3,0)*VLOOKUP('Données projet'!$B$13,Paramètres!$A$1:$I$89,5,0)</f>
        <v>-1.3567387213697657E-13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299.10536994156814</v>
      </c>
      <c r="CZ114" s="59">
        <f t="shared" si="96"/>
        <v>292.57799203101769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1.6932016046815135</v>
      </c>
      <c r="DG114" s="21">
        <f>EXP(-LN(2)/25)*DG113+(1-EXP(-LN(2)/25))/(LN(2)/25)*Calculateur!DB114*Calculateur!DD114*VLOOKUP('Données projet'!$B$13,Paramètres!$A$1:$I$89,3,0)*0.475*44/12</f>
        <v>1.1444559290746104</v>
      </c>
      <c r="DH114" s="21">
        <f>EXP(-LN(2)/2)*DH113+(1-EXP(-LN(2)/2))/(LN(2)/2)*DB114*DE114*VLOOKUP('Données projet'!$B$13,Paramètres!$A$1:$I$89,3,0)*0.475*44/12</f>
        <v>5.7703988656013952E-12</v>
      </c>
      <c r="DI114" s="22">
        <f t="shared" si="69"/>
        <v>2.8376575337618943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2.2737367544323206E-13</v>
      </c>
      <c r="DP114" s="17">
        <f>DO114*VLOOKUP('Données projet'!$B$14,Paramètres!$A$1:$I$89,3,0)*VLOOKUP('Données projet'!$B$14,Paramètres!$A$1:$I$89,5,0)</f>
        <v>1.4897523215040565E-13</v>
      </c>
      <c r="DQ114" s="13">
        <f t="shared" si="97"/>
        <v>2.136562777003313E-12</v>
      </c>
      <c r="DR114" s="20">
        <f t="shared" si="70"/>
        <v>3.9806453659427267E-12</v>
      </c>
      <c r="DS114" s="59">
        <f t="shared" si="71"/>
        <v>293.33333333333729</v>
      </c>
      <c r="DT114" s="59">
        <f ca="1">AVERAGE(OFFSET($DS$3,0,0,'Données projet'!$E$14+1,1))-AVERAGE(OFFSET($H$3,0,0,'Données projet'!$E$14+1,1))</f>
        <v>295.92103934364718</v>
      </c>
      <c r="DU114" s="59">
        <f t="shared" si="98"/>
        <v>304.84379909635476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0.89680859294464288</v>
      </c>
      <c r="EB114" s="21">
        <f>EXP(-LN(2)/25)*EB113+(1-EXP(-LN(2)/25))/(LN(2)/25)*Calculateur!DW114*Calculateur!DY114*VLOOKUP('Données projet'!$B$14,Paramètres!$A$1:$I$89,3,0)*0.475*44/12</f>
        <v>0.75700631019567233</v>
      </c>
      <c r="EC114" s="21">
        <f>EXP(-LN(2)/2)*EC113+(1-EXP(-LN(2)/2))/(LN(2)/2)*DW114*DZ114*VLOOKUP('Données projet'!$B$14,Paramètres!$A$1:$I$89,3,0)*0.475*44/12</f>
        <v>3.7009137011266579E-12</v>
      </c>
      <c r="ED114" s="22">
        <f t="shared" si="72"/>
        <v>1.6538149031440159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207.2913533618397</v>
      </c>
      <c r="EP114" s="59">
        <f t="shared" si="100"/>
        <v>230.81096055024483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1.3918473014223613</v>
      </c>
      <c r="EW114" s="21">
        <f>EXP(-LN(2)/25)*EW113+(1-EXP(-LN(2)/25))/(LN(2)/25)*Calculateur!ER114*Calculateur!ET114*VLOOKUP('Données projet'!$B$15,Paramètres!$A$1:$I$89,3,0)*0.475*44/12</f>
        <v>0.63835829617667927</v>
      </c>
      <c r="EX114" s="21">
        <f>EXP(-LN(2)/2)*EX113+(1-EXP(-LN(2)/2))/(LN(2)/2)*ER114*EU114*VLOOKUP('Données projet'!$B$15,Paramètres!$A$1:$I$89,3,0)*0.475*44/12</f>
        <v>1.8968574483681437E-12</v>
      </c>
      <c r="EY114" s="22">
        <f t="shared" si="75"/>
        <v>2.0302055976009372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319.22903094674564</v>
      </c>
      <c r="T115" s="59">
        <f t="shared" si="88"/>
        <v>254.58690973142848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1.789090086013831</v>
      </c>
      <c r="AA115" s="21">
        <f>EXP(-LN(2)/25)*AA114+(1-EXP(-LN(2)/25))/(LN(2)/25)*Calculateur!V115*Calculateur!X115*VLOOKUP('Données projet'!$B$9,Paramètres!$A$1:$I$89,3,0)*0.475*44/12</f>
        <v>1.148015895142515</v>
      </c>
      <c r="AB115" s="21">
        <f>EXP(-LN(2)/2)*AB114+(1-EXP(-LN(2)/2))/(LN(2)/2)*V115*Y115*VLOOKUP('Données projet'!$B$9,Paramètres!$A$1:$I$89,3,0)*0.475*44/12</f>
        <v>5.0218334961748141E-12</v>
      </c>
      <c r="AC115" s="22">
        <f t="shared" si="57"/>
        <v>2.937105981161368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-3.4106051316484809E-13</v>
      </c>
      <c r="AJ115" s="13">
        <f>AI115*VLOOKUP('Données projet'!$B$10,Paramètres!$A$1:$I$89,3,0)*VLOOKUP('Données projet'!$B$10,Paramètres!$A$1:$I$89,5,0)</f>
        <v>-1.9065282685915009E-13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544.48194192356823</v>
      </c>
      <c r="AO115" s="59">
        <f t="shared" si="90"/>
        <v>668.20427590250733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1.4471217913877557</v>
      </c>
      <c r="AV115" s="21">
        <f>EXP(-LN(2)/25)*AV114+(1-EXP(-LN(2)/25))/(LN(2)/25)*Calculateur!AQ115*Calculateur!AS115*VLOOKUP('Données projet'!$B$10,Paramètres!$A$1:$I$89,3,0)*0.475*44/12</f>
        <v>4.3868805712545917</v>
      </c>
      <c r="AW115" s="21">
        <f>EXP(-LN(2)/2)*AW114+(1-EXP(-LN(2)/2))/(LN(2)/2)*AQ115*AT115*VLOOKUP('Données projet'!$B$10,Paramètres!$A$1:$I$89,3,0)*0.475*44/12</f>
        <v>6.5565280987073682E-12</v>
      </c>
      <c r="AX115" s="21">
        <f t="shared" si="60"/>
        <v>5.8340023626489037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405.7176439604217</v>
      </c>
      <c r="BJ115" s="59">
        <f t="shared" si="92"/>
        <v>278.21741231699929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1.4406373848254395</v>
      </c>
      <c r="BQ115" s="21">
        <f>EXP(-LN(2)/25)*BQ114+(1-EXP(-LN(2)/25))/(LN(2)/25)*Calculateur!BL115*Calculateur!BN115*VLOOKUP('Données projet'!$B$11,Paramètres!$A$1:$I$89,3,0)*0.475*44/12</f>
        <v>0.96409215767844636</v>
      </c>
      <c r="BR115" s="21">
        <f>EXP(-LN(2)/2)*BR114+(1-EXP(-LN(2)/2))/(LN(2)/2)*BL115*BO115*VLOOKUP('Données projet'!$B$11,Paramètres!$A$1:$I$89,3,0)*0.475*44/12</f>
        <v>3.8811925102607827E-12</v>
      </c>
      <c r="BS115" s="22">
        <f t="shared" si="63"/>
        <v>2.4047295425077673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-1.7053025658242404E-13</v>
      </c>
      <c r="CU115" s="17">
        <f>CT115*VLOOKUP('Données projet'!$B$13,Paramètres!$A$1:$I$89,3,0)*VLOOKUP('Données projet'!$B$13,Paramètres!$A$1:$I$89,5,0)</f>
        <v>-1.3567387213697657E-13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299.10536994156814</v>
      </c>
      <c r="CZ115" s="59">
        <f t="shared" si="96"/>
        <v>292.57799203101769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1.6599989539647122</v>
      </c>
      <c r="DG115" s="21">
        <f>EXP(-LN(2)/25)*DG114+(1-EXP(-LN(2)/25))/(LN(2)/25)*Calculateur!DB115*Calculateur!DD115*VLOOKUP('Données projet'!$B$13,Paramètres!$A$1:$I$89,3,0)*0.475*44/12</f>
        <v>1.1131607215097434</v>
      </c>
      <c r="DH115" s="21">
        <f>EXP(-LN(2)/2)*DH114+(1-EXP(-LN(2)/2))/(LN(2)/2)*DB115*DE115*VLOOKUP('Données projet'!$B$13,Paramètres!$A$1:$I$89,3,0)*0.475*44/12</f>
        <v>4.0802881680179077E-12</v>
      </c>
      <c r="DI115" s="22">
        <f t="shared" si="69"/>
        <v>2.7731596754785359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2.2737367544323206E-13</v>
      </c>
      <c r="DP115" s="17">
        <f>DO115*VLOOKUP('Données projet'!$B$14,Paramètres!$A$1:$I$89,3,0)*VLOOKUP('Données projet'!$B$14,Paramètres!$A$1:$I$89,5,0)</f>
        <v>1.4897523215040565E-13</v>
      </c>
      <c r="DQ115" s="13">
        <f t="shared" si="97"/>
        <v>2.136562777003313E-12</v>
      </c>
      <c r="DR115" s="20">
        <f t="shared" si="70"/>
        <v>3.9806453659427267E-12</v>
      </c>
      <c r="DS115" s="59">
        <f t="shared" si="71"/>
        <v>293.33333333333729</v>
      </c>
      <c r="DT115" s="59">
        <f ca="1">AVERAGE(OFFSET($DS$3,0,0,'Données projet'!$E$14+1,1))-AVERAGE(OFFSET($H$3,0,0,'Données projet'!$E$14+1,1))</f>
        <v>295.92103934364718</v>
      </c>
      <c r="DU115" s="59">
        <f t="shared" si="98"/>
        <v>304.84379909635476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0.87922272343622843</v>
      </c>
      <c r="EB115" s="21">
        <f>EXP(-LN(2)/25)*EB114+(1-EXP(-LN(2)/25))/(LN(2)/25)*Calculateur!DW115*Calculateur!DY115*VLOOKUP('Données projet'!$B$14,Paramètres!$A$1:$I$89,3,0)*0.475*44/12</f>
        <v>0.73630593283414003</v>
      </c>
      <c r="EC115" s="21">
        <f>EXP(-LN(2)/2)*EC114+(1-EXP(-LN(2)/2))/(LN(2)/2)*DW115*DZ115*VLOOKUP('Données projet'!$B$14,Paramètres!$A$1:$I$89,3,0)*0.475*44/12</f>
        <v>2.6169411746528635E-12</v>
      </c>
      <c r="ED115" s="22">
        <f t="shared" si="72"/>
        <v>1.6155286562729856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207.2913533618397</v>
      </c>
      <c r="EP115" s="59">
        <f t="shared" si="100"/>
        <v>230.81096055024483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1.3645540247844965</v>
      </c>
      <c r="EW115" s="21">
        <f>EXP(-LN(2)/25)*EW114+(1-EXP(-LN(2)/25))/(LN(2)/25)*Calculateur!ER115*Calculateur!ET115*VLOOKUP('Données projet'!$B$15,Paramètres!$A$1:$I$89,3,0)*0.475*44/12</f>
        <v>0.62090235499792412</v>
      </c>
      <c r="EX115" s="21">
        <f>EXP(-LN(2)/2)*EX114+(1-EXP(-LN(2)/2))/(LN(2)/2)*ER115*EU115*VLOOKUP('Données projet'!$B$15,Paramètres!$A$1:$I$89,3,0)*0.475*44/12</f>
        <v>1.3412807646853259E-12</v>
      </c>
      <c r="EY115" s="22">
        <f t="shared" si="75"/>
        <v>1.9854563797837621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319.22903094674564</v>
      </c>
      <c r="T116" s="59">
        <f t="shared" si="88"/>
        <v>254.58690973142848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1.7540071206643015</v>
      </c>
      <c r="AA116" s="21">
        <f>EXP(-LN(2)/25)*AA115+(1-EXP(-LN(2)/25))/(LN(2)/25)*Calculateur!V116*Calculateur!X116*VLOOKUP('Données projet'!$B$9,Paramètres!$A$1:$I$89,3,0)*0.475*44/12</f>
        <v>1.1166233401183108</v>
      </c>
      <c r="AB116" s="21">
        <f>EXP(-LN(2)/2)*AB115+(1-EXP(-LN(2)/2))/(LN(2)/2)*V116*Y116*VLOOKUP('Données projet'!$B$9,Paramètres!$A$1:$I$89,3,0)*0.475*44/12</f>
        <v>3.5509725191349595E-12</v>
      </c>
      <c r="AC116" s="22">
        <f t="shared" si="57"/>
        <v>2.8706304607861632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-3.4106051316484809E-13</v>
      </c>
      <c r="AJ116" s="13">
        <f>AI116*VLOOKUP('Données projet'!$B$10,Paramètres!$A$1:$I$89,3,0)*VLOOKUP('Données projet'!$B$10,Paramètres!$A$1:$I$89,5,0)</f>
        <v>-1.9065282685915009E-13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544.48194192356823</v>
      </c>
      <c r="AO116" s="59">
        <f t="shared" si="90"/>
        <v>668.20427590250733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1.4187446157157793</v>
      </c>
      <c r="AV116" s="21">
        <f>EXP(-LN(2)/25)*AV115+(1-EXP(-LN(2)/25))/(LN(2)/25)*Calculateur!AQ116*Calculateur!AS116*VLOOKUP('Données projet'!$B$10,Paramètres!$A$1:$I$89,3,0)*0.475*44/12</f>
        <v>4.2669210913376121</v>
      </c>
      <c r="AW116" s="21">
        <f>EXP(-LN(2)/2)*AW115+(1-EXP(-LN(2)/2))/(LN(2)/2)*AQ116*AT116*VLOOKUP('Données projet'!$B$10,Paramètres!$A$1:$I$89,3,0)*0.475*44/12</f>
        <v>4.6361654796361214E-12</v>
      </c>
      <c r="AX116" s="21">
        <f t="shared" si="60"/>
        <v>5.6856657070580274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405.7176439604217</v>
      </c>
      <c r="BJ116" s="59">
        <f t="shared" si="92"/>
        <v>278.21741231699929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1.4123873644110527</v>
      </c>
      <c r="BQ116" s="21">
        <f>EXP(-LN(2)/25)*BQ115+(1-EXP(-LN(2)/25))/(LN(2)/25)*Calculateur!BL116*Calculateur!BN116*VLOOKUP('Données projet'!$B$11,Paramètres!$A$1:$I$89,3,0)*0.475*44/12</f>
        <v>0.93772900692732608</v>
      </c>
      <c r="BR116" s="21">
        <f>EXP(-LN(2)/2)*BR115+(1-EXP(-LN(2)/2))/(LN(2)/2)*BL116*BO116*VLOOKUP('Données projet'!$B$11,Paramètres!$A$1:$I$89,3,0)*0.475*44/12</f>
        <v>2.7444175430958384E-12</v>
      </c>
      <c r="BS116" s="22">
        <f t="shared" si="63"/>
        <v>2.3501163713411231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-1.7053025658242404E-13</v>
      </c>
      <c r="CU116" s="17">
        <f>CT116*VLOOKUP('Données projet'!$B$13,Paramètres!$A$1:$I$89,3,0)*VLOOKUP('Données projet'!$B$13,Paramètres!$A$1:$I$89,5,0)</f>
        <v>-1.3567387213697657E-13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299.10536994156814</v>
      </c>
      <c r="CZ116" s="59">
        <f t="shared" si="96"/>
        <v>292.57799203101769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1.6274473869768502</v>
      </c>
      <c r="DG116" s="21">
        <f>EXP(-LN(2)/25)*DG115+(1-EXP(-LN(2)/25))/(LN(2)/25)*Calculateur!DB116*Calculateur!DD116*VLOOKUP('Données projet'!$B$13,Paramètres!$A$1:$I$89,3,0)*0.475*44/12</f>
        <v>1.0827212830414814</v>
      </c>
      <c r="DH116" s="21">
        <f>EXP(-LN(2)/2)*DH115+(1-EXP(-LN(2)/2))/(LN(2)/2)*DB116*DE116*VLOOKUP('Données projet'!$B$13,Paramètres!$A$1:$I$89,3,0)*0.475*44/12</f>
        <v>2.8851994328006976E-12</v>
      </c>
      <c r="DI116" s="22">
        <f t="shared" si="69"/>
        <v>2.7101686700212171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2.2737367544323206E-13</v>
      </c>
      <c r="DP116" s="17">
        <f>DO116*VLOOKUP('Données projet'!$B$14,Paramètres!$A$1:$I$89,3,0)*VLOOKUP('Données projet'!$B$14,Paramètres!$A$1:$I$89,5,0)</f>
        <v>1.4897523215040565E-13</v>
      </c>
      <c r="DQ116" s="13">
        <f t="shared" si="97"/>
        <v>2.136562777003313E-12</v>
      </c>
      <c r="DR116" s="20">
        <f t="shared" si="70"/>
        <v>3.9806453659427267E-12</v>
      </c>
      <c r="DS116" s="59">
        <f t="shared" si="71"/>
        <v>293.33333333333729</v>
      </c>
      <c r="DT116" s="59">
        <f ca="1">AVERAGE(OFFSET($DS$3,0,0,'Données projet'!$E$14+1,1))-AVERAGE(OFFSET($H$3,0,0,'Données projet'!$E$14+1,1))</f>
        <v>295.92103934364718</v>
      </c>
      <c r="DU116" s="59">
        <f t="shared" si="98"/>
        <v>304.84379909635476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0.86198170210255276</v>
      </c>
      <c r="EB116" s="21">
        <f>EXP(-LN(2)/25)*EB115+(1-EXP(-LN(2)/25))/(LN(2)/25)*Calculateur!DW116*Calculateur!DY116*VLOOKUP('Données projet'!$B$14,Paramètres!$A$1:$I$89,3,0)*0.475*44/12</f>
        <v>0.71617160838014426</v>
      </c>
      <c r="EC116" s="21">
        <f>EXP(-LN(2)/2)*EC115+(1-EXP(-LN(2)/2))/(LN(2)/2)*DW116*DZ116*VLOOKUP('Données projet'!$B$14,Paramètres!$A$1:$I$89,3,0)*0.475*44/12</f>
        <v>1.850456850563329E-12</v>
      </c>
      <c r="ED116" s="22">
        <f t="shared" si="72"/>
        <v>1.5781533104845475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207.2913533618397</v>
      </c>
      <c r="EP116" s="59">
        <f t="shared" si="100"/>
        <v>230.81096055024483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1.3377959526542453</v>
      </c>
      <c r="EW116" s="21">
        <f>EXP(-LN(2)/25)*EW115+(1-EXP(-LN(2)/25))/(LN(2)/25)*Calculateur!ER116*Calculateur!ET116*VLOOKUP('Données projet'!$B$15,Paramètres!$A$1:$I$89,3,0)*0.475*44/12</f>
        <v>0.60392374744867017</v>
      </c>
      <c r="EX116" s="21">
        <f>EXP(-LN(2)/2)*EX115+(1-EXP(-LN(2)/2))/(LN(2)/2)*ER116*EU116*VLOOKUP('Données projet'!$B$15,Paramètres!$A$1:$I$89,3,0)*0.475*44/12</f>
        <v>9.4842872418407185E-13</v>
      </c>
      <c r="EY116" s="22">
        <f t="shared" si="75"/>
        <v>1.941719700103864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319.22903094674564</v>
      </c>
      <c r="T117" s="59">
        <f t="shared" si="88"/>
        <v>254.58690973142848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1.7196121108667803</v>
      </c>
      <c r="AA117" s="21">
        <f>EXP(-LN(2)/25)*AA116+(1-EXP(-LN(2)/25))/(LN(2)/25)*Calculateur!V117*Calculateur!X117*VLOOKUP('Données projet'!$B$9,Paramètres!$A$1:$I$89,3,0)*0.475*44/12</f>
        <v>1.0860892161621061</v>
      </c>
      <c r="AB117" s="21">
        <f>EXP(-LN(2)/2)*AB116+(1-EXP(-LN(2)/2))/(LN(2)/2)*V117*Y117*VLOOKUP('Données projet'!$B$9,Paramètres!$A$1:$I$89,3,0)*0.475*44/12</f>
        <v>2.5109167480874075E-12</v>
      </c>
      <c r="AC117" s="22">
        <f t="shared" si="57"/>
        <v>2.8057013270313975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-3.4106051316484809E-13</v>
      </c>
      <c r="AJ117" s="13">
        <f>AI117*VLOOKUP('Données projet'!$B$10,Paramètres!$A$1:$I$89,3,0)*VLOOKUP('Données projet'!$B$10,Paramètres!$A$1:$I$89,5,0)</f>
        <v>-1.9065282685915009E-13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544.48194192356823</v>
      </c>
      <c r="AO117" s="59">
        <f t="shared" si="90"/>
        <v>668.20427590250733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1.3909238991503623</v>
      </c>
      <c r="AV117" s="21">
        <f>EXP(-LN(2)/25)*AV116+(1-EXP(-LN(2)/25))/(LN(2)/25)*Calculateur!AQ117*Calculateur!AS117*VLOOKUP('Données projet'!$B$10,Paramètres!$A$1:$I$89,3,0)*0.475*44/12</f>
        <v>4.1502419097073568</v>
      </c>
      <c r="AW117" s="21">
        <f>EXP(-LN(2)/2)*AW116+(1-EXP(-LN(2)/2))/(LN(2)/2)*AQ117*AT117*VLOOKUP('Données projet'!$B$10,Paramètres!$A$1:$I$89,3,0)*0.475*44/12</f>
        <v>3.2782640493536841E-12</v>
      </c>
      <c r="AX117" s="21">
        <f t="shared" si="60"/>
        <v>5.5411658088609972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405.7176439604217</v>
      </c>
      <c r="BJ117" s="59">
        <f t="shared" si="92"/>
        <v>278.21741231699929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1.384691309666181</v>
      </c>
      <c r="BQ117" s="21">
        <f>EXP(-LN(2)/25)*BQ116+(1-EXP(-LN(2)/25))/(LN(2)/25)*Calculateur!BL117*Calculateur!BN117*VLOOKUP('Données projet'!$B$11,Paramètres!$A$1:$I$89,3,0)*0.475*44/12</f>
        <v>0.91208675791987304</v>
      </c>
      <c r="BR117" s="21">
        <f>EXP(-LN(2)/2)*BR116+(1-EXP(-LN(2)/2))/(LN(2)/2)*BL117*BO117*VLOOKUP('Données projet'!$B$11,Paramètres!$A$1:$I$89,3,0)*0.475*44/12</f>
        <v>1.9405962551303913E-12</v>
      </c>
      <c r="BS117" s="22">
        <f t="shared" si="63"/>
        <v>2.2967780675879945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-1.7053025658242404E-13</v>
      </c>
      <c r="CU117" s="17">
        <f>CT117*VLOOKUP('Données projet'!$B$13,Paramètres!$A$1:$I$89,3,0)*VLOOKUP('Données projet'!$B$13,Paramètres!$A$1:$I$89,5,0)</f>
        <v>-1.3567387213697657E-13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299.10536994156814</v>
      </c>
      <c r="CZ117" s="59">
        <f t="shared" si="96"/>
        <v>292.57799203101769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1.5955341363631248</v>
      </c>
      <c r="DG117" s="21">
        <f>EXP(-LN(2)/25)*DG116+(1-EXP(-LN(2)/25))/(LN(2)/25)*Calculateur!DB117*Calculateur!DD117*VLOOKUP('Données projet'!$B$13,Paramètres!$A$1:$I$89,3,0)*0.475*44/12</f>
        <v>1.0531142126188744</v>
      </c>
      <c r="DH117" s="21">
        <f>EXP(-LN(2)/2)*DH116+(1-EXP(-LN(2)/2))/(LN(2)/2)*DB117*DE117*VLOOKUP('Données projet'!$B$13,Paramètres!$A$1:$I$89,3,0)*0.475*44/12</f>
        <v>2.0401440840089539E-12</v>
      </c>
      <c r="DI117" s="22">
        <f t="shared" si="69"/>
        <v>2.6486483489840396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2.2737367544323206E-13</v>
      </c>
      <c r="DP117" s="17">
        <f>DO117*VLOOKUP('Données projet'!$B$14,Paramètres!$A$1:$I$89,3,0)*VLOOKUP('Données projet'!$B$14,Paramètres!$A$1:$I$89,5,0)</f>
        <v>1.4897523215040565E-13</v>
      </c>
      <c r="DQ117" s="13">
        <f t="shared" si="97"/>
        <v>2.136562777003313E-12</v>
      </c>
      <c r="DR117" s="20">
        <f t="shared" si="70"/>
        <v>3.9806453659427267E-12</v>
      </c>
      <c r="DS117" s="59">
        <f t="shared" si="71"/>
        <v>293.33333333333729</v>
      </c>
      <c r="DT117" s="59">
        <f ca="1">AVERAGE(OFFSET($DS$3,0,0,'Données projet'!$E$14+1,1))-AVERAGE(OFFSET($H$3,0,0,'Données projet'!$E$14+1,1))</f>
        <v>295.92103934364718</v>
      </c>
      <c r="DU117" s="59">
        <f t="shared" si="98"/>
        <v>304.84379909635476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0.84507876668124582</v>
      </c>
      <c r="EB117" s="21">
        <f>EXP(-LN(2)/25)*EB116+(1-EXP(-LN(2)/25))/(LN(2)/25)*Calculateur!DW117*Calculateur!DY117*VLOOKUP('Données projet'!$B$14,Paramètres!$A$1:$I$89,3,0)*0.475*44/12</f>
        <v>0.69658785808716117</v>
      </c>
      <c r="EC117" s="21">
        <f>EXP(-LN(2)/2)*EC116+(1-EXP(-LN(2)/2))/(LN(2)/2)*DW117*DZ117*VLOOKUP('Données projet'!$B$14,Paramètres!$A$1:$I$89,3,0)*0.475*44/12</f>
        <v>1.3084705873264317E-12</v>
      </c>
      <c r="ED117" s="22">
        <f t="shared" si="72"/>
        <v>1.5416666247697155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207.2913533618397</v>
      </c>
      <c r="EP117" s="59">
        <f t="shared" si="100"/>
        <v>230.81096055024483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1.311562589997656</v>
      </c>
      <c r="EW117" s="21">
        <f>EXP(-LN(2)/25)*EW116+(1-EXP(-LN(2)/25))/(LN(2)/25)*Calculateur!ER117*Calculateur!ET117*VLOOKUP('Données projet'!$B$15,Paramètres!$A$1:$I$89,3,0)*0.475*44/12</f>
        <v>0.58740942081571668</v>
      </c>
      <c r="EX117" s="21">
        <f>EXP(-LN(2)/2)*EX116+(1-EXP(-LN(2)/2))/(LN(2)/2)*ER117*EU117*VLOOKUP('Données projet'!$B$15,Paramètres!$A$1:$I$89,3,0)*0.475*44/12</f>
        <v>6.7064038234266295E-13</v>
      </c>
      <c r="EY117" s="22">
        <f t="shared" si="75"/>
        <v>1.8989720108140431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319.22903094674564</v>
      </c>
      <c r="T118" s="59">
        <f t="shared" si="88"/>
        <v>254.58690973142848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1.685891566232504</v>
      </c>
      <c r="AA118" s="21">
        <f>EXP(-LN(2)/25)*AA117+(1-EXP(-LN(2)/25))/(LN(2)/25)*Calculateur!V118*Calculateur!X118*VLOOKUP('Données projet'!$B$9,Paramètres!$A$1:$I$89,3,0)*0.475*44/12</f>
        <v>1.0563900494312037</v>
      </c>
      <c r="AB118" s="21">
        <f>EXP(-LN(2)/2)*AB117+(1-EXP(-LN(2)/2))/(LN(2)/2)*V118*Y118*VLOOKUP('Données projet'!$B$9,Paramètres!$A$1:$I$89,3,0)*0.475*44/12</f>
        <v>1.7754862595674799E-12</v>
      </c>
      <c r="AC118" s="22">
        <f t="shared" si="57"/>
        <v>2.7422816156654832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-3.4106051316484809E-13</v>
      </c>
      <c r="AJ118" s="13">
        <f>AI118*VLOOKUP('Données projet'!$B$10,Paramètres!$A$1:$I$89,3,0)*VLOOKUP('Données projet'!$B$10,Paramètres!$A$1:$I$89,5,0)</f>
        <v>-1.9065282685915009E-13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544.48194192356823</v>
      </c>
      <c r="AO118" s="59">
        <f t="shared" si="90"/>
        <v>668.20427590250733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1.3636487298678317</v>
      </c>
      <c r="AV118" s="21">
        <f>EXP(-LN(2)/25)*AV117+(1-EXP(-LN(2)/25))/(LN(2)/25)*Calculateur!AQ118*Calculateur!AS118*VLOOKUP('Données projet'!$B$10,Paramètres!$A$1:$I$89,3,0)*0.475*44/12</f>
        <v>4.0367533264346722</v>
      </c>
      <c r="AW118" s="21">
        <f>EXP(-LN(2)/2)*AW117+(1-EXP(-LN(2)/2))/(LN(2)/2)*AQ118*AT118*VLOOKUP('Données projet'!$B$10,Paramètres!$A$1:$I$89,3,0)*0.475*44/12</f>
        <v>2.3180827398180607E-12</v>
      </c>
      <c r="AX118" s="21">
        <f t="shared" si="60"/>
        <v>5.4004020563048218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405.7176439604217</v>
      </c>
      <c r="BJ118" s="59">
        <f t="shared" si="92"/>
        <v>278.21741231699929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1.3575383576619309</v>
      </c>
      <c r="BQ118" s="21">
        <f>EXP(-LN(2)/25)*BQ117+(1-EXP(-LN(2)/25))/(LN(2)/25)*Calculateur!BL118*Calculateur!BN118*VLOOKUP('Données projet'!$B$11,Paramètres!$A$1:$I$89,3,0)*0.475*44/12</f>
        <v>0.88714569755999606</v>
      </c>
      <c r="BR118" s="21">
        <f>EXP(-LN(2)/2)*BR117+(1-EXP(-LN(2)/2))/(LN(2)/2)*BL118*BO118*VLOOKUP('Données projet'!$B$11,Paramètres!$A$1:$I$89,3,0)*0.475*44/12</f>
        <v>1.3722087715479192E-12</v>
      </c>
      <c r="BS118" s="22">
        <f t="shared" si="63"/>
        <v>2.2446840552232992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-1.7053025658242404E-13</v>
      </c>
      <c r="CU118" s="17">
        <f>CT118*VLOOKUP('Données projet'!$B$13,Paramètres!$A$1:$I$89,3,0)*VLOOKUP('Données projet'!$B$13,Paramètres!$A$1:$I$89,5,0)</f>
        <v>-1.3567387213697657E-13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299.10536994156814</v>
      </c>
      <c r="CZ118" s="59">
        <f t="shared" si="96"/>
        <v>292.57799203101769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1.5642466851287735</v>
      </c>
      <c r="DG118" s="21">
        <f>EXP(-LN(2)/25)*DG117+(1-EXP(-LN(2)/25))/(LN(2)/25)*Calculateur!DB118*Calculateur!DD118*VLOOKUP('Données projet'!$B$13,Paramètres!$A$1:$I$89,3,0)*0.475*44/12</f>
        <v>1.0243167490939418</v>
      </c>
      <c r="DH118" s="21">
        <f>EXP(-LN(2)/2)*DH117+(1-EXP(-LN(2)/2))/(LN(2)/2)*DB118*DE118*VLOOKUP('Données projet'!$B$13,Paramètres!$A$1:$I$89,3,0)*0.475*44/12</f>
        <v>1.4425997164003488E-12</v>
      </c>
      <c r="DI118" s="22">
        <f t="shared" si="69"/>
        <v>2.5885634342241577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2.2737367544323206E-13</v>
      </c>
      <c r="DP118" s="17">
        <f>DO118*VLOOKUP('Données projet'!$B$14,Paramètres!$A$1:$I$89,3,0)*VLOOKUP('Données projet'!$B$14,Paramètres!$A$1:$I$89,5,0)</f>
        <v>1.4897523215040565E-13</v>
      </c>
      <c r="DQ118" s="13">
        <f t="shared" si="97"/>
        <v>2.136562777003313E-12</v>
      </c>
      <c r="DR118" s="20">
        <f t="shared" si="70"/>
        <v>3.9806453659427267E-12</v>
      </c>
      <c r="DS118" s="59">
        <f t="shared" si="71"/>
        <v>293.33333333333729</v>
      </c>
      <c r="DT118" s="59">
        <f ca="1">AVERAGE(OFFSET($DS$3,0,0,'Données projet'!$E$14+1,1))-AVERAGE(OFFSET($H$3,0,0,'Données projet'!$E$14+1,1))</f>
        <v>295.92103934364718</v>
      </c>
      <c r="DU118" s="59">
        <f t="shared" si="98"/>
        <v>304.84379909635476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0.82850728751377811</v>
      </c>
      <c r="EB118" s="21">
        <f>EXP(-LN(2)/25)*EB117+(1-EXP(-LN(2)/25))/(LN(2)/25)*Calculateur!DW118*Calculateur!DY118*VLOOKUP('Données projet'!$B$14,Paramètres!$A$1:$I$89,3,0)*0.475*44/12</f>
        <v>0.67753962647580435</v>
      </c>
      <c r="EC118" s="21">
        <f>EXP(-LN(2)/2)*EC117+(1-EXP(-LN(2)/2))/(LN(2)/2)*DW118*DZ118*VLOOKUP('Données projet'!$B$14,Paramètres!$A$1:$I$89,3,0)*0.475*44/12</f>
        <v>9.2522842528166448E-13</v>
      </c>
      <c r="ED118" s="22">
        <f t="shared" si="72"/>
        <v>1.5060469139905077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207.2913533618397</v>
      </c>
      <c r="EP118" s="59">
        <f t="shared" si="100"/>
        <v>230.81096055024483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1.285843647581991</v>
      </c>
      <c r="EW118" s="21">
        <f>EXP(-LN(2)/25)*EW117+(1-EXP(-LN(2)/25))/(LN(2)/25)*Calculateur!ER118*Calculateur!ET118*VLOOKUP('Données projet'!$B$15,Paramètres!$A$1:$I$89,3,0)*0.475*44/12</f>
        <v>0.57134667931299199</v>
      </c>
      <c r="EX118" s="21">
        <f>EXP(-LN(2)/2)*EX117+(1-EXP(-LN(2)/2))/(LN(2)/2)*ER118*EU118*VLOOKUP('Données projet'!$B$15,Paramètres!$A$1:$I$89,3,0)*0.475*44/12</f>
        <v>4.7421436209203593E-13</v>
      </c>
      <c r="EY118" s="22">
        <f t="shared" si="75"/>
        <v>1.8571903268954573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319.22903094674564</v>
      </c>
      <c r="T119" s="59">
        <f t="shared" si="88"/>
        <v>254.58690973142848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1.6528322609110047</v>
      </c>
      <c r="AA119" s="21">
        <f>EXP(-LN(2)/25)*AA118+(1-EXP(-LN(2)/25))/(LN(2)/25)*Calculateur!V119*Calculateur!X119*VLOOKUP('Données projet'!$B$9,Paramètres!$A$1:$I$89,3,0)*0.475*44/12</f>
        <v>1.0275030079763692</v>
      </c>
      <c r="AB119" s="21">
        <f>EXP(-LN(2)/2)*AB118+(1-EXP(-LN(2)/2))/(LN(2)/2)*V119*Y119*VLOOKUP('Données projet'!$B$9,Paramètres!$A$1:$I$89,3,0)*0.475*44/12</f>
        <v>1.2554583740437039E-12</v>
      </c>
      <c r="AC119" s="22">
        <f t="shared" si="57"/>
        <v>2.6803352688886295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-3.4106051316484809E-13</v>
      </c>
      <c r="AJ119" s="13">
        <f>AI119*VLOOKUP('Données projet'!$B$10,Paramètres!$A$1:$I$89,3,0)*VLOOKUP('Données projet'!$B$10,Paramètres!$A$1:$I$89,5,0)</f>
        <v>-1.9065282685915009E-13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544.48194192356823</v>
      </c>
      <c r="AO119" s="59">
        <f t="shared" si="90"/>
        <v>668.20427590250733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1.336908410018721</v>
      </c>
      <c r="AV119" s="21">
        <f>EXP(-LN(2)/25)*AV118+(1-EXP(-LN(2)/25))/(LN(2)/25)*Calculateur!AQ119*Calculateur!AS119*VLOOKUP('Données projet'!$B$10,Paramètres!$A$1:$I$89,3,0)*0.475*44/12</f>
        <v>3.9263680944396846</v>
      </c>
      <c r="AW119" s="21">
        <f>EXP(-LN(2)/2)*AW118+(1-EXP(-LN(2)/2))/(LN(2)/2)*AQ119*AT119*VLOOKUP('Données projet'!$B$10,Paramètres!$A$1:$I$89,3,0)*0.475*44/12</f>
        <v>1.639132024676842E-12</v>
      </c>
      <c r="AX119" s="21">
        <f t="shared" si="60"/>
        <v>5.2632765044600438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405.7176439604217</v>
      </c>
      <c r="BJ119" s="59">
        <f t="shared" si="92"/>
        <v>278.21741231699929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1.3309178584848187</v>
      </c>
      <c r="BQ119" s="21">
        <f>EXP(-LN(2)/25)*BQ118+(1-EXP(-LN(2)/25))/(LN(2)/25)*Calculateur!BL119*Calculateur!BN119*VLOOKUP('Données projet'!$B$11,Paramètres!$A$1:$I$89,3,0)*0.475*44/12</f>
        <v>0.86288665180725332</v>
      </c>
      <c r="BR119" s="21">
        <f>EXP(-LN(2)/2)*BR118+(1-EXP(-LN(2)/2))/(LN(2)/2)*BL119*BO119*VLOOKUP('Données projet'!$B$11,Paramètres!$A$1:$I$89,3,0)*0.475*44/12</f>
        <v>9.7029812756519567E-13</v>
      </c>
      <c r="BS119" s="22">
        <f t="shared" si="63"/>
        <v>2.1938045102930421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-1.7053025658242404E-13</v>
      </c>
      <c r="CU119" s="17">
        <f>CT119*VLOOKUP('Données projet'!$B$13,Paramètres!$A$1:$I$89,3,0)*VLOOKUP('Données projet'!$B$13,Paramètres!$A$1:$I$89,5,0)</f>
        <v>-1.3567387213697657E-13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299.10536994156814</v>
      </c>
      <c r="CZ119" s="59">
        <f t="shared" si="96"/>
        <v>292.57799203101769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1.5335727617296671</v>
      </c>
      <c r="DG119" s="21">
        <f>EXP(-LN(2)/25)*DG118+(1-EXP(-LN(2)/25))/(LN(2)/25)*Calculateur!DB119*Calculateur!DD119*VLOOKUP('Données projet'!$B$13,Paramètres!$A$1:$I$89,3,0)*0.475*44/12</f>
        <v>0.9963067537234912</v>
      </c>
      <c r="DH119" s="21">
        <f>EXP(-LN(2)/2)*DH118+(1-EXP(-LN(2)/2))/(LN(2)/2)*DB119*DE119*VLOOKUP('Données projet'!$B$13,Paramètres!$A$1:$I$89,3,0)*0.475*44/12</f>
        <v>1.0200720420044769E-12</v>
      </c>
      <c r="DI119" s="22">
        <f t="shared" si="69"/>
        <v>2.5298795154541782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2.2737367544323206E-13</v>
      </c>
      <c r="DP119" s="17">
        <f>DO119*VLOOKUP('Données projet'!$B$14,Paramètres!$A$1:$I$89,3,0)*VLOOKUP('Données projet'!$B$14,Paramètres!$A$1:$I$89,5,0)</f>
        <v>1.4897523215040565E-13</v>
      </c>
      <c r="DQ119" s="13">
        <f t="shared" si="97"/>
        <v>2.136562777003313E-12</v>
      </c>
      <c r="DR119" s="20">
        <f t="shared" si="70"/>
        <v>3.9806453659427267E-12</v>
      </c>
      <c r="DS119" s="59">
        <f t="shared" si="71"/>
        <v>293.33333333333729</v>
      </c>
      <c r="DT119" s="59">
        <f ca="1">AVERAGE(OFFSET($DS$3,0,0,'Données projet'!$E$14+1,1))-AVERAGE(OFFSET($H$3,0,0,'Données projet'!$E$14+1,1))</f>
        <v>295.92103934364718</v>
      </c>
      <c r="DU119" s="59">
        <f t="shared" si="98"/>
        <v>304.84379909635476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0.81226076494518018</v>
      </c>
      <c r="EB119" s="21">
        <f>EXP(-LN(2)/25)*EB118+(1-EXP(-LN(2)/25))/(LN(2)/25)*Calculateur!DW119*Calculateur!DY119*VLOOKUP('Données projet'!$B$14,Paramètres!$A$1:$I$89,3,0)*0.475*44/12</f>
        <v>0.65901226975956306</v>
      </c>
      <c r="EC119" s="21">
        <f>EXP(-LN(2)/2)*EC118+(1-EXP(-LN(2)/2))/(LN(2)/2)*DW119*DZ119*VLOOKUP('Données projet'!$B$14,Paramètres!$A$1:$I$89,3,0)*0.475*44/12</f>
        <v>6.5423529366321587E-13</v>
      </c>
      <c r="ED119" s="22">
        <f t="shared" si="72"/>
        <v>1.4712730347053973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207.2913533618397</v>
      </c>
      <c r="EP119" s="59">
        <f t="shared" si="100"/>
        <v>230.81096055024483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1.2606290379400913</v>
      </c>
      <c r="EW119" s="21">
        <f>EXP(-LN(2)/25)*EW118+(1-EXP(-LN(2)/25))/(LN(2)/25)*Calculateur!ER119*Calculateur!ET119*VLOOKUP('Données projet'!$B$15,Paramètres!$A$1:$I$89,3,0)*0.475*44/12</f>
        <v>0.5557231743213622</v>
      </c>
      <c r="EX119" s="21">
        <f>EXP(-LN(2)/2)*EX118+(1-EXP(-LN(2)/2))/(LN(2)/2)*ER119*EU119*VLOOKUP('Données projet'!$B$15,Paramètres!$A$1:$I$89,3,0)*0.475*44/12</f>
        <v>3.3532019117133148E-13</v>
      </c>
      <c r="EY119" s="22">
        <f t="shared" si="75"/>
        <v>1.8163522122617888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319.22903094674564</v>
      </c>
      <c r="T120" s="59">
        <f t="shared" si="88"/>
        <v>254.58690973142848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1.6204212284026747</v>
      </c>
      <c r="AA120" s="21">
        <f>EXP(-LN(2)/25)*AA119+(1-EXP(-LN(2)/25))/(LN(2)/25)*Calculateur!V120*Calculateur!X120*VLOOKUP('Données projet'!$B$9,Paramètres!$A$1:$I$89,3,0)*0.475*44/12</f>
        <v>0.99940588418922061</v>
      </c>
      <c r="AB120" s="21">
        <f>EXP(-LN(2)/2)*AB119+(1-EXP(-LN(2)/2))/(LN(2)/2)*V120*Y120*VLOOKUP('Données projet'!$B$9,Paramètres!$A$1:$I$89,3,0)*0.475*44/12</f>
        <v>8.8774312978374017E-13</v>
      </c>
      <c r="AC120" s="22">
        <f t="shared" si="57"/>
        <v>2.619827112592783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-3.4106051316484809E-13</v>
      </c>
      <c r="AJ120" s="13">
        <f>AI120*VLOOKUP('Données projet'!$B$10,Paramètres!$A$1:$I$89,3,0)*VLOOKUP('Données projet'!$B$10,Paramètres!$A$1:$I$89,5,0)</f>
        <v>-1.9065282685915009E-13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544.48194192356823</v>
      </c>
      <c r="AO120" s="59">
        <f t="shared" si="90"/>
        <v>668.20427590250733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1.3106924515318665</v>
      </c>
      <c r="AV120" s="21">
        <f>EXP(-LN(2)/25)*AV119+(1-EXP(-LN(2)/25))/(LN(2)/25)*Calculateur!AQ120*Calculateur!AS120*VLOOKUP('Données projet'!$B$10,Paramètres!$A$1:$I$89,3,0)*0.475*44/12</f>
        <v>3.8190013524185074</v>
      </c>
      <c r="AW120" s="21">
        <f>EXP(-LN(2)/2)*AW119+(1-EXP(-LN(2)/2))/(LN(2)/2)*AQ120*AT120*VLOOKUP('Données projet'!$B$10,Paramètres!$A$1:$I$89,3,0)*0.475*44/12</f>
        <v>1.1590413699090303E-12</v>
      </c>
      <c r="AX120" s="21">
        <f t="shared" si="60"/>
        <v>5.1296938039515334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405.7176439604217</v>
      </c>
      <c r="BJ120" s="59">
        <f t="shared" si="92"/>
        <v>278.21741231699929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1.3048193710596685</v>
      </c>
      <c r="BQ120" s="21">
        <f>EXP(-LN(2)/25)*BQ119+(1-EXP(-LN(2)/25))/(LN(2)/25)*Calculateur!BL120*Calculateur!BN120*VLOOKUP('Données projet'!$B$11,Paramètres!$A$1:$I$89,3,0)*0.475*44/12</f>
        <v>0.83929097093634708</v>
      </c>
      <c r="BR120" s="21">
        <f>EXP(-LN(2)/2)*BR119+(1-EXP(-LN(2)/2))/(LN(2)/2)*BL120*BO120*VLOOKUP('Données projet'!$B$11,Paramètres!$A$1:$I$89,3,0)*0.475*44/12</f>
        <v>6.861043857739596E-13</v>
      </c>
      <c r="BS120" s="22">
        <f t="shared" si="63"/>
        <v>2.1441103419967016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-1.7053025658242404E-13</v>
      </c>
      <c r="CU120" s="17">
        <f>CT120*VLOOKUP('Données projet'!$B$13,Paramètres!$A$1:$I$89,3,0)*VLOOKUP('Données projet'!$B$13,Paramètres!$A$1:$I$89,5,0)</f>
        <v>-1.3567387213697657E-13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299.10536994156814</v>
      </c>
      <c r="CZ120" s="59">
        <f t="shared" si="96"/>
        <v>292.57799203101769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1.5035003352591712</v>
      </c>
      <c r="DG120" s="21">
        <f>EXP(-LN(2)/25)*DG119+(1-EXP(-LN(2)/25))/(LN(2)/25)*Calculateur!DB120*Calculateur!DD120*VLOOKUP('Données projet'!$B$13,Paramètres!$A$1:$I$89,3,0)*0.475*44/12</f>
        <v>0.96906269314942728</v>
      </c>
      <c r="DH120" s="21">
        <f>EXP(-LN(2)/2)*DH119+(1-EXP(-LN(2)/2))/(LN(2)/2)*DB120*DE120*VLOOKUP('Données projet'!$B$13,Paramètres!$A$1:$I$89,3,0)*0.475*44/12</f>
        <v>7.2129985820017441E-13</v>
      </c>
      <c r="DI120" s="22">
        <f t="shared" si="69"/>
        <v>2.4725630284093194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2.2737367544323206E-13</v>
      </c>
      <c r="DP120" s="17">
        <f>DO120*VLOOKUP('Données projet'!$B$14,Paramètres!$A$1:$I$89,3,0)*VLOOKUP('Données projet'!$B$14,Paramètres!$A$1:$I$89,5,0)</f>
        <v>1.4897523215040565E-13</v>
      </c>
      <c r="DQ120" s="13">
        <f t="shared" si="97"/>
        <v>2.136562777003313E-12</v>
      </c>
      <c r="DR120" s="20">
        <f t="shared" si="70"/>
        <v>3.9806453659427267E-12</v>
      </c>
      <c r="DS120" s="59">
        <f t="shared" si="71"/>
        <v>293.33333333333729</v>
      </c>
      <c r="DT120" s="59">
        <f ca="1">AVERAGE(OFFSET($DS$3,0,0,'Données projet'!$E$14+1,1))-AVERAGE(OFFSET($H$3,0,0,'Données projet'!$E$14+1,1))</f>
        <v>295.92103934364718</v>
      </c>
      <c r="DU120" s="59">
        <f t="shared" si="98"/>
        <v>304.84379909635476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0.79633282677475214</v>
      </c>
      <c r="EB120" s="21">
        <f>EXP(-LN(2)/25)*EB119+(1-EXP(-LN(2)/25))/(LN(2)/25)*Calculateur!DW120*Calculateur!DY120*VLOOKUP('Données projet'!$B$14,Paramètres!$A$1:$I$89,3,0)*0.475*44/12</f>
        <v>0.64099154458703878</v>
      </c>
      <c r="EC120" s="21">
        <f>EXP(-LN(2)/2)*EC119+(1-EXP(-LN(2)/2))/(LN(2)/2)*DW120*DZ120*VLOOKUP('Données projet'!$B$14,Paramètres!$A$1:$I$89,3,0)*0.475*44/12</f>
        <v>4.6261421264083224E-13</v>
      </c>
      <c r="ED120" s="22">
        <f t="shared" si="72"/>
        <v>1.4373243713622534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207.2913533618397</v>
      </c>
      <c r="EP120" s="59">
        <f t="shared" si="100"/>
        <v>230.81096055024483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1.235908871413876</v>
      </c>
      <c r="EW120" s="21">
        <f>EXP(-LN(2)/25)*EW119+(1-EXP(-LN(2)/25))/(LN(2)/25)*Calculateur!ER120*Calculateur!ET120*VLOOKUP('Données projet'!$B$15,Paramètres!$A$1:$I$89,3,0)*0.475*44/12</f>
        <v>0.5405268948953329</v>
      </c>
      <c r="EX120" s="21">
        <f>EXP(-LN(2)/2)*EX119+(1-EXP(-LN(2)/2))/(LN(2)/2)*ER120*EU120*VLOOKUP('Données projet'!$B$15,Paramètres!$A$1:$I$89,3,0)*0.475*44/12</f>
        <v>2.3710718104601796E-13</v>
      </c>
      <c r="EY120" s="22">
        <f t="shared" si="75"/>
        <v>1.7764357663094459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319.22903094674564</v>
      </c>
      <c r="T121" s="59">
        <f t="shared" si="88"/>
        <v>254.58690973142848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1.5886457564730552</v>
      </c>
      <c r="AA121" s="21">
        <f>EXP(-LN(2)/25)*AA120+(1-EXP(-LN(2)/25))/(LN(2)/25)*Calculateur!V121*Calculateur!X121*VLOOKUP('Données projet'!$B$9,Paramètres!$A$1:$I$89,3,0)*0.475*44/12</f>
        <v>0.97207707772959506</v>
      </c>
      <c r="AB121" s="21">
        <f>EXP(-LN(2)/2)*AB120+(1-EXP(-LN(2)/2))/(LN(2)/2)*V121*Y121*VLOOKUP('Données projet'!$B$9,Paramètres!$A$1:$I$89,3,0)*0.475*44/12</f>
        <v>6.2772918702185207E-13</v>
      </c>
      <c r="AC121" s="22">
        <f t="shared" si="57"/>
        <v>2.5607228342032782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-3.4106051316484809E-13</v>
      </c>
      <c r="AJ121" s="13">
        <f>AI121*VLOOKUP('Données projet'!$B$10,Paramètres!$A$1:$I$89,3,0)*VLOOKUP('Données projet'!$B$10,Paramètres!$A$1:$I$89,5,0)</f>
        <v>-1.9065282685915009E-13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544.48194192356823</v>
      </c>
      <c r="AO121" s="59">
        <f t="shared" si="90"/>
        <v>668.20427590250733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1.2849905720007835</v>
      </c>
      <c r="AV121" s="21">
        <f>EXP(-LN(2)/25)*AV120+(1-EXP(-LN(2)/25))/(LN(2)/25)*Calculateur!AQ121*Calculateur!AS121*VLOOKUP('Données projet'!$B$10,Paramètres!$A$1:$I$89,3,0)*0.475*44/12</f>
        <v>3.7145705596040708</v>
      </c>
      <c r="AW121" s="21">
        <f>EXP(-LN(2)/2)*AW120+(1-EXP(-LN(2)/2))/(LN(2)/2)*AQ121*AT121*VLOOKUP('Données projet'!$B$10,Paramètres!$A$1:$I$89,3,0)*0.475*44/12</f>
        <v>8.1956601233842102E-13</v>
      </c>
      <c r="AX121" s="21">
        <f t="shared" si="60"/>
        <v>4.9995611316056738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405.7176439604217</v>
      </c>
      <c r="BJ121" s="59">
        <f t="shared" si="92"/>
        <v>278.21741231699929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1.2792326590544201</v>
      </c>
      <c r="BQ121" s="21">
        <f>EXP(-LN(2)/25)*BQ120+(1-EXP(-LN(2)/25))/(LN(2)/25)*Calculateur!BL121*Calculateur!BN121*VLOOKUP('Données projet'!$B$11,Paramètres!$A$1:$I$89,3,0)*0.475*44/12</f>
        <v>0.81634051519969875</v>
      </c>
      <c r="BR121" s="21">
        <f>EXP(-LN(2)/2)*BR120+(1-EXP(-LN(2)/2))/(LN(2)/2)*BL121*BO121*VLOOKUP('Données projet'!$B$11,Paramètres!$A$1:$I$89,3,0)*0.475*44/12</f>
        <v>4.8514906378259784E-13</v>
      </c>
      <c r="BS121" s="22">
        <f t="shared" si="63"/>
        <v>2.0955731742546035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-1.7053025658242404E-13</v>
      </c>
      <c r="CU121" s="17">
        <f>CT121*VLOOKUP('Données projet'!$B$13,Paramètres!$A$1:$I$89,3,0)*VLOOKUP('Données projet'!$B$13,Paramètres!$A$1:$I$89,5,0)</f>
        <v>-1.3567387213697657E-13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299.10536994156814</v>
      </c>
      <c r="CZ121" s="59">
        <f t="shared" si="96"/>
        <v>292.57799203101769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1.4740176107293927</v>
      </c>
      <c r="DG121" s="21">
        <f>EXP(-LN(2)/25)*DG120+(1-EXP(-LN(2)/25))/(LN(2)/25)*Calculateur!DB121*Calculateur!DD121*VLOOKUP('Données projet'!$B$13,Paramètres!$A$1:$I$89,3,0)*0.475*44/12</f>
        <v>0.94256362284446393</v>
      </c>
      <c r="DH121" s="21">
        <f>EXP(-LN(2)/2)*DH120+(1-EXP(-LN(2)/2))/(LN(2)/2)*DB121*DE121*VLOOKUP('Données projet'!$B$13,Paramètres!$A$1:$I$89,3,0)*0.475*44/12</f>
        <v>5.1003602100223847E-13</v>
      </c>
      <c r="DI121" s="22">
        <f t="shared" si="69"/>
        <v>2.4165812335743664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2.2737367544323206E-13</v>
      </c>
      <c r="DP121" s="17">
        <f>DO121*VLOOKUP('Données projet'!$B$14,Paramètres!$A$1:$I$89,3,0)*VLOOKUP('Données projet'!$B$14,Paramètres!$A$1:$I$89,5,0)</f>
        <v>1.4897523215040565E-13</v>
      </c>
      <c r="DQ121" s="13">
        <f t="shared" si="97"/>
        <v>2.136562777003313E-12</v>
      </c>
      <c r="DR121" s="20">
        <f t="shared" si="70"/>
        <v>3.9806453659427267E-12</v>
      </c>
      <c r="DS121" s="59">
        <f t="shared" si="71"/>
        <v>293.33333333333729</v>
      </c>
      <c r="DT121" s="59">
        <f ca="1">AVERAGE(OFFSET($DS$3,0,0,'Données projet'!$E$14+1,1))-AVERAGE(OFFSET($H$3,0,0,'Données projet'!$E$14+1,1))</f>
        <v>295.92103934364718</v>
      </c>
      <c r="DU121" s="59">
        <f t="shared" si="98"/>
        <v>304.84379909635476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0.78071722575676317</v>
      </c>
      <c r="EB121" s="21">
        <f>EXP(-LN(2)/25)*EB120+(1-EXP(-LN(2)/25))/(LN(2)/25)*Calculateur!DW121*Calculateur!DY121*VLOOKUP('Données projet'!$B$14,Paramètres!$A$1:$I$89,3,0)*0.475*44/12</f>
        <v>0.62346359709202592</v>
      </c>
      <c r="EC121" s="21">
        <f>EXP(-LN(2)/2)*EC120+(1-EXP(-LN(2)/2))/(LN(2)/2)*DW121*DZ121*VLOOKUP('Données projet'!$B$14,Paramètres!$A$1:$I$89,3,0)*0.475*44/12</f>
        <v>3.2711764683160793E-13</v>
      </c>
      <c r="ED121" s="22">
        <f t="shared" si="72"/>
        <v>1.4041808228491162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207.2913533618397</v>
      </c>
      <c r="EP121" s="59">
        <f t="shared" si="100"/>
        <v>230.81096055024483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1.2116734522754269</v>
      </c>
      <c r="EW121" s="21">
        <f>EXP(-LN(2)/25)*EW120+(1-EXP(-LN(2)/25))/(LN(2)/25)*Calculateur!ER121*Calculateur!ET121*VLOOKUP('Données projet'!$B$15,Paramètres!$A$1:$I$89,3,0)*0.475*44/12</f>
        <v>0.52574615852934603</v>
      </c>
      <c r="EX121" s="21">
        <f>EXP(-LN(2)/2)*EX120+(1-EXP(-LN(2)/2))/(LN(2)/2)*ER121*EU121*VLOOKUP('Données projet'!$B$15,Paramètres!$A$1:$I$89,3,0)*0.475*44/12</f>
        <v>1.6766009558566574E-13</v>
      </c>
      <c r="EY121" s="22">
        <f t="shared" si="75"/>
        <v>1.7374196108049407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319.22903094674564</v>
      </c>
      <c r="T122" s="59">
        <f t="shared" si="88"/>
        <v>254.58690973142848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1.5574933821668513</v>
      </c>
      <c r="AA122" s="21">
        <f>EXP(-LN(2)/25)*AA121+(1-EXP(-LN(2)/25))/(LN(2)/25)*Calculateur!V122*Calculateur!X122*VLOOKUP('Données projet'!$B$9,Paramètres!$A$1:$I$89,3,0)*0.475*44/12</f>
        <v>0.94549557891976743</v>
      </c>
      <c r="AB122" s="21">
        <f>EXP(-LN(2)/2)*AB121+(1-EXP(-LN(2)/2))/(LN(2)/2)*V122*Y122*VLOOKUP('Données projet'!$B$9,Paramètres!$A$1:$I$89,3,0)*0.475*44/12</f>
        <v>4.4387156489187014E-13</v>
      </c>
      <c r="AC122" s="22">
        <f t="shared" si="57"/>
        <v>2.5029889610870626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-3.4106051316484809E-13</v>
      </c>
      <c r="AJ122" s="13">
        <f>AI122*VLOOKUP('Données projet'!$B$10,Paramètres!$A$1:$I$89,3,0)*VLOOKUP('Données projet'!$B$10,Paramètres!$A$1:$I$89,5,0)</f>
        <v>-1.9065282685915009E-13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544.48194192356823</v>
      </c>
      <c r="AO122" s="59">
        <f t="shared" si="90"/>
        <v>668.20427590250733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1.2597926906507064</v>
      </c>
      <c r="AV122" s="21">
        <f>EXP(-LN(2)/25)*AV121+(1-EXP(-LN(2)/25))/(LN(2)/25)*Calculateur!AQ122*Calculateur!AS122*VLOOKUP('Données projet'!$B$10,Paramètres!$A$1:$I$89,3,0)*0.475*44/12</f>
        <v>3.6129954323109215</v>
      </c>
      <c r="AW122" s="21">
        <f>EXP(-LN(2)/2)*AW121+(1-EXP(-LN(2)/2))/(LN(2)/2)*AQ122*AT122*VLOOKUP('Données projet'!$B$10,Paramètres!$A$1:$I$89,3,0)*0.475*44/12</f>
        <v>5.7952068495451517E-13</v>
      </c>
      <c r="AX122" s="21">
        <f t="shared" si="60"/>
        <v>4.8727881229622074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405.7176439604217</v>
      </c>
      <c r="BJ122" s="59">
        <f t="shared" si="92"/>
        <v>278.21741231699929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1.2541476868652413</v>
      </c>
      <c r="BQ122" s="21">
        <f>EXP(-LN(2)/25)*BQ121+(1-EXP(-LN(2)/25))/(LN(2)/25)*Calculateur!BL122*Calculateur!BN122*VLOOKUP('Données projet'!$B$11,Paramètres!$A$1:$I$89,3,0)*0.475*44/12</f>
        <v>0.79401764088208104</v>
      </c>
      <c r="BR122" s="21">
        <f>EXP(-LN(2)/2)*BR121+(1-EXP(-LN(2)/2))/(LN(2)/2)*BL122*BO122*VLOOKUP('Données projet'!$B$11,Paramètres!$A$1:$I$89,3,0)*0.475*44/12</f>
        <v>3.430521928869798E-13</v>
      </c>
      <c r="BS122" s="22">
        <f t="shared" si="63"/>
        <v>2.048165327747665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-1.7053025658242404E-13</v>
      </c>
      <c r="CU122" s="17">
        <f>CT122*VLOOKUP('Données projet'!$B$13,Paramètres!$A$1:$I$89,3,0)*VLOOKUP('Données projet'!$B$13,Paramètres!$A$1:$I$89,5,0)</f>
        <v>-1.3567387213697657E-13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299.10536994156814</v>
      </c>
      <c r="CZ122" s="59">
        <f t="shared" si="96"/>
        <v>292.57799203101769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1.4451130244449568</v>
      </c>
      <c r="DG122" s="21">
        <f>EXP(-LN(2)/25)*DG121+(1-EXP(-LN(2)/25))/(LN(2)/25)*Calculateur!DB122*Calculateur!DD122*VLOOKUP('Données projet'!$B$13,Paramètres!$A$1:$I$89,3,0)*0.475*44/12</f>
        <v>0.91678917101051538</v>
      </c>
      <c r="DH122" s="21">
        <f>EXP(-LN(2)/2)*DH121+(1-EXP(-LN(2)/2))/(LN(2)/2)*DB122*DE122*VLOOKUP('Données projet'!$B$13,Paramètres!$A$1:$I$89,3,0)*0.475*44/12</f>
        <v>3.606499291000872E-13</v>
      </c>
      <c r="DI122" s="22">
        <f t="shared" si="69"/>
        <v>2.3619021954558326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2.2737367544323206E-13</v>
      </c>
      <c r="DP122" s="17">
        <f>DO122*VLOOKUP('Données projet'!$B$14,Paramètres!$A$1:$I$89,3,0)*VLOOKUP('Données projet'!$B$14,Paramètres!$A$1:$I$89,5,0)</f>
        <v>1.4897523215040565E-13</v>
      </c>
      <c r="DQ122" s="13">
        <f t="shared" si="97"/>
        <v>2.136562777003313E-12</v>
      </c>
      <c r="DR122" s="20">
        <f t="shared" si="70"/>
        <v>3.9806453659427267E-12</v>
      </c>
      <c r="DS122" s="59">
        <f t="shared" si="71"/>
        <v>293.33333333333729</v>
      </c>
      <c r="DT122" s="59">
        <f ca="1">AVERAGE(OFFSET($DS$3,0,0,'Données projet'!$E$14+1,1))-AVERAGE(OFFSET($H$3,0,0,'Données projet'!$E$14+1,1))</f>
        <v>295.92103934364718</v>
      </c>
      <c r="DU122" s="59">
        <f t="shared" si="98"/>
        <v>304.84379909635476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0.76540783715016081</v>
      </c>
      <c r="EB122" s="21">
        <f>EXP(-LN(2)/25)*EB121+(1-EXP(-LN(2)/25))/(LN(2)/25)*Calculateur!DW122*Calculateur!DY122*VLOOKUP('Données projet'!$B$14,Paramètres!$A$1:$I$89,3,0)*0.475*44/12</f>
        <v>0.60641495224301889</v>
      </c>
      <c r="EC122" s="21">
        <f>EXP(-LN(2)/2)*EC121+(1-EXP(-LN(2)/2))/(LN(2)/2)*DW122*DZ122*VLOOKUP('Données projet'!$B$14,Paramètres!$A$1:$I$89,3,0)*0.475*44/12</f>
        <v>2.3130710632041612E-13</v>
      </c>
      <c r="ED122" s="22">
        <f t="shared" si="72"/>
        <v>1.371822789393411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207.2913533618397</v>
      </c>
      <c r="EP122" s="59">
        <f t="shared" si="100"/>
        <v>230.81096055024483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1.1879132749241368</v>
      </c>
      <c r="EW122" s="21">
        <f>EXP(-LN(2)/25)*EW121+(1-EXP(-LN(2)/25))/(LN(2)/25)*Calculateur!ER122*Calculateur!ET122*VLOOKUP('Données projet'!$B$15,Paramètres!$A$1:$I$89,3,0)*0.475*44/12</f>
        <v>0.51136960217657224</v>
      </c>
      <c r="EX122" s="21">
        <f>EXP(-LN(2)/2)*EX121+(1-EXP(-LN(2)/2))/(LN(2)/2)*ER122*EU122*VLOOKUP('Données projet'!$B$15,Paramètres!$A$1:$I$89,3,0)*0.475*44/12</f>
        <v>1.1855359052300898E-13</v>
      </c>
      <c r="EY122" s="22">
        <f t="shared" si="75"/>
        <v>1.6992828771008277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319.22903094674564</v>
      </c>
      <c r="T123" s="59">
        <f t="shared" si="88"/>
        <v>254.58690973142848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1.5269518869197201</v>
      </c>
      <c r="AA123" s="21">
        <f>EXP(-LN(2)/25)*AA122+(1-EXP(-LN(2)/25))/(LN(2)/25)*Calculateur!V123*Calculateur!X123*VLOOKUP('Données projet'!$B$9,Paramètres!$A$1:$I$89,3,0)*0.475*44/12</f>
        <v>0.9196409525927548</v>
      </c>
      <c r="AB123" s="21">
        <f>EXP(-LN(2)/2)*AB122+(1-EXP(-LN(2)/2))/(LN(2)/2)*V123*Y123*VLOOKUP('Données projet'!$B$9,Paramètres!$A$1:$I$89,3,0)*0.475*44/12</f>
        <v>3.1386459351092609E-13</v>
      </c>
      <c r="AC123" s="22">
        <f t="shared" si="57"/>
        <v>2.4465928395127889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-3.4106051316484809E-13</v>
      </c>
      <c r="AJ123" s="13">
        <f>AI123*VLOOKUP('Données projet'!$B$10,Paramètres!$A$1:$I$89,3,0)*VLOOKUP('Données projet'!$B$10,Paramètres!$A$1:$I$89,5,0)</f>
        <v>-1.9065282685915009E-13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544.48194192356823</v>
      </c>
      <c r="AO123" s="59">
        <f t="shared" si="90"/>
        <v>668.20427590250733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1.2350889243847143</v>
      </c>
      <c r="AV123" s="21">
        <f>EXP(-LN(2)/25)*AV122+(1-EXP(-LN(2)/25))/(LN(2)/25)*Calculateur!AQ123*Calculateur!AS123*VLOOKUP('Données projet'!$B$10,Paramètres!$A$1:$I$89,3,0)*0.475*44/12</f>
        <v>3.5141978822152073</v>
      </c>
      <c r="AW123" s="21">
        <f>EXP(-LN(2)/2)*AW122+(1-EXP(-LN(2)/2))/(LN(2)/2)*AQ123*AT123*VLOOKUP('Données projet'!$B$10,Paramètres!$A$1:$I$89,3,0)*0.475*44/12</f>
        <v>4.0978300616921051E-13</v>
      </c>
      <c r="AX123" s="21">
        <f t="shared" si="60"/>
        <v>4.7492868066003311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405.7176439604217</v>
      </c>
      <c r="BJ123" s="59">
        <f t="shared" si="92"/>
        <v>278.21741231699929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1.2295546156803698</v>
      </c>
      <c r="BQ123" s="21">
        <f>EXP(-LN(2)/25)*BQ122+(1-EXP(-LN(2)/25))/(LN(2)/25)*Calculateur!BL123*Calculateur!BN123*VLOOKUP('Données projet'!$B$11,Paramètres!$A$1:$I$89,3,0)*0.475*44/12</f>
        <v>0.77230518673658755</v>
      </c>
      <c r="BR123" s="21">
        <f>EXP(-LN(2)/2)*BR122+(1-EXP(-LN(2)/2))/(LN(2)/2)*BL123*BO123*VLOOKUP('Données projet'!$B$11,Paramètres!$A$1:$I$89,3,0)*0.475*44/12</f>
        <v>2.4257453189129892E-13</v>
      </c>
      <c r="BS123" s="22">
        <f t="shared" si="63"/>
        <v>2.0018598024171999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-1.7053025658242404E-13</v>
      </c>
      <c r="CU123" s="17">
        <f>CT123*VLOOKUP('Données projet'!$B$13,Paramètres!$A$1:$I$89,3,0)*VLOOKUP('Données projet'!$B$13,Paramètres!$A$1:$I$89,5,0)</f>
        <v>-1.3567387213697657E-13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299.10536994156814</v>
      </c>
      <c r="CZ123" s="59">
        <f t="shared" si="96"/>
        <v>292.57799203101769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1.4167752394675019</v>
      </c>
      <c r="DG123" s="21">
        <f>EXP(-LN(2)/25)*DG122+(1-EXP(-LN(2)/25))/(LN(2)/25)*Calculateur!DB123*Calculateur!DD123*VLOOKUP('Données projet'!$B$13,Paramètres!$A$1:$I$89,3,0)*0.475*44/12</f>
        <v>0.89171952291738565</v>
      </c>
      <c r="DH123" s="21">
        <f>EXP(-LN(2)/2)*DH122+(1-EXP(-LN(2)/2))/(LN(2)/2)*DB123*DE123*VLOOKUP('Données projet'!$B$13,Paramètres!$A$1:$I$89,3,0)*0.475*44/12</f>
        <v>2.5501801050111923E-13</v>
      </c>
      <c r="DI123" s="22">
        <f t="shared" si="69"/>
        <v>2.3084947623851426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2.2737367544323206E-13</v>
      </c>
      <c r="DP123" s="17">
        <f>DO123*VLOOKUP('Données projet'!$B$14,Paramètres!$A$1:$I$89,3,0)*VLOOKUP('Données projet'!$B$14,Paramètres!$A$1:$I$89,5,0)</f>
        <v>1.4897523215040565E-13</v>
      </c>
      <c r="DQ123" s="13">
        <f t="shared" si="97"/>
        <v>2.136562777003313E-12</v>
      </c>
      <c r="DR123" s="20">
        <f t="shared" si="70"/>
        <v>3.9806453659427267E-12</v>
      </c>
      <c r="DS123" s="59">
        <f t="shared" si="71"/>
        <v>293.33333333333729</v>
      </c>
      <c r="DT123" s="59">
        <f ca="1">AVERAGE(OFFSET($DS$3,0,0,'Données projet'!$E$14+1,1))-AVERAGE(OFFSET($H$3,0,0,'Données projet'!$E$14+1,1))</f>
        <v>295.92103934364718</v>
      </c>
      <c r="DU123" s="59">
        <f t="shared" si="98"/>
        <v>304.84379909635476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0.75039865631632896</v>
      </c>
      <c r="EB123" s="21">
        <f>EXP(-LN(2)/25)*EB122+(1-EXP(-LN(2)/25))/(LN(2)/25)*Calculateur!DW123*Calculateur!DY123*VLOOKUP('Données projet'!$B$14,Paramètres!$A$1:$I$89,3,0)*0.475*44/12</f>
        <v>0.58983250348395722</v>
      </c>
      <c r="EC123" s="21">
        <f>EXP(-LN(2)/2)*EC122+(1-EXP(-LN(2)/2))/(LN(2)/2)*DW123*DZ123*VLOOKUP('Données projet'!$B$14,Paramètres!$A$1:$I$89,3,0)*0.475*44/12</f>
        <v>1.6355882341580397E-13</v>
      </c>
      <c r="ED123" s="22">
        <f t="shared" si="72"/>
        <v>1.3402311598004497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207.2913533618397</v>
      </c>
      <c r="EP123" s="59">
        <f t="shared" si="100"/>
        <v>230.81096055024483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1.1646190201584283</v>
      </c>
      <c r="EW123" s="21">
        <f>EXP(-LN(2)/25)*EW122+(1-EXP(-LN(2)/25))/(LN(2)/25)*Calculateur!ER123*Calculateur!ET123*VLOOKUP('Données projet'!$B$15,Paramètres!$A$1:$I$89,3,0)*0.475*44/12</f>
        <v>0.49738617351329523</v>
      </c>
      <c r="EX123" s="21">
        <f>EXP(-LN(2)/2)*EX122+(1-EXP(-LN(2)/2))/(LN(2)/2)*ER123*EU123*VLOOKUP('Données projet'!$B$15,Paramètres!$A$1:$I$89,3,0)*0.475*44/12</f>
        <v>8.3830047792832869E-14</v>
      </c>
      <c r="EY123" s="22">
        <f t="shared" si="75"/>
        <v>1.6620051936718074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319.22903094674564</v>
      </c>
      <c r="T124" s="59">
        <f t="shared" si="88"/>
        <v>254.58690973142848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1.4970092917659124</v>
      </c>
      <c r="AA124" s="21">
        <f>EXP(-LN(2)/25)*AA123+(1-EXP(-LN(2)/25))/(LN(2)/25)*Calculateur!V124*Calculateur!X124*VLOOKUP('Données projet'!$B$9,Paramètres!$A$1:$I$89,3,0)*0.475*44/12</f>
        <v>0.89449332238229007</v>
      </c>
      <c r="AB124" s="21">
        <f>EXP(-LN(2)/2)*AB123+(1-EXP(-LN(2)/2))/(LN(2)/2)*V124*Y124*VLOOKUP('Données projet'!$B$9,Paramètres!$A$1:$I$89,3,0)*0.475*44/12</f>
        <v>2.2193578244593512E-13</v>
      </c>
      <c r="AC124" s="22">
        <f t="shared" si="57"/>
        <v>2.3915026141484246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-3.4106051316484809E-13</v>
      </c>
      <c r="AJ124" s="13">
        <f>AI124*VLOOKUP('Données projet'!$B$10,Paramètres!$A$1:$I$89,3,0)*VLOOKUP('Données projet'!$B$10,Paramètres!$A$1:$I$89,5,0)</f>
        <v>-1.9065282685915009E-13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544.48194192356823</v>
      </c>
      <c r="AO124" s="59">
        <f t="shared" si="90"/>
        <v>668.20427590250733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1.2108695839073889</v>
      </c>
      <c r="AV124" s="21">
        <f>EXP(-LN(2)/25)*AV123+(1-EXP(-LN(2)/25))/(LN(2)/25)*Calculateur!AQ124*Calculateur!AS124*VLOOKUP('Données projet'!$B$10,Paramètres!$A$1:$I$89,3,0)*0.475*44/12</f>
        <v>3.4181019563223978</v>
      </c>
      <c r="AW124" s="21">
        <f>EXP(-LN(2)/2)*AW123+(1-EXP(-LN(2)/2))/(LN(2)/2)*AQ124*AT124*VLOOKUP('Données projet'!$B$10,Paramètres!$A$1:$I$89,3,0)*0.475*44/12</f>
        <v>2.8976034247725759E-13</v>
      </c>
      <c r="AX124" s="21">
        <f t="shared" si="60"/>
        <v>4.6289715402300757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405.7176439604217</v>
      </c>
      <c r="BJ124" s="59">
        <f t="shared" si="92"/>
        <v>278.21741231699929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1.2054437996211416</v>
      </c>
      <c r="BQ124" s="21">
        <f>EXP(-LN(2)/25)*BQ123+(1-EXP(-LN(2)/25))/(LN(2)/25)*Calculateur!BL124*Calculateur!BN124*VLOOKUP('Données projet'!$B$11,Paramètres!$A$1:$I$89,3,0)*0.475*44/12</f>
        <v>0.75118646079151097</v>
      </c>
      <c r="BR124" s="21">
        <f>EXP(-LN(2)/2)*BR123+(1-EXP(-LN(2)/2))/(LN(2)/2)*BL124*BO124*VLOOKUP('Données projet'!$B$11,Paramètres!$A$1:$I$89,3,0)*0.475*44/12</f>
        <v>1.715260964434899E-13</v>
      </c>
      <c r="BS124" s="22">
        <f t="shared" si="63"/>
        <v>1.9566302604128238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-1.7053025658242404E-13</v>
      </c>
      <c r="CU124" s="17">
        <f>CT124*VLOOKUP('Données projet'!$B$13,Paramètres!$A$1:$I$89,3,0)*VLOOKUP('Données projet'!$B$13,Paramètres!$A$1:$I$89,5,0)</f>
        <v>-1.3567387213697657E-13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299.10536994156814</v>
      </c>
      <c r="CZ124" s="59">
        <f t="shared" si="96"/>
        <v>292.57799203101769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1.3889931411691128</v>
      </c>
      <c r="DG124" s="21">
        <f>EXP(-LN(2)/25)*DG123+(1-EXP(-LN(2)/25))/(LN(2)/25)*Calculateur!DB124*Calculateur!DD124*VLOOKUP('Données projet'!$B$13,Paramètres!$A$1:$I$89,3,0)*0.475*44/12</f>
        <v>0.86733540566971812</v>
      </c>
      <c r="DH124" s="21">
        <f>EXP(-LN(2)/2)*DH123+(1-EXP(-LN(2)/2))/(LN(2)/2)*DB124*DE124*VLOOKUP('Données projet'!$B$13,Paramètres!$A$1:$I$89,3,0)*0.475*44/12</f>
        <v>1.803249645500436E-13</v>
      </c>
      <c r="DI124" s="22">
        <f t="shared" si="69"/>
        <v>2.2563285468390113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2.2737367544323206E-13</v>
      </c>
      <c r="DP124" s="17">
        <f>DO124*VLOOKUP('Données projet'!$B$14,Paramètres!$A$1:$I$89,3,0)*VLOOKUP('Données projet'!$B$14,Paramètres!$A$1:$I$89,5,0)</f>
        <v>1.4897523215040565E-13</v>
      </c>
      <c r="DQ124" s="13">
        <f t="shared" si="97"/>
        <v>2.136562777003313E-12</v>
      </c>
      <c r="DR124" s="20">
        <f t="shared" si="70"/>
        <v>3.9806453659427267E-12</v>
      </c>
      <c r="DS124" s="59">
        <f t="shared" si="71"/>
        <v>293.33333333333729</v>
      </c>
      <c r="DT124" s="59">
        <f ca="1">AVERAGE(OFFSET($DS$3,0,0,'Données projet'!$E$14+1,1))-AVERAGE(OFFSET($H$3,0,0,'Données projet'!$E$14+1,1))</f>
        <v>295.92103934364718</v>
      </c>
      <c r="DU124" s="59">
        <f t="shared" si="98"/>
        <v>304.84379909635476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0.7356837963639522</v>
      </c>
      <c r="EB124" s="21">
        <f>EXP(-LN(2)/25)*EB123+(1-EXP(-LN(2)/25))/(LN(2)/25)*Calculateur!DW124*Calculateur!DY124*VLOOKUP('Données projet'!$B$14,Paramètres!$A$1:$I$89,3,0)*0.475*44/12</f>
        <v>0.5737035026582451</v>
      </c>
      <c r="EC124" s="21">
        <f>EXP(-LN(2)/2)*EC123+(1-EXP(-LN(2)/2))/(LN(2)/2)*DW124*DZ124*VLOOKUP('Données projet'!$B$14,Paramètres!$A$1:$I$89,3,0)*0.475*44/12</f>
        <v>1.1565355316020806E-13</v>
      </c>
      <c r="ED124" s="22">
        <f t="shared" si="72"/>
        <v>1.309387299022313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207.2913533618397</v>
      </c>
      <c r="EP124" s="59">
        <f t="shared" si="100"/>
        <v>230.81096055024483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1.1417815515205829</v>
      </c>
      <c r="EW124" s="21">
        <f>EXP(-LN(2)/25)*EW123+(1-EXP(-LN(2)/25))/(LN(2)/25)*Calculateur!ER124*Calculateur!ET124*VLOOKUP('Données projet'!$B$15,Paramètres!$A$1:$I$89,3,0)*0.475*44/12</f>
        <v>0.48378512244217209</v>
      </c>
      <c r="EX124" s="21">
        <f>EXP(-LN(2)/2)*EX123+(1-EXP(-LN(2)/2))/(LN(2)/2)*ER124*EU124*VLOOKUP('Données projet'!$B$15,Paramètres!$A$1:$I$89,3,0)*0.475*44/12</f>
        <v>5.9276795261504491E-14</v>
      </c>
      <c r="EY124" s="22">
        <f t="shared" si="75"/>
        <v>1.6255666739628143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319.22903094674564</v>
      </c>
      <c r="T125" s="59">
        <f t="shared" si="88"/>
        <v>254.58690973142848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1.467653852639891</v>
      </c>
      <c r="AA125" s="21">
        <f>EXP(-LN(2)/25)*AA124+(1-EXP(-LN(2)/25))/(LN(2)/25)*Calculateur!V125*Calculateur!X125*VLOOKUP('Données projet'!$B$9,Paramètres!$A$1:$I$89,3,0)*0.475*44/12</f>
        <v>0.87003335544238691</v>
      </c>
      <c r="AB125" s="21">
        <f>EXP(-LN(2)/2)*AB124+(1-EXP(-LN(2)/2))/(LN(2)/2)*V125*Y125*VLOOKUP('Données projet'!$B$9,Paramètres!$A$1:$I$89,3,0)*0.475*44/12</f>
        <v>1.5693229675546307E-13</v>
      </c>
      <c r="AC125" s="22">
        <f t="shared" si="57"/>
        <v>2.3376872080824347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-3.4106051316484809E-13</v>
      </c>
      <c r="AJ125" s="13">
        <f>AI125*VLOOKUP('Données projet'!$B$10,Paramètres!$A$1:$I$89,3,0)*VLOOKUP('Données projet'!$B$10,Paramètres!$A$1:$I$89,5,0)</f>
        <v>-1.9065282685915009E-13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544.48194192356823</v>
      </c>
      <c r="AO125" s="59">
        <f t="shared" si="90"/>
        <v>668.20427590250733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1.1871251699244847</v>
      </c>
      <c r="AV125" s="21">
        <f>EXP(-LN(2)/25)*AV124+(1-EXP(-LN(2)/25))/(LN(2)/25)*Calculateur!AQ125*Calculateur!AS125*VLOOKUP('Données projet'!$B$10,Paramètres!$A$1:$I$89,3,0)*0.475*44/12</f>
        <v>3.324633778576592</v>
      </c>
      <c r="AW125" s="21">
        <f>EXP(-LN(2)/2)*AW124+(1-EXP(-LN(2)/2))/(LN(2)/2)*AQ125*AT125*VLOOKUP('Données projet'!$B$10,Paramètres!$A$1:$I$89,3,0)*0.475*44/12</f>
        <v>2.0489150308460526E-13</v>
      </c>
      <c r="AX125" s="21">
        <f t="shared" si="60"/>
        <v>4.5117589485012823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405.7176439604217</v>
      </c>
      <c r="BJ125" s="59">
        <f t="shared" si="92"/>
        <v>278.21741231699929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1.1818057819586891</v>
      </c>
      <c r="BQ125" s="21">
        <f>EXP(-LN(2)/25)*BQ124+(1-EXP(-LN(2)/25))/(LN(2)/25)*Calculateur!BL125*Calculateur!BN125*VLOOKUP('Données projet'!$B$11,Paramètres!$A$1:$I$89,3,0)*0.475*44/12</f>
        <v>0.73064522751798799</v>
      </c>
      <c r="BR125" s="21">
        <f>EXP(-LN(2)/2)*BR124+(1-EXP(-LN(2)/2))/(LN(2)/2)*BL125*BO125*VLOOKUP('Données projet'!$B$11,Paramètres!$A$1:$I$89,3,0)*0.475*44/12</f>
        <v>1.2128726594564946E-13</v>
      </c>
      <c r="BS125" s="22">
        <f t="shared" si="63"/>
        <v>1.9124510094767984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-1.7053025658242404E-13</v>
      </c>
      <c r="CU125" s="17">
        <f>CT125*VLOOKUP('Données projet'!$B$13,Paramètres!$A$1:$I$89,3,0)*VLOOKUP('Données projet'!$B$13,Paramètres!$A$1:$I$89,5,0)</f>
        <v>-1.3567387213697657E-13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299.10536994156814</v>
      </c>
      <c r="CZ125" s="59">
        <f t="shared" si="96"/>
        <v>292.57799203101769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1.3617558328729482</v>
      </c>
      <c r="DG125" s="21">
        <f>EXP(-LN(2)/25)*DG124+(1-EXP(-LN(2)/25))/(LN(2)/25)*Calculateur!DB125*Calculateur!DD125*VLOOKUP('Données projet'!$B$13,Paramètres!$A$1:$I$89,3,0)*0.475*44/12</f>
        <v>0.843618073390493</v>
      </c>
      <c r="DH125" s="21">
        <f>EXP(-LN(2)/2)*DH124+(1-EXP(-LN(2)/2))/(LN(2)/2)*DB125*DE125*VLOOKUP('Données projet'!$B$13,Paramètres!$A$1:$I$89,3,0)*0.475*44/12</f>
        <v>1.2750900525055962E-13</v>
      </c>
      <c r="DI125" s="22">
        <f t="shared" si="69"/>
        <v>2.2053739062635684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2.2737367544323206E-13</v>
      </c>
      <c r="DP125" s="17">
        <f>DO125*VLOOKUP('Données projet'!$B$14,Paramètres!$A$1:$I$89,3,0)*VLOOKUP('Données projet'!$B$14,Paramètres!$A$1:$I$89,5,0)</f>
        <v>1.4897523215040565E-13</v>
      </c>
      <c r="DQ125" s="13">
        <f t="shared" si="97"/>
        <v>2.136562777003313E-12</v>
      </c>
      <c r="DR125" s="20">
        <f t="shared" si="70"/>
        <v>3.9806453659427267E-12</v>
      </c>
      <c r="DS125" s="59">
        <f t="shared" si="71"/>
        <v>293.33333333333729</v>
      </c>
      <c r="DT125" s="59">
        <f ca="1">AVERAGE(OFFSET($DS$3,0,0,'Données projet'!$E$14+1,1))-AVERAGE(OFFSET($H$3,0,0,'Données projet'!$E$14+1,1))</f>
        <v>295.92103934364718</v>
      </c>
      <c r="DU125" s="59">
        <f t="shared" si="98"/>
        <v>304.84379909635476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0.72125748584006322</v>
      </c>
      <c r="EB125" s="21">
        <f>EXP(-LN(2)/25)*EB124+(1-EXP(-LN(2)/25))/(LN(2)/25)*Calculateur!DW125*Calculateur!DY125*VLOOKUP('Données projet'!$B$14,Paramètres!$A$1:$I$89,3,0)*0.475*44/12</f>
        <v>0.5580155502082994</v>
      </c>
      <c r="EC125" s="21">
        <f>EXP(-LN(2)/2)*EC124+(1-EXP(-LN(2)/2))/(LN(2)/2)*DW125*DZ125*VLOOKUP('Données projet'!$B$14,Paramètres!$A$1:$I$89,3,0)*0.475*44/12</f>
        <v>8.1779411707901983E-14</v>
      </c>
      <c r="ED125" s="22">
        <f t="shared" si="72"/>
        <v>1.2792730360484443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207.2913533618397</v>
      </c>
      <c r="EP125" s="59">
        <f t="shared" si="100"/>
        <v>230.81096055024483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1.1193919117132451</v>
      </c>
      <c r="EW125" s="21">
        <f>EXP(-LN(2)/25)*EW124+(1-EXP(-LN(2)/25))/(LN(2)/25)*Calculateur!ER125*Calculateur!ET125*VLOOKUP('Données projet'!$B$15,Paramètres!$A$1:$I$89,3,0)*0.475*44/12</f>
        <v>0.470555992827837</v>
      </c>
      <c r="EX125" s="21">
        <f>EXP(-LN(2)/2)*EX124+(1-EXP(-LN(2)/2))/(LN(2)/2)*ER125*EU125*VLOOKUP('Données projet'!$B$15,Paramètres!$A$1:$I$89,3,0)*0.475*44/12</f>
        <v>4.1915023896416435E-14</v>
      </c>
      <c r="EY125" s="22">
        <f t="shared" si="75"/>
        <v>1.589947904541124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319.22903094674564</v>
      </c>
      <c r="T126" s="59">
        <f t="shared" si="88"/>
        <v>254.58690973142848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1.4388740557700812</v>
      </c>
      <c r="AA126" s="21">
        <f>EXP(-LN(2)/25)*AA125+(1-EXP(-LN(2)/25))/(LN(2)/25)*Calculateur!V126*Calculateur!X126*VLOOKUP('Données projet'!$B$9,Paramètres!$A$1:$I$89,3,0)*0.475*44/12</f>
        <v>0.8462422475847492</v>
      </c>
      <c r="AB126" s="21">
        <f>EXP(-LN(2)/2)*AB125+(1-EXP(-LN(2)/2))/(LN(2)/2)*V126*Y126*VLOOKUP('Données projet'!$B$9,Paramètres!$A$1:$I$89,3,0)*0.475*44/12</f>
        <v>1.1096789122296757E-13</v>
      </c>
      <c r="AC126" s="22">
        <f t="shared" si="57"/>
        <v>2.2851163033549415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-3.4106051316484809E-13</v>
      </c>
      <c r="AJ126" s="13">
        <f>AI126*VLOOKUP('Données projet'!$B$10,Paramètres!$A$1:$I$89,3,0)*VLOOKUP('Données projet'!$B$10,Paramètres!$A$1:$I$89,5,0)</f>
        <v>-1.9065282685915009E-13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544.48194192356823</v>
      </c>
      <c r="AO126" s="59">
        <f t="shared" si="90"/>
        <v>668.20427590250733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1.1638463694171228</v>
      </c>
      <c r="AV126" s="21">
        <f>EXP(-LN(2)/25)*AV125+(1-EXP(-LN(2)/25))/(LN(2)/25)*Calculateur!AQ126*Calculateur!AS126*VLOOKUP('Données projet'!$B$10,Paramètres!$A$1:$I$89,3,0)*0.475*44/12</f>
        <v>3.2337214930665232</v>
      </c>
      <c r="AW126" s="21">
        <f>EXP(-LN(2)/2)*AW125+(1-EXP(-LN(2)/2))/(LN(2)/2)*AQ126*AT126*VLOOKUP('Données projet'!$B$10,Paramètres!$A$1:$I$89,3,0)*0.475*44/12</f>
        <v>1.4488017123862879E-13</v>
      </c>
      <c r="AX126" s="21">
        <f t="shared" si="60"/>
        <v>4.3975678624837906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405.7176439604217</v>
      </c>
      <c r="BJ126" s="59">
        <f t="shared" si="92"/>
        <v>278.21741231699929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1.1586312914048302</v>
      </c>
      <c r="BQ126" s="21">
        <f>EXP(-LN(2)/25)*BQ125+(1-EXP(-LN(2)/25))/(LN(2)/25)*Calculateur!BL126*Calculateur!BN126*VLOOKUP('Données projet'!$B$11,Paramètres!$A$1:$I$89,3,0)*0.475*44/12</f>
        <v>0.71066569534854596</v>
      </c>
      <c r="BR126" s="21">
        <f>EXP(-LN(2)/2)*BR125+(1-EXP(-LN(2)/2))/(LN(2)/2)*BL126*BO126*VLOOKUP('Données projet'!$B$11,Paramètres!$A$1:$I$89,3,0)*0.475*44/12</f>
        <v>8.576304822174495E-14</v>
      </c>
      <c r="BS126" s="22">
        <f t="shared" si="63"/>
        <v>1.8692969867534619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-1.7053025658242404E-13</v>
      </c>
      <c r="CU126" s="17">
        <f>CT126*VLOOKUP('Données projet'!$B$13,Paramètres!$A$1:$I$89,3,0)*VLOOKUP('Données projet'!$B$13,Paramètres!$A$1:$I$89,5,0)</f>
        <v>-1.3567387213697657E-13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299.10536994156814</v>
      </c>
      <c r="CZ126" s="59">
        <f t="shared" si="96"/>
        <v>292.57799203101769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1.3350526315793538</v>
      </c>
      <c r="DG126" s="21">
        <f>EXP(-LN(2)/25)*DG125+(1-EXP(-LN(2)/25))/(LN(2)/25)*Calculateur!DB126*Calculateur!DD126*VLOOKUP('Données projet'!$B$13,Paramètres!$A$1:$I$89,3,0)*0.475*44/12</f>
        <v>0.82054929280968358</v>
      </c>
      <c r="DH126" s="21">
        <f>EXP(-LN(2)/2)*DH125+(1-EXP(-LN(2)/2))/(LN(2)/2)*DB126*DE126*VLOOKUP('Données projet'!$B$13,Paramètres!$A$1:$I$89,3,0)*0.475*44/12</f>
        <v>9.0162482275021801E-14</v>
      </c>
      <c r="DI126" s="22">
        <f t="shared" si="69"/>
        <v>2.1556019243891273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2.2737367544323206E-13</v>
      </c>
      <c r="DP126" s="17">
        <f>DO126*VLOOKUP('Données projet'!$B$14,Paramètres!$A$1:$I$89,3,0)*VLOOKUP('Données projet'!$B$14,Paramètres!$A$1:$I$89,5,0)</f>
        <v>1.4897523215040565E-13</v>
      </c>
      <c r="DQ126" s="13">
        <f t="shared" si="97"/>
        <v>2.136562777003313E-12</v>
      </c>
      <c r="DR126" s="20">
        <f t="shared" si="70"/>
        <v>3.9806453659427267E-12</v>
      </c>
      <c r="DS126" s="59">
        <f t="shared" si="71"/>
        <v>293.33333333333729</v>
      </c>
      <c r="DT126" s="59">
        <f ca="1">AVERAGE(OFFSET($DS$3,0,0,'Données projet'!$E$14+1,1))-AVERAGE(OFFSET($H$3,0,0,'Données projet'!$E$14+1,1))</f>
        <v>295.92103934364718</v>
      </c>
      <c r="DU126" s="59">
        <f t="shared" si="98"/>
        <v>304.84379909635476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0.7071140664663671</v>
      </c>
      <c r="EB126" s="21">
        <f>EXP(-LN(2)/25)*EB125+(1-EXP(-LN(2)/25))/(LN(2)/25)*Calculateur!DW126*Calculateur!DY126*VLOOKUP('Données projet'!$B$14,Paramètres!$A$1:$I$89,3,0)*0.475*44/12</f>
        <v>0.54275658564309104</v>
      </c>
      <c r="EC126" s="21">
        <f>EXP(-LN(2)/2)*EC125+(1-EXP(-LN(2)/2))/(LN(2)/2)*DW126*DZ126*VLOOKUP('Données projet'!$B$14,Paramètres!$A$1:$I$89,3,0)*0.475*44/12</f>
        <v>5.782677658010403E-14</v>
      </c>
      <c r="ED126" s="22">
        <f t="shared" si="72"/>
        <v>1.2498706521095158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207.2913533618397</v>
      </c>
      <c r="EP126" s="59">
        <f t="shared" si="100"/>
        <v>230.81096055024483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1.0974413190861974</v>
      </c>
      <c r="EW126" s="21">
        <f>EXP(-LN(2)/25)*EW125+(1-EXP(-LN(2)/25))/(LN(2)/25)*Calculateur!ER126*Calculateur!ET126*VLOOKUP('Données projet'!$B$15,Paramètres!$A$1:$I$89,3,0)*0.475*44/12</f>
        <v>0.45768861445849562</v>
      </c>
      <c r="EX126" s="21">
        <f>EXP(-LN(2)/2)*EX125+(1-EXP(-LN(2)/2))/(LN(2)/2)*ER126*EU126*VLOOKUP('Données projet'!$B$15,Paramètres!$A$1:$I$89,3,0)*0.475*44/12</f>
        <v>2.9638397630752245E-14</v>
      </c>
      <c r="EY126" s="22">
        <f t="shared" si="75"/>
        <v>1.5551299335447226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319.22903094674564</v>
      </c>
      <c r="T127" s="59">
        <f t="shared" si="88"/>
        <v>254.58690973142848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1.4106586131629455</v>
      </c>
      <c r="AA127" s="21">
        <f>EXP(-LN(2)/25)*AA126+(1-EXP(-LN(2)/25))/(LN(2)/25)*Calculateur!V127*Calculateur!X127*VLOOKUP('Données projet'!$B$9,Paramètres!$A$1:$I$89,3,0)*0.475*44/12</f>
        <v>0.82310170882259859</v>
      </c>
      <c r="AB127" s="21">
        <f>EXP(-LN(2)/2)*AB126+(1-EXP(-LN(2)/2))/(LN(2)/2)*V127*Y127*VLOOKUP('Données projet'!$B$9,Paramètres!$A$1:$I$89,3,0)*0.475*44/12</f>
        <v>7.8466148377731547E-14</v>
      </c>
      <c r="AC127" s="22">
        <f t="shared" si="57"/>
        <v>2.2337603219856228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-3.4106051316484809E-13</v>
      </c>
      <c r="AJ127" s="13">
        <f>AI127*VLOOKUP('Données projet'!$B$10,Paramètres!$A$1:$I$89,3,0)*VLOOKUP('Données projet'!$B$10,Paramètres!$A$1:$I$89,5,0)</f>
        <v>-1.9065282685915009E-13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544.48194192356823</v>
      </c>
      <c r="AO127" s="59">
        <f t="shared" si="90"/>
        <v>668.20427590250733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1.141024051989044</v>
      </c>
      <c r="AV127" s="21">
        <f>EXP(-LN(2)/25)*AV126+(1-EXP(-LN(2)/25))/(LN(2)/25)*Calculateur!AQ127*Calculateur!AS127*VLOOKUP('Données projet'!$B$10,Paramètres!$A$1:$I$89,3,0)*0.475*44/12</f>
        <v>3.1452952087845967</v>
      </c>
      <c r="AW127" s="21">
        <f>EXP(-LN(2)/2)*AW126+(1-EXP(-LN(2)/2))/(LN(2)/2)*AQ127*AT127*VLOOKUP('Données projet'!$B$10,Paramètres!$A$1:$I$89,3,0)*0.475*44/12</f>
        <v>1.0244575154230263E-13</v>
      </c>
      <c r="AX127" s="21">
        <f t="shared" si="60"/>
        <v>4.2863192607737428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405.7176439604217</v>
      </c>
      <c r="BJ127" s="59">
        <f t="shared" si="92"/>
        <v>278.21741231699929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1.1359112384756889</v>
      </c>
      <c r="BQ127" s="21">
        <f>EXP(-LN(2)/25)*BQ126+(1-EXP(-LN(2)/25))/(LN(2)/25)*Calculateur!BL127*Calculateur!BN127*VLOOKUP('Données projet'!$B$11,Paramètres!$A$1:$I$89,3,0)*0.475*44/12</f>
        <v>0.69123250453695528</v>
      </c>
      <c r="BR127" s="21">
        <f>EXP(-LN(2)/2)*BR126+(1-EXP(-LN(2)/2))/(LN(2)/2)*BL127*BO127*VLOOKUP('Données projet'!$B$11,Paramètres!$A$1:$I$89,3,0)*0.475*44/12</f>
        <v>6.0643632972824729E-14</v>
      </c>
      <c r="BS127" s="22">
        <f t="shared" si="63"/>
        <v>1.8271437430127049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-1.7053025658242404E-13</v>
      </c>
      <c r="CU127" s="17">
        <f>CT127*VLOOKUP('Données projet'!$B$13,Paramètres!$A$1:$I$89,3,0)*VLOOKUP('Données projet'!$B$13,Paramètres!$A$1:$I$89,5,0)</f>
        <v>-1.3567387213697657E-13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299.10536994156814</v>
      </c>
      <c r="CZ127" s="59">
        <f t="shared" si="96"/>
        <v>292.57799203101769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1.3088730637757824</v>
      </c>
      <c r="DG127" s="21">
        <f>EXP(-LN(2)/25)*DG126+(1-EXP(-LN(2)/25))/(LN(2)/25)*Calculateur!DB127*Calculateur!DD127*VLOOKUP('Données projet'!$B$13,Paramètres!$A$1:$I$89,3,0)*0.475*44/12</f>
        <v>0.79811132924699091</v>
      </c>
      <c r="DH127" s="21">
        <f>EXP(-LN(2)/2)*DH126+(1-EXP(-LN(2)/2))/(LN(2)/2)*DB127*DE127*VLOOKUP('Données projet'!$B$13,Paramètres!$A$1:$I$89,3,0)*0.475*44/12</f>
        <v>6.3754502625279808E-14</v>
      </c>
      <c r="DI127" s="22">
        <f t="shared" si="69"/>
        <v>2.1069843930228371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2.2737367544323206E-13</v>
      </c>
      <c r="DP127" s="17">
        <f>DO127*VLOOKUP('Données projet'!$B$14,Paramètres!$A$1:$I$89,3,0)*VLOOKUP('Données projet'!$B$14,Paramètres!$A$1:$I$89,5,0)</f>
        <v>1.4897523215040565E-13</v>
      </c>
      <c r="DQ127" s="13">
        <f t="shared" si="97"/>
        <v>2.136562777003313E-12</v>
      </c>
      <c r="DR127" s="20">
        <f t="shared" si="70"/>
        <v>3.9806453659427267E-12</v>
      </c>
      <c r="DS127" s="59">
        <f t="shared" si="71"/>
        <v>293.33333333333729</v>
      </c>
      <c r="DT127" s="59">
        <f ca="1">AVERAGE(OFFSET($DS$3,0,0,'Données projet'!$E$14+1,1))-AVERAGE(OFFSET($H$3,0,0,'Données projet'!$E$14+1,1))</f>
        <v>295.92103934364718</v>
      </c>
      <c r="DU127" s="59">
        <f t="shared" si="98"/>
        <v>304.84379909635476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0.69324799091995515</v>
      </c>
      <c r="EB127" s="21">
        <f>EXP(-LN(2)/25)*EB126+(1-EXP(-LN(2)/25))/(LN(2)/25)*Calculateur!DW127*Calculateur!DY127*VLOOKUP('Données projet'!$B$14,Paramètres!$A$1:$I$89,3,0)*0.475*44/12</f>
        <v>0.52791487826635242</v>
      </c>
      <c r="EC127" s="21">
        <f>EXP(-LN(2)/2)*EC126+(1-EXP(-LN(2)/2))/(LN(2)/2)*DW127*DZ127*VLOOKUP('Données projet'!$B$14,Paramètres!$A$1:$I$89,3,0)*0.475*44/12</f>
        <v>4.0889705853950992E-14</v>
      </c>
      <c r="ED127" s="22">
        <f t="shared" si="72"/>
        <v>1.2211628691863483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207.2913533618397</v>
      </c>
      <c r="EP127" s="59">
        <f t="shared" si="100"/>
        <v>230.81096055024483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1.0759211641920265</v>
      </c>
      <c r="EW127" s="21">
        <f>EXP(-LN(2)/25)*EW126+(1-EXP(-LN(2)/25))/(LN(2)/25)*Calculateur!ER127*Calculateur!ET127*VLOOKUP('Données projet'!$B$15,Paramètres!$A$1:$I$89,3,0)*0.475*44/12</f>
        <v>0.4451730952273299</v>
      </c>
      <c r="EX127" s="21">
        <f>EXP(-LN(2)/2)*EX126+(1-EXP(-LN(2)/2))/(LN(2)/2)*ER127*EU127*VLOOKUP('Données projet'!$B$15,Paramètres!$A$1:$I$89,3,0)*0.475*44/12</f>
        <v>2.0957511948208217E-14</v>
      </c>
      <c r="EY127" s="22">
        <f t="shared" si="75"/>
        <v>1.5210942594193773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319.22903094674564</v>
      </c>
      <c r="T128" s="59">
        <f t="shared" si="88"/>
        <v>254.58690973142848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1.3829964581756151</v>
      </c>
      <c r="AA128" s="21">
        <f>EXP(-LN(2)/25)*AA127+(1-EXP(-LN(2)/25))/(LN(2)/25)*Calculateur!V128*Calculateur!X128*VLOOKUP('Données projet'!$B$9,Paramètres!$A$1:$I$89,3,0)*0.475*44/12</f>
        <v>0.80059394930980698</v>
      </c>
      <c r="AB128" s="21">
        <f>EXP(-LN(2)/2)*AB127+(1-EXP(-LN(2)/2))/(LN(2)/2)*V128*Y128*VLOOKUP('Données projet'!$B$9,Paramètres!$A$1:$I$89,3,0)*0.475*44/12</f>
        <v>5.5483945611483799E-14</v>
      </c>
      <c r="AC128" s="22">
        <f t="shared" si="57"/>
        <v>2.1835904074854775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-3.4106051316484809E-13</v>
      </c>
      <c r="AJ128" s="13">
        <f>AI128*VLOOKUP('Données projet'!$B$10,Paramètres!$A$1:$I$89,3,0)*VLOOKUP('Données projet'!$B$10,Paramètres!$A$1:$I$89,5,0)</f>
        <v>-1.9065282685915009E-13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544.48194192356823</v>
      </c>
      <c r="AO128" s="59">
        <f t="shared" si="90"/>
        <v>668.20427590250733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1.1186492662854906</v>
      </c>
      <c r="AV128" s="21">
        <f>EXP(-LN(2)/25)*AV127+(1-EXP(-LN(2)/25))/(LN(2)/25)*Calculateur!AQ128*Calculateur!AS128*VLOOKUP('Données projet'!$B$10,Paramètres!$A$1:$I$89,3,0)*0.475*44/12</f>
        <v>3.0592869458964955</v>
      </c>
      <c r="AW128" s="21">
        <f>EXP(-LN(2)/2)*AW127+(1-EXP(-LN(2)/2))/(LN(2)/2)*AQ128*AT128*VLOOKUP('Données projet'!$B$10,Paramètres!$A$1:$I$89,3,0)*0.475*44/12</f>
        <v>7.2440085619314397E-14</v>
      </c>
      <c r="AX128" s="21">
        <f t="shared" si="60"/>
        <v>4.1779362121820594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405.7176439604217</v>
      </c>
      <c r="BJ128" s="59">
        <f t="shared" si="92"/>
        <v>278.21741231699929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1.1136367119266242</v>
      </c>
      <c r="BQ128" s="21">
        <f>EXP(-LN(2)/25)*BQ127+(1-EXP(-LN(2)/25))/(LN(2)/25)*Calculateur!BL128*Calculateur!BN128*VLOOKUP('Données projet'!$B$11,Paramètres!$A$1:$I$89,3,0)*0.475*44/12</f>
        <v>0.67233071535005462</v>
      </c>
      <c r="BR128" s="21">
        <f>EXP(-LN(2)/2)*BR127+(1-EXP(-LN(2)/2))/(LN(2)/2)*BL128*BO128*VLOOKUP('Données projet'!$B$11,Paramètres!$A$1:$I$89,3,0)*0.475*44/12</f>
        <v>4.2881524110872475E-14</v>
      </c>
      <c r="BS128" s="22">
        <f t="shared" si="63"/>
        <v>1.7859674272767216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-1.7053025658242404E-13</v>
      </c>
      <c r="CU128" s="17">
        <f>CT128*VLOOKUP('Données projet'!$B$13,Paramètres!$A$1:$I$89,3,0)*VLOOKUP('Données projet'!$B$13,Paramètres!$A$1:$I$89,5,0)</f>
        <v>-1.3567387213697657E-13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299.10536994156814</v>
      </c>
      <c r="CZ128" s="59">
        <f t="shared" si="96"/>
        <v>292.57799203101769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1.2832068613288792</v>
      </c>
      <c r="DG128" s="21">
        <f>EXP(-LN(2)/25)*DG127+(1-EXP(-LN(2)/25))/(LN(2)/25)*Calculateur!DB128*Calculateur!DD128*VLOOKUP('Données projet'!$B$13,Paramètres!$A$1:$I$89,3,0)*0.475*44/12</f>
        <v>0.77628693297788121</v>
      </c>
      <c r="DH128" s="21">
        <f>EXP(-LN(2)/2)*DH127+(1-EXP(-LN(2)/2))/(LN(2)/2)*DB128*DE128*VLOOKUP('Données projet'!$B$13,Paramètres!$A$1:$I$89,3,0)*0.475*44/12</f>
        <v>4.50812411375109E-14</v>
      </c>
      <c r="DI128" s="22">
        <f t="shared" si="69"/>
        <v>2.0594937943068059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2.2737367544323206E-13</v>
      </c>
      <c r="DP128" s="17">
        <f>DO128*VLOOKUP('Données projet'!$B$14,Paramètres!$A$1:$I$89,3,0)*VLOOKUP('Données projet'!$B$14,Paramètres!$A$1:$I$89,5,0)</f>
        <v>1.4897523215040565E-13</v>
      </c>
      <c r="DQ128" s="13">
        <f t="shared" si="97"/>
        <v>2.136562777003313E-12</v>
      </c>
      <c r="DR128" s="20">
        <f t="shared" si="70"/>
        <v>3.9806453659427267E-12</v>
      </c>
      <c r="DS128" s="59">
        <f t="shared" si="71"/>
        <v>293.33333333333729</v>
      </c>
      <c r="DT128" s="59">
        <f ca="1">AVERAGE(OFFSET($DS$3,0,0,'Données projet'!$E$14+1,1))-AVERAGE(OFFSET($H$3,0,0,'Données projet'!$E$14+1,1))</f>
        <v>295.92103934364718</v>
      </c>
      <c r="DU128" s="59">
        <f t="shared" si="98"/>
        <v>304.84379909635476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0.67965382065753732</v>
      </c>
      <c r="EB128" s="21">
        <f>EXP(-LN(2)/25)*EB127+(1-EXP(-LN(2)/25))/(LN(2)/25)*Calculateur!DW128*Calculateur!DY128*VLOOKUP('Données projet'!$B$14,Paramètres!$A$1:$I$89,3,0)*0.475*44/12</f>
        <v>0.51347901815832209</v>
      </c>
      <c r="EC128" s="21">
        <f>EXP(-LN(2)/2)*EC127+(1-EXP(-LN(2)/2))/(LN(2)/2)*DW128*DZ128*VLOOKUP('Données projet'!$B$14,Paramètres!$A$1:$I$89,3,0)*0.475*44/12</f>
        <v>2.8913388290052015E-14</v>
      </c>
      <c r="ED128" s="22">
        <f t="shared" si="72"/>
        <v>1.1931328388158882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207.2913533618397</v>
      </c>
      <c r="EP128" s="59">
        <f t="shared" si="100"/>
        <v>230.81096055024483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1.054823006409332</v>
      </c>
      <c r="EW128" s="21">
        <f>EXP(-LN(2)/25)*EW127+(1-EXP(-LN(2)/25))/(LN(2)/25)*Calculateur!ER128*Calculateur!ET128*VLOOKUP('Données projet'!$B$15,Paramètres!$A$1:$I$89,3,0)*0.475*44/12</f>
        <v>0.43299981352770295</v>
      </c>
      <c r="EX128" s="21">
        <f>EXP(-LN(2)/2)*EX127+(1-EXP(-LN(2)/2))/(LN(2)/2)*ER128*EU128*VLOOKUP('Données projet'!$B$15,Paramètres!$A$1:$I$89,3,0)*0.475*44/12</f>
        <v>1.4819198815376123E-14</v>
      </c>
      <c r="EY128" s="22">
        <f t="shared" si="75"/>
        <v>1.4878228199370498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319.22903094674564</v>
      </c>
      <c r="T129" s="59">
        <f t="shared" si="88"/>
        <v>254.58690973142848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1.3558767411753376</v>
      </c>
      <c r="AA129" s="21">
        <f>EXP(-LN(2)/25)*AA128+(1-EXP(-LN(2)/25))/(LN(2)/25)*Calculateur!V129*Calculateur!X129*VLOOKUP('Données projet'!$B$9,Paramètres!$A$1:$I$89,3,0)*0.475*44/12</f>
        <v>0.77870166566452426</v>
      </c>
      <c r="AB129" s="21">
        <f>EXP(-LN(2)/2)*AB128+(1-EXP(-LN(2)/2))/(LN(2)/2)*V129*Y129*VLOOKUP('Données projet'!$B$9,Paramètres!$A$1:$I$89,3,0)*0.475*44/12</f>
        <v>3.923307418886578E-14</v>
      </c>
      <c r="AC129" s="22">
        <f t="shared" si="57"/>
        <v>2.1345784068399007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-3.4106051316484809E-13</v>
      </c>
      <c r="AJ129" s="13">
        <f>AI129*VLOOKUP('Données projet'!$B$10,Paramètres!$A$1:$I$89,3,0)*VLOOKUP('Données projet'!$B$10,Paramètres!$A$1:$I$89,5,0)</f>
        <v>-1.9065282685915009E-13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544.48194192356823</v>
      </c>
      <c r="AO129" s="59">
        <f t="shared" si="90"/>
        <v>668.20427590250733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1.0967132364823122</v>
      </c>
      <c r="AV129" s="21">
        <f>EXP(-LN(2)/25)*AV128+(1-EXP(-LN(2)/25))/(LN(2)/25)*Calculateur!AQ129*Calculateur!AS129*VLOOKUP('Données projet'!$B$10,Paramètres!$A$1:$I$89,3,0)*0.475*44/12</f>
        <v>2.9756305834800476</v>
      </c>
      <c r="AW129" s="21">
        <f>EXP(-LN(2)/2)*AW128+(1-EXP(-LN(2)/2))/(LN(2)/2)*AQ129*AT129*VLOOKUP('Données projet'!$B$10,Paramètres!$A$1:$I$89,3,0)*0.475*44/12</f>
        <v>5.1222875771151314E-14</v>
      </c>
      <c r="AX129" s="21">
        <f t="shared" si="60"/>
        <v>4.0723438199624109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405.7176439604217</v>
      </c>
      <c r="BJ129" s="59">
        <f t="shared" si="92"/>
        <v>278.21741231699929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1.0917989752570669</v>
      </c>
      <c r="BQ129" s="21">
        <f>EXP(-LN(2)/25)*BQ128+(1-EXP(-LN(2)/25))/(LN(2)/25)*Calculateur!BL129*Calculateur!BN129*VLOOKUP('Données projet'!$B$11,Paramètres!$A$1:$I$89,3,0)*0.475*44/12</f>
        <v>0.65394579658247165</v>
      </c>
      <c r="BR129" s="21">
        <f>EXP(-LN(2)/2)*BR128+(1-EXP(-LN(2)/2))/(LN(2)/2)*BL129*BO129*VLOOKUP('Données projet'!$B$11,Paramètres!$A$1:$I$89,3,0)*0.475*44/12</f>
        <v>3.0321816486412365E-14</v>
      </c>
      <c r="BS129" s="22">
        <f t="shared" si="63"/>
        <v>1.7457447718395691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-1.7053025658242404E-13</v>
      </c>
      <c r="CU129" s="17">
        <f>CT129*VLOOKUP('Données projet'!$B$13,Paramètres!$A$1:$I$89,3,0)*VLOOKUP('Données projet'!$B$13,Paramètres!$A$1:$I$89,5,0)</f>
        <v>-1.3567387213697657E-13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299.10536994156814</v>
      </c>
      <c r="CZ129" s="59">
        <f t="shared" si="96"/>
        <v>292.57799203101769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1.2580439574571221</v>
      </c>
      <c r="DG129" s="21">
        <f>EXP(-LN(2)/25)*DG128+(1-EXP(-LN(2)/25))/(LN(2)/25)*Calculateur!DB129*Calculateur!DD129*VLOOKUP('Données projet'!$B$13,Paramètres!$A$1:$I$89,3,0)*0.475*44/12</f>
        <v>0.75505932597244552</v>
      </c>
      <c r="DH129" s="21">
        <f>EXP(-LN(2)/2)*DH128+(1-EXP(-LN(2)/2))/(LN(2)/2)*DB129*DE129*VLOOKUP('Données projet'!$B$13,Paramètres!$A$1:$I$89,3,0)*0.475*44/12</f>
        <v>3.1877251312639904E-14</v>
      </c>
      <c r="DI129" s="22">
        <f t="shared" si="69"/>
        <v>2.0131032834295994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2.2737367544323206E-13</v>
      </c>
      <c r="DP129" s="17">
        <f>DO129*VLOOKUP('Données projet'!$B$14,Paramètres!$A$1:$I$89,3,0)*VLOOKUP('Données projet'!$B$14,Paramètres!$A$1:$I$89,5,0)</f>
        <v>1.4897523215040565E-13</v>
      </c>
      <c r="DQ129" s="13">
        <f t="shared" si="97"/>
        <v>2.136562777003313E-12</v>
      </c>
      <c r="DR129" s="20">
        <f t="shared" si="70"/>
        <v>3.9806453659427267E-12</v>
      </c>
      <c r="DS129" s="59">
        <f t="shared" si="71"/>
        <v>293.33333333333729</v>
      </c>
      <c r="DT129" s="59">
        <f ca="1">AVERAGE(OFFSET($DS$3,0,0,'Données projet'!$E$14+1,1))-AVERAGE(OFFSET($H$3,0,0,'Données projet'!$E$14+1,1))</f>
        <v>295.92103934364718</v>
      </c>
      <c r="DU129" s="59">
        <f t="shared" si="98"/>
        <v>304.84379909635476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0.66632622378234041</v>
      </c>
      <c r="EB129" s="21">
        <f>EXP(-LN(2)/25)*EB128+(1-EXP(-LN(2)/25))/(LN(2)/25)*Calculateur!DW129*Calculateur!DY129*VLOOKUP('Données projet'!$B$14,Paramètres!$A$1:$I$89,3,0)*0.475*44/12</f>
        <v>0.49943790740409477</v>
      </c>
      <c r="EC129" s="21">
        <f>EXP(-LN(2)/2)*EC128+(1-EXP(-LN(2)/2))/(LN(2)/2)*DW129*DZ129*VLOOKUP('Données projet'!$B$14,Paramètres!$A$1:$I$89,3,0)*0.475*44/12</f>
        <v>2.0444852926975496E-14</v>
      </c>
      <c r="ED129" s="22">
        <f t="shared" si="72"/>
        <v>1.1657641311864557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207.2913533618397</v>
      </c>
      <c r="EP129" s="59">
        <f t="shared" si="100"/>
        <v>230.81096055024483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1.0341385706321506</v>
      </c>
      <c r="EW129" s="21">
        <f>EXP(-LN(2)/25)*EW128+(1-EXP(-LN(2)/25))/(LN(2)/25)*Calculateur!ER129*Calculateur!ET129*VLOOKUP('Données projet'!$B$15,Paramètres!$A$1:$I$89,3,0)*0.475*44/12</f>
        <v>0.42115941085631736</v>
      </c>
      <c r="EX129" s="21">
        <f>EXP(-LN(2)/2)*EX128+(1-EXP(-LN(2)/2))/(LN(2)/2)*ER129*EU129*VLOOKUP('Données projet'!$B$15,Paramètres!$A$1:$I$89,3,0)*0.475*44/12</f>
        <v>1.0478755974104109E-14</v>
      </c>
      <c r="EY129" s="22">
        <f t="shared" si="75"/>
        <v>1.4552979814884786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319.22903094674564</v>
      </c>
      <c r="T130" s="59">
        <f t="shared" si="88"/>
        <v>254.58690973142848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1.3292888252840416</v>
      </c>
      <c r="AA130" s="21">
        <f>EXP(-LN(2)/25)*AA129+(1-EXP(-LN(2)/25))/(LN(2)/25)*Calculateur!V130*Calculateur!X130*VLOOKUP('Données projet'!$B$9,Paramètres!$A$1:$I$89,3,0)*0.475*44/12</f>
        <v>0.75740802766678694</v>
      </c>
      <c r="AB130" s="21">
        <f>EXP(-LN(2)/2)*AB129+(1-EXP(-LN(2)/2))/(LN(2)/2)*V130*Y130*VLOOKUP('Données projet'!$B$9,Paramètres!$A$1:$I$89,3,0)*0.475*44/12</f>
        <v>2.7741972805741903E-14</v>
      </c>
      <c r="AC130" s="22">
        <f t="shared" si="57"/>
        <v>2.0866968529508561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-3.4106051316484809E-13</v>
      </c>
      <c r="AJ130" s="13">
        <f>AI130*VLOOKUP('Données projet'!$B$10,Paramètres!$A$1:$I$89,3,0)*VLOOKUP('Données projet'!$B$10,Paramètres!$A$1:$I$89,5,0)</f>
        <v>-1.9065282685915009E-13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544.48194192356823</v>
      </c>
      <c r="AO130" s="59">
        <f t="shared" si="90"/>
        <v>668.20427590250733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1.075207358843917</v>
      </c>
      <c r="AV130" s="21">
        <f>EXP(-LN(2)/25)*AV129+(1-EXP(-LN(2)/25))/(LN(2)/25)*Calculateur!AQ130*Calculateur!AS130*VLOOKUP('Données projet'!$B$10,Paramètres!$A$1:$I$89,3,0)*0.475*44/12</f>
        <v>2.8942618086931744</v>
      </c>
      <c r="AW130" s="21">
        <f>EXP(-LN(2)/2)*AW129+(1-EXP(-LN(2)/2))/(LN(2)/2)*AQ130*AT130*VLOOKUP('Données projet'!$B$10,Paramètres!$A$1:$I$89,3,0)*0.475*44/12</f>
        <v>3.6220042809657198E-14</v>
      </c>
      <c r="AX130" s="21">
        <f t="shared" si="60"/>
        <v>3.9694691675371279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405.7176439604217</v>
      </c>
      <c r="BJ130" s="59">
        <f t="shared" si="92"/>
        <v>278.21741231699929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1.0703894632838955</v>
      </c>
      <c r="BQ130" s="21">
        <f>EXP(-LN(2)/25)*BQ129+(1-EXP(-LN(2)/25))/(LN(2)/25)*Calculateur!BL130*Calculateur!BN130*VLOOKUP('Données projet'!$B$11,Paramètres!$A$1:$I$89,3,0)*0.475*44/12</f>
        <v>0.63606361438540915</v>
      </c>
      <c r="BR130" s="21">
        <f>EXP(-LN(2)/2)*BR129+(1-EXP(-LN(2)/2))/(LN(2)/2)*BL130*BO130*VLOOKUP('Données projet'!$B$11,Paramètres!$A$1:$I$89,3,0)*0.475*44/12</f>
        <v>2.1440762055436237E-14</v>
      </c>
      <c r="BS130" s="22">
        <f t="shared" si="63"/>
        <v>1.7064530776693261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-1.7053025658242404E-13</v>
      </c>
      <c r="CU130" s="17">
        <f>CT130*VLOOKUP('Données projet'!$B$13,Paramètres!$A$1:$I$89,3,0)*VLOOKUP('Données projet'!$B$13,Paramètres!$A$1:$I$89,5,0)</f>
        <v>-1.3567387213697657E-13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299.10536994156814</v>
      </c>
      <c r="CZ130" s="59">
        <f t="shared" si="96"/>
        <v>292.57799203101769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1.2333744827824342</v>
      </c>
      <c r="DG130" s="21">
        <f>EXP(-LN(2)/25)*DG129+(1-EXP(-LN(2)/25))/(LN(2)/25)*Calculateur!DB130*Calculateur!DD130*VLOOKUP('Données projet'!$B$13,Paramètres!$A$1:$I$89,3,0)*0.475*44/12</f>
        <v>0.73441218899688476</v>
      </c>
      <c r="DH130" s="21">
        <f>EXP(-LN(2)/2)*DH129+(1-EXP(-LN(2)/2))/(LN(2)/2)*DB130*DE130*VLOOKUP('Données projet'!$B$13,Paramètres!$A$1:$I$89,3,0)*0.475*44/12</f>
        <v>2.254062056875545E-14</v>
      </c>
      <c r="DI130" s="22">
        <f t="shared" si="69"/>
        <v>1.9677866717793417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2.2737367544323206E-13</v>
      </c>
      <c r="DP130" s="17">
        <f>DO130*VLOOKUP('Données projet'!$B$14,Paramètres!$A$1:$I$89,3,0)*VLOOKUP('Données projet'!$B$14,Paramètres!$A$1:$I$89,5,0)</f>
        <v>1.4897523215040565E-13</v>
      </c>
      <c r="DQ130" s="13">
        <f t="shared" si="97"/>
        <v>2.136562777003313E-12</v>
      </c>
      <c r="DR130" s="20">
        <f t="shared" si="70"/>
        <v>3.9806453659427267E-12</v>
      </c>
      <c r="DS130" s="59">
        <f t="shared" si="71"/>
        <v>293.33333333333729</v>
      </c>
      <c r="DT130" s="59">
        <f ca="1">AVERAGE(OFFSET($DS$3,0,0,'Données projet'!$E$14+1,1))-AVERAGE(OFFSET($H$3,0,0,'Données projet'!$E$14+1,1))</f>
        <v>295.92103934364718</v>
      </c>
      <c r="DU130" s="59">
        <f t="shared" si="98"/>
        <v>304.84379909635476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0.65325997295283467</v>
      </c>
      <c r="EB130" s="21">
        <f>EXP(-LN(2)/25)*EB129+(1-EXP(-LN(2)/25))/(LN(2)/25)*Calculateur!DW130*Calculateur!DY130*VLOOKUP('Données projet'!$B$14,Paramètres!$A$1:$I$89,3,0)*0.475*44/12</f>
        <v>0.48578075156183176</v>
      </c>
      <c r="EC130" s="21">
        <f>EXP(-LN(2)/2)*EC129+(1-EXP(-LN(2)/2))/(LN(2)/2)*DW130*DZ130*VLOOKUP('Données projet'!$B$14,Paramètres!$A$1:$I$89,3,0)*0.475*44/12</f>
        <v>1.4456694145026007E-14</v>
      </c>
      <c r="ED130" s="22">
        <f t="shared" si="72"/>
        <v>1.139040724514681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207.2913533618397</v>
      </c>
      <c r="EP130" s="59">
        <f t="shared" si="100"/>
        <v>230.81096055024483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1.0138597440242996</v>
      </c>
      <c r="EW130" s="21">
        <f>EXP(-LN(2)/25)*EW129+(1-EXP(-LN(2)/25))/(LN(2)/25)*Calculateur!ER130*Calculateur!ET130*VLOOKUP('Données projet'!$B$15,Paramètres!$A$1:$I$89,3,0)*0.475*44/12</f>
        <v>0.40964278461864051</v>
      </c>
      <c r="EX130" s="21">
        <f>EXP(-LN(2)/2)*EX129+(1-EXP(-LN(2)/2))/(LN(2)/2)*ER130*EU130*VLOOKUP('Données projet'!$B$15,Paramètres!$A$1:$I$89,3,0)*0.475*44/12</f>
        <v>7.4095994076880613E-15</v>
      </c>
      <c r="EY130" s="22">
        <f t="shared" si="75"/>
        <v>1.4235025286429475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319.22903094674564</v>
      </c>
      <c r="T131" s="59">
        <f t="shared" si="88"/>
        <v>254.58690973142848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1.3032222822063464</v>
      </c>
      <c r="AA131" s="21">
        <f>EXP(-LN(2)/25)*AA130+(1-EXP(-LN(2)/25))/(LN(2)/25)*Calculateur!V131*Calculateur!X131*VLOOKUP('Données projet'!$B$9,Paramètres!$A$1:$I$89,3,0)*0.475*44/12</f>
        <v>0.73669666531988154</v>
      </c>
      <c r="AB131" s="21">
        <f>EXP(-LN(2)/2)*AB130+(1-EXP(-LN(2)/2))/(LN(2)/2)*V131*Y131*VLOOKUP('Données projet'!$B$9,Paramètres!$A$1:$I$89,3,0)*0.475*44/12</f>
        <v>1.9616537094432893E-14</v>
      </c>
      <c r="AC131" s="22">
        <f t="shared" si="57"/>
        <v>2.0399189475262474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-3.4106051316484809E-13</v>
      </c>
      <c r="AJ131" s="13">
        <f>AI131*VLOOKUP('Données projet'!$B$10,Paramètres!$A$1:$I$89,3,0)*VLOOKUP('Données projet'!$B$10,Paramètres!$A$1:$I$89,5,0)</f>
        <v>-1.9065282685915009E-13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544.48194192356823</v>
      </c>
      <c r="AO131" s="59">
        <f t="shared" si="90"/>
        <v>668.20427590250733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1.0541231983487207</v>
      </c>
      <c r="AV131" s="21">
        <f>EXP(-LN(2)/25)*AV130+(1-EXP(-LN(2)/25))/(LN(2)/25)*Calculateur!AQ131*Calculateur!AS131*VLOOKUP('Données projet'!$B$10,Paramètres!$A$1:$I$89,3,0)*0.475*44/12</f>
        <v>2.8151180673318459</v>
      </c>
      <c r="AW131" s="21">
        <f>EXP(-LN(2)/2)*AW130+(1-EXP(-LN(2)/2))/(LN(2)/2)*AQ131*AT131*VLOOKUP('Données projet'!$B$10,Paramètres!$A$1:$I$89,3,0)*0.475*44/12</f>
        <v>2.5611437885575657E-14</v>
      </c>
      <c r="AX131" s="21">
        <f t="shared" si="60"/>
        <v>3.8692412656805923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405.7176439604217</v>
      </c>
      <c r="BJ131" s="59">
        <f t="shared" si="92"/>
        <v>278.21741231699929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1.0493997787820051</v>
      </c>
      <c r="BQ131" s="21">
        <f>EXP(-LN(2)/25)*BQ130+(1-EXP(-LN(2)/25))/(LN(2)/25)*Calculateur!BL131*Calculateur!BN131*VLOOKUP('Données projet'!$B$11,Paramètres!$A$1:$I$89,3,0)*0.475*44/12</f>
        <v>0.61867042140090844</v>
      </c>
      <c r="BR131" s="21">
        <f>EXP(-LN(2)/2)*BR130+(1-EXP(-LN(2)/2))/(LN(2)/2)*BL131*BO131*VLOOKUP('Données projet'!$B$11,Paramètres!$A$1:$I$89,3,0)*0.475*44/12</f>
        <v>1.5160908243206182E-14</v>
      </c>
      <c r="BS131" s="22">
        <f t="shared" si="63"/>
        <v>1.6680702001829286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-1.7053025658242404E-13</v>
      </c>
      <c r="CU131" s="17">
        <f>CT131*VLOOKUP('Données projet'!$B$13,Paramètres!$A$1:$I$89,3,0)*VLOOKUP('Données projet'!$B$13,Paramètres!$A$1:$I$89,5,0)</f>
        <v>-1.3567387213697657E-13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299.10536994156814</v>
      </c>
      <c r="CZ131" s="59">
        <f t="shared" si="96"/>
        <v>292.57799203101769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1.2091887614592234</v>
      </c>
      <c r="DG131" s="21">
        <f>EXP(-LN(2)/25)*DG130+(1-EXP(-LN(2)/25))/(LN(2)/25)*Calculateur!DB131*Calculateur!DD131*VLOOKUP('Données projet'!$B$13,Paramètres!$A$1:$I$89,3,0)*0.475*44/12</f>
        <v>0.71432964906770646</v>
      </c>
      <c r="DH131" s="21">
        <f>EXP(-LN(2)/2)*DH130+(1-EXP(-LN(2)/2))/(LN(2)/2)*DB131*DE131*VLOOKUP('Données projet'!$B$13,Paramètres!$A$1:$I$89,3,0)*0.475*44/12</f>
        <v>1.5938625656319952E-14</v>
      </c>
      <c r="DI131" s="22">
        <f t="shared" si="69"/>
        <v>1.9235184105269458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2.2737367544323206E-13</v>
      </c>
      <c r="DP131" s="17">
        <f>DO131*VLOOKUP('Données projet'!$B$14,Paramètres!$A$1:$I$89,3,0)*VLOOKUP('Données projet'!$B$14,Paramètres!$A$1:$I$89,5,0)</f>
        <v>1.4897523215040565E-13</v>
      </c>
      <c r="DQ131" s="13">
        <f t="shared" si="97"/>
        <v>2.136562777003313E-12</v>
      </c>
      <c r="DR131" s="20">
        <f t="shared" si="70"/>
        <v>3.9806453659427267E-12</v>
      </c>
      <c r="DS131" s="59">
        <f t="shared" si="71"/>
        <v>293.33333333333729</v>
      </c>
      <c r="DT131" s="59">
        <f ca="1">AVERAGE(OFFSET($DS$3,0,0,'Données projet'!$E$14+1,1))-AVERAGE(OFFSET($H$3,0,0,'Données projet'!$E$14+1,1))</f>
        <v>295.92103934364718</v>
      </c>
      <c r="DU131" s="59">
        <f t="shared" si="98"/>
        <v>304.84379909635476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0.64044994333246952</v>
      </c>
      <c r="EB131" s="21">
        <f>EXP(-LN(2)/25)*EB130+(1-EXP(-LN(2)/25))/(LN(2)/25)*Calculateur!DW131*Calculateur!DY131*VLOOKUP('Données projet'!$B$14,Paramètres!$A$1:$I$89,3,0)*0.475*44/12</f>
        <v>0.472497051364274</v>
      </c>
      <c r="EC131" s="21">
        <f>EXP(-LN(2)/2)*EC130+(1-EXP(-LN(2)/2))/(LN(2)/2)*DW131*DZ131*VLOOKUP('Données projet'!$B$14,Paramètres!$A$1:$I$89,3,0)*0.475*44/12</f>
        <v>1.0222426463487748E-14</v>
      </c>
      <c r="ED131" s="22">
        <f t="shared" si="72"/>
        <v>1.1129469946967538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207.2913533618397</v>
      </c>
      <c r="EP131" s="59">
        <f t="shared" si="100"/>
        <v>230.81096055024483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0.99397857283736568</v>
      </c>
      <c r="EW131" s="21">
        <f>EXP(-LN(2)/25)*EW130+(1-EXP(-LN(2)/25))/(LN(2)/25)*Calculateur!ER131*Calculateur!ET131*VLOOKUP('Données projet'!$B$15,Paramètres!$A$1:$I$89,3,0)*0.475*44/12</f>
        <v>0.39844108113106597</v>
      </c>
      <c r="EX131" s="21">
        <f>EXP(-LN(2)/2)*EX130+(1-EXP(-LN(2)/2))/(LN(2)/2)*ER131*EU131*VLOOKUP('Données projet'!$B$15,Paramètres!$A$1:$I$89,3,0)*0.475*44/12</f>
        <v>5.2393779870520543E-15</v>
      </c>
      <c r="EY131" s="22">
        <f t="shared" si="75"/>
        <v>1.392419653968437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319.22903094674564</v>
      </c>
      <c r="T132" s="59">
        <f t="shared" si="88"/>
        <v>254.58690973142848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1.2776668881393836</v>
      </c>
      <c r="AA132" s="21">
        <f>EXP(-LN(2)/25)*AA131+(1-EXP(-LN(2)/25))/(LN(2)/25)*Calculateur!V132*Calculateur!X132*VLOOKUP('Données projet'!$B$9,Paramètres!$A$1:$I$89,3,0)*0.475*44/12</f>
        <v>0.71655165626551554</v>
      </c>
      <c r="AB132" s="21">
        <f>EXP(-LN(2)/2)*AB131+(1-EXP(-LN(2)/2))/(LN(2)/2)*V132*Y132*VLOOKUP('Données projet'!$B$9,Paramètres!$A$1:$I$89,3,0)*0.475*44/12</f>
        <v>1.3870986402870953E-14</v>
      </c>
      <c r="AC132" s="22">
        <f t="shared" ref="AC132:AC153" si="111">SUM(Z132:AB132)</f>
        <v>1.9942185444049128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-3.4106051316484809E-13</v>
      </c>
      <c r="AJ132" s="13">
        <f>AI132*VLOOKUP('Données projet'!$B$10,Paramètres!$A$1:$I$89,3,0)*VLOOKUP('Données projet'!$B$10,Paramètres!$A$1:$I$89,5,0)</f>
        <v>-1.9065282685915009E-13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544.48194192356823</v>
      </c>
      <c r="AO132" s="59">
        <f t="shared" si="90"/>
        <v>668.20427590250733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1.0334524853807672</v>
      </c>
      <c r="AV132" s="21">
        <f>EXP(-LN(2)/25)*AV131+(1-EXP(-LN(2)/25))/(LN(2)/25)*Calculateur!AQ132*Calculateur!AS132*VLOOKUP('Données projet'!$B$10,Paramètres!$A$1:$I$89,3,0)*0.475*44/12</f>
        <v>2.7381385157400313</v>
      </c>
      <c r="AW132" s="21">
        <f>EXP(-LN(2)/2)*AW131+(1-EXP(-LN(2)/2))/(LN(2)/2)*AQ132*AT132*VLOOKUP('Données projet'!$B$10,Paramètres!$A$1:$I$89,3,0)*0.475*44/12</f>
        <v>1.8110021404828599E-14</v>
      </c>
      <c r="AX132" s="21">
        <f t="shared" ref="AX132:AX153" si="114">SUM(AU132:AW132)</f>
        <v>3.7715910011208167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405.7176439604217</v>
      </c>
      <c r="BJ132" s="59">
        <f t="shared" si="92"/>
        <v>278.21741231699929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1.0288216891907533</v>
      </c>
      <c r="BQ132" s="21">
        <f>EXP(-LN(2)/25)*BQ131+(1-EXP(-LN(2)/25))/(LN(2)/25)*Calculateur!BL132*Calculateur!BN132*VLOOKUP('Données projet'!$B$11,Paramètres!$A$1:$I$89,3,0)*0.475*44/12</f>
        <v>0.6017528461932371</v>
      </c>
      <c r="BR132" s="21">
        <f>EXP(-LN(2)/2)*BR131+(1-EXP(-LN(2)/2))/(LN(2)/2)*BL132*BO132*VLOOKUP('Données projet'!$B$11,Paramètres!$A$1:$I$89,3,0)*0.475*44/12</f>
        <v>1.0720381027718119E-14</v>
      </c>
      <c r="BS132" s="22">
        <f t="shared" ref="BS132:BS153" si="117">SUM(BP132:BR132)</f>
        <v>1.6305745353840011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-1.7053025658242404E-13</v>
      </c>
      <c r="CU132" s="17">
        <f>CT132*VLOOKUP('Données projet'!$B$13,Paramètres!$A$1:$I$89,3,0)*VLOOKUP('Données projet'!$B$13,Paramètres!$A$1:$I$89,5,0)</f>
        <v>-1.3567387213697657E-13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299.10536994156814</v>
      </c>
      <c r="CZ132" s="59">
        <f t="shared" si="96"/>
        <v>292.57799203101769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1.1854773073793272</v>
      </c>
      <c r="DG132" s="21">
        <f>EXP(-LN(2)/25)*DG131+(1-EXP(-LN(2)/25))/(LN(2)/25)*Calculateur!DB132*Calculateur!DD132*VLOOKUP('Données projet'!$B$13,Paramètres!$A$1:$I$89,3,0)*0.475*44/12</f>
        <v>0.69479626724898635</v>
      </c>
      <c r="DH132" s="21">
        <f>EXP(-LN(2)/2)*DH131+(1-EXP(-LN(2)/2))/(LN(2)/2)*DB132*DE132*VLOOKUP('Données projet'!$B$13,Paramètres!$A$1:$I$89,3,0)*0.475*44/12</f>
        <v>1.1270310284377725E-14</v>
      </c>
      <c r="DI132" s="22">
        <f t="shared" ref="DI132:DI153" si="123">SUM(DF132:DH132)</f>
        <v>1.880273574628325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2.2737367544323206E-13</v>
      </c>
      <c r="DP132" s="17">
        <f>DO132*VLOOKUP('Données projet'!$B$14,Paramètres!$A$1:$I$89,3,0)*VLOOKUP('Données projet'!$B$14,Paramètres!$A$1:$I$89,5,0)</f>
        <v>1.4897523215040565E-13</v>
      </c>
      <c r="DQ132" s="13">
        <f t="shared" si="97"/>
        <v>2.136562777003313E-12</v>
      </c>
      <c r="DR132" s="20">
        <f t="shared" ref="DR132:DR153" si="124">(DP132+DQ132)*0.475*44/12</f>
        <v>3.9806453659427267E-12</v>
      </c>
      <c r="DS132" s="59">
        <f t="shared" ref="DS132:DS195" si="125">DR132+(DJ132+DK132)*44/12</f>
        <v>293.33333333333729</v>
      </c>
      <c r="DT132" s="59">
        <f ca="1">AVERAGE(OFFSET($DS$3,0,0,'Données projet'!$E$14+1,1))-AVERAGE(OFFSET($H$3,0,0,'Données projet'!$E$14+1,1))</f>
        <v>295.92103934364718</v>
      </c>
      <c r="DU132" s="59">
        <f t="shared" si="98"/>
        <v>304.84379909635476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0.62789111057961311</v>
      </c>
      <c r="EB132" s="21">
        <f>EXP(-LN(2)/25)*EB131+(1-EXP(-LN(2)/25))/(LN(2)/25)*Calculateur!DW132*Calculateur!DY132*VLOOKUP('Données projet'!$B$14,Paramètres!$A$1:$I$89,3,0)*0.475*44/12</f>
        <v>0.45957659464717793</v>
      </c>
      <c r="EC132" s="21">
        <f>EXP(-LN(2)/2)*EC131+(1-EXP(-LN(2)/2))/(LN(2)/2)*DW132*DZ132*VLOOKUP('Données projet'!$B$14,Paramètres!$A$1:$I$89,3,0)*0.475*44/12</f>
        <v>7.2283470725130037E-15</v>
      </c>
      <c r="ED132" s="22">
        <f t="shared" ref="ED132:ED153" si="126">SUM(EA132:EC132)</f>
        <v>1.0874677052267983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207.2913533618397</v>
      </c>
      <c r="EP132" s="59">
        <f t="shared" si="100"/>
        <v>230.81096055024483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0.97448725929109048</v>
      </c>
      <c r="EW132" s="21">
        <f>EXP(-LN(2)/25)*EW131+(1-EXP(-LN(2)/25))/(LN(2)/25)*Calculateur!ER132*Calculateur!ET132*VLOOKUP('Données projet'!$B$15,Paramètres!$A$1:$I$89,3,0)*0.475*44/12</f>
        <v>0.38754568881443113</v>
      </c>
      <c r="EX132" s="21">
        <f>EXP(-LN(2)/2)*EX131+(1-EXP(-LN(2)/2))/(LN(2)/2)*ER132*EU132*VLOOKUP('Données projet'!$B$15,Paramètres!$A$1:$I$89,3,0)*0.475*44/12</f>
        <v>3.7047997038440307E-15</v>
      </c>
      <c r="EY132" s="22">
        <f t="shared" ref="EY132:EY153" si="129">SUM(EV132:EX132)</f>
        <v>1.3620329481055253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319.22903094674564</v>
      </c>
      <c r="T133" s="59">
        <f t="shared" ref="T133:T196" si="142">$T$3</f>
        <v>254.58690973142848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1.2526126197628225</v>
      </c>
      <c r="AA133" s="21">
        <f>EXP(-LN(2)/25)*AA132+(1-EXP(-LN(2)/25))/(LN(2)/25)*Calculateur!V133*Calculateur!X133*VLOOKUP('Données projet'!$B$9,Paramètres!$A$1:$I$89,3,0)*0.475*44/12</f>
        <v>0.69695751354312108</v>
      </c>
      <c r="AB133" s="21">
        <f>EXP(-LN(2)/2)*AB132+(1-EXP(-LN(2)/2))/(LN(2)/2)*V133*Y133*VLOOKUP('Données projet'!$B$9,Paramètres!$A$1:$I$89,3,0)*0.475*44/12</f>
        <v>9.8082685472164481E-15</v>
      </c>
      <c r="AC133" s="22">
        <f t="shared" si="111"/>
        <v>1.9495701333059534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-3.4106051316484809E-13</v>
      </c>
      <c r="AJ133" s="13">
        <f>AI133*VLOOKUP('Données projet'!$B$10,Paramètres!$A$1:$I$89,3,0)*VLOOKUP('Données projet'!$B$10,Paramètres!$A$1:$I$89,5,0)</f>
        <v>-1.9065282685915009E-13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544.48194192356823</v>
      </c>
      <c r="AO133" s="59">
        <f t="shared" ref="AO133:AO196" si="144">$AO$3</f>
        <v>668.20427590250733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1.0131871124862251</v>
      </c>
      <c r="AV133" s="21">
        <f>EXP(-LN(2)/25)*AV132+(1-EXP(-LN(2)/25))/(LN(2)/25)*Calculateur!AQ133*Calculateur!AS133*VLOOKUP('Données projet'!$B$10,Paramètres!$A$1:$I$89,3,0)*0.475*44/12</f>
        <v>2.6632639740346735</v>
      </c>
      <c r="AW133" s="21">
        <f>EXP(-LN(2)/2)*AW132+(1-EXP(-LN(2)/2))/(LN(2)/2)*AQ133*AT133*VLOOKUP('Données projet'!$B$10,Paramètres!$A$1:$I$89,3,0)*0.475*44/12</f>
        <v>1.2805718942787828E-14</v>
      </c>
      <c r="AX133" s="21">
        <f t="shared" si="114"/>
        <v>3.6764510865209115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405.7176439604217</v>
      </c>
      <c r="BJ133" s="59">
        <f t="shared" ref="BJ133:BJ196" si="146">$BJ$3</f>
        <v>278.21741231699929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1.0086471233849907</v>
      </c>
      <c r="BQ133" s="21">
        <f>EXP(-LN(2)/25)*BQ132+(1-EXP(-LN(2)/25))/(LN(2)/25)*Calculateur!BL133*Calculateur!BN133*VLOOKUP('Données projet'!$B$11,Paramètres!$A$1:$I$89,3,0)*0.475*44/12</f>
        <v>0.58529788296927621</v>
      </c>
      <c r="BR133" s="21">
        <f>EXP(-LN(2)/2)*BR132+(1-EXP(-LN(2)/2))/(LN(2)/2)*BL133*BO133*VLOOKUP('Données projet'!$B$11,Paramètres!$A$1:$I$89,3,0)*0.475*44/12</f>
        <v>7.5804541216030912E-15</v>
      </c>
      <c r="BS133" s="22">
        <f t="shared" si="117"/>
        <v>1.5939450063542746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-1.7053025658242404E-13</v>
      </c>
      <c r="CU133" s="17">
        <f>CT133*VLOOKUP('Données projet'!$B$13,Paramètres!$A$1:$I$89,3,0)*VLOOKUP('Données projet'!$B$13,Paramètres!$A$1:$I$89,5,0)</f>
        <v>-1.3567387213697657E-13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299.10536994156814</v>
      </c>
      <c r="CZ133" s="59">
        <f t="shared" ref="CZ133:CZ196" si="150">$CZ$3</f>
        <v>292.57799203101769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1.1622308204513789</v>
      </c>
      <c r="DG133" s="21">
        <f>EXP(-LN(2)/25)*DG132+(1-EXP(-LN(2)/25))/(LN(2)/25)*Calculateur!DB133*Calculateur!DD133*VLOOKUP('Données projet'!$B$13,Paramètres!$A$1:$I$89,3,0)*0.475*44/12</f>
        <v>0.6757970267833151</v>
      </c>
      <c r="DH133" s="21">
        <f>EXP(-LN(2)/2)*DH132+(1-EXP(-LN(2)/2))/(LN(2)/2)*DB133*DE133*VLOOKUP('Données projet'!$B$13,Paramètres!$A$1:$I$89,3,0)*0.475*44/12</f>
        <v>7.969312828159976E-15</v>
      </c>
      <c r="DI133" s="22">
        <f t="shared" si="123"/>
        <v>1.838027847234702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2.2737367544323206E-13</v>
      </c>
      <c r="DP133" s="17">
        <f>DO133*VLOOKUP('Données projet'!$B$14,Paramètres!$A$1:$I$89,3,0)*VLOOKUP('Données projet'!$B$14,Paramètres!$A$1:$I$89,5,0)</f>
        <v>1.4897523215040565E-13</v>
      </c>
      <c r="DQ133" s="13">
        <f t="shared" ref="DQ133:DQ153" si="151">EXP(-1.0587+0.8836*LN(DP133)+0.284)</f>
        <v>2.136562777003313E-12</v>
      </c>
      <c r="DR133" s="20">
        <f t="shared" si="124"/>
        <v>3.9806453659427267E-12</v>
      </c>
      <c r="DS133" s="59">
        <f t="shared" si="125"/>
        <v>293.33333333333729</v>
      </c>
      <c r="DT133" s="59">
        <f ca="1">AVERAGE(OFFSET($DS$3,0,0,'Données projet'!$E$14+1,1))-AVERAGE(OFFSET($H$3,0,0,'Données projet'!$E$14+1,1))</f>
        <v>295.92103934364718</v>
      </c>
      <c r="DU133" s="59">
        <f t="shared" ref="DU133:DU196" si="152">$DU$3</f>
        <v>304.84379909635476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0.61557854887690866</v>
      </c>
      <c r="EB133" s="21">
        <f>EXP(-LN(2)/25)*EB132+(1-EXP(-LN(2)/25))/(LN(2)/25)*Calculateur!DW133*Calculateur!DY133*VLOOKUP('Données projet'!$B$14,Paramètres!$A$1:$I$89,3,0)*0.475*44/12</f>
        <v>0.44700944849846813</v>
      </c>
      <c r="EC133" s="21">
        <f>EXP(-LN(2)/2)*EC132+(1-EXP(-LN(2)/2))/(LN(2)/2)*DW133*DZ133*VLOOKUP('Données projet'!$B$14,Paramètres!$A$1:$I$89,3,0)*0.475*44/12</f>
        <v>5.111213231743874E-15</v>
      </c>
      <c r="ED133" s="22">
        <f t="shared" si="126"/>
        <v>1.0625879973753818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207.2913533618397</v>
      </c>
      <c r="EP133" s="59">
        <f t="shared" ref="EP133:EP196" si="154">$EP$3</f>
        <v>230.81096055024483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0.95537815851493035</v>
      </c>
      <c r="EW133" s="21">
        <f>EXP(-LN(2)/25)*EW132+(1-EXP(-LN(2)/25))/(LN(2)/25)*Calculateur!ER133*Calculateur!ET133*VLOOKUP('Données projet'!$B$15,Paramètres!$A$1:$I$89,3,0)*0.475*44/12</f>
        <v>0.37694823157365848</v>
      </c>
      <c r="EX133" s="21">
        <f>EXP(-LN(2)/2)*EX132+(1-EXP(-LN(2)/2))/(LN(2)/2)*ER133*EU133*VLOOKUP('Données projet'!$B$15,Paramètres!$A$1:$I$89,3,0)*0.475*44/12</f>
        <v>2.6196889935260272E-15</v>
      </c>
      <c r="EY133" s="22">
        <f t="shared" si="129"/>
        <v>1.3323263900885916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319.22903094674564</v>
      </c>
      <c r="T134" s="59">
        <f t="shared" si="142"/>
        <v>254.58690973142848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1.2280496503075311</v>
      </c>
      <c r="AA134" s="21">
        <f>EXP(-LN(2)/25)*AA133+(1-EXP(-LN(2)/25))/(LN(2)/25)*Calculateur!V134*Calculateur!X134*VLOOKUP('Données projet'!$B$9,Paramètres!$A$1:$I$89,3,0)*0.475*44/12</f>
        <v>0.67789917368388175</v>
      </c>
      <c r="AB134" s="21">
        <f>EXP(-LN(2)/2)*AB133+(1-EXP(-LN(2)/2))/(LN(2)/2)*V134*Y134*VLOOKUP('Données projet'!$B$9,Paramètres!$A$1:$I$89,3,0)*0.475*44/12</f>
        <v>6.935493201435478E-15</v>
      </c>
      <c r="AC134" s="22">
        <f t="shared" si="111"/>
        <v>1.9059488239914197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-3.4106051316484809E-13</v>
      </c>
      <c r="AJ134" s="13">
        <f>AI134*VLOOKUP('Données projet'!$B$10,Paramètres!$A$1:$I$89,3,0)*VLOOKUP('Données projet'!$B$10,Paramètres!$A$1:$I$89,5,0)</f>
        <v>-1.9065282685915009E-13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544.48194192356823</v>
      </c>
      <c r="AO134" s="59">
        <f t="shared" si="144"/>
        <v>668.20427590250733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0.99331913119348803</v>
      </c>
      <c r="AV134" s="21">
        <f>EXP(-LN(2)/25)*AV133+(1-EXP(-LN(2)/25))/(LN(2)/25)*Calculateur!AQ134*Calculateur!AS134*VLOOKUP('Données projet'!$B$10,Paramètres!$A$1:$I$89,3,0)*0.475*44/12</f>
        <v>2.59043688060973</v>
      </c>
      <c r="AW134" s="21">
        <f>EXP(-LN(2)/2)*AW133+(1-EXP(-LN(2)/2))/(LN(2)/2)*AQ134*AT134*VLOOKUP('Données projet'!$B$10,Paramètres!$A$1:$I$89,3,0)*0.475*44/12</f>
        <v>9.0550107024142996E-15</v>
      </c>
      <c r="AX134" s="21">
        <f t="shared" si="114"/>
        <v>3.583756011803227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405.7176439604217</v>
      </c>
      <c r="BJ134" s="59">
        <f t="shared" si="146"/>
        <v>278.21741231699929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0.98886816850940895</v>
      </c>
      <c r="BQ134" s="21">
        <f>EXP(-LN(2)/25)*BQ133+(1-EXP(-LN(2)/25))/(LN(2)/25)*Calculateur!BL134*Calculateur!BN134*VLOOKUP('Données projet'!$B$11,Paramètres!$A$1:$I$89,3,0)*0.475*44/12</f>
        <v>0.56929288158000335</v>
      </c>
      <c r="BR134" s="21">
        <f>EXP(-LN(2)/2)*BR133+(1-EXP(-LN(2)/2))/(LN(2)/2)*BL134*BO134*VLOOKUP('Données projet'!$B$11,Paramètres!$A$1:$I$89,3,0)*0.475*44/12</f>
        <v>5.3601905138590594E-15</v>
      </c>
      <c r="BS134" s="22">
        <f t="shared" si="117"/>
        <v>1.5581610500894176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-1.7053025658242404E-13</v>
      </c>
      <c r="CU134" s="17">
        <f>CT134*VLOOKUP('Données projet'!$B$13,Paramètres!$A$1:$I$89,3,0)*VLOOKUP('Données projet'!$B$13,Paramètres!$A$1:$I$89,5,0)</f>
        <v>-1.3567387213697657E-13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299.10536994156814</v>
      </c>
      <c r="CZ134" s="59">
        <f t="shared" si="150"/>
        <v>292.57799203101769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1.1394401829531307</v>
      </c>
      <c r="DG134" s="21">
        <f>EXP(-LN(2)/25)*DG133+(1-EXP(-LN(2)/25))/(LN(2)/25)*Calculateur!DB134*Calculateur!DD134*VLOOKUP('Données projet'!$B$13,Paramètres!$A$1:$I$89,3,0)*0.475*44/12</f>
        <v>0.65731732154730427</v>
      </c>
      <c r="DH134" s="21">
        <f>EXP(-LN(2)/2)*DH133+(1-EXP(-LN(2)/2))/(LN(2)/2)*DB134*DE134*VLOOKUP('Données projet'!$B$13,Paramètres!$A$1:$I$89,3,0)*0.475*44/12</f>
        <v>5.6351551421888625E-15</v>
      </c>
      <c r="DI134" s="22">
        <f t="shared" si="123"/>
        <v>1.7967575045004405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2.2737367544323206E-13</v>
      </c>
      <c r="DP134" s="17">
        <f>DO134*VLOOKUP('Données projet'!$B$14,Paramètres!$A$1:$I$89,3,0)*VLOOKUP('Données projet'!$B$14,Paramètres!$A$1:$I$89,5,0)</f>
        <v>1.4897523215040565E-13</v>
      </c>
      <c r="DQ134" s="13">
        <f t="shared" si="151"/>
        <v>2.136562777003313E-12</v>
      </c>
      <c r="DR134" s="20">
        <f t="shared" si="124"/>
        <v>3.9806453659427267E-12</v>
      </c>
      <c r="DS134" s="59">
        <f t="shared" si="125"/>
        <v>293.33333333333729</v>
      </c>
      <c r="DT134" s="59">
        <f ca="1">AVERAGE(OFFSET($DS$3,0,0,'Données projet'!$E$14+1,1))-AVERAGE(OFFSET($H$3,0,0,'Données projet'!$E$14+1,1))</f>
        <v>295.92103934364718</v>
      </c>
      <c r="DU134" s="59">
        <f t="shared" si="152"/>
        <v>304.84379909635476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0.60350742899927312</v>
      </c>
      <c r="EB134" s="21">
        <f>EXP(-LN(2)/25)*EB133+(1-EXP(-LN(2)/25))/(LN(2)/25)*Calculateur!DW134*Calculateur!DY134*VLOOKUP('Données projet'!$B$14,Paramètres!$A$1:$I$89,3,0)*0.475*44/12</f>
        <v>0.43478595162207229</v>
      </c>
      <c r="EC134" s="21">
        <f>EXP(-LN(2)/2)*EC133+(1-EXP(-LN(2)/2))/(LN(2)/2)*DW134*DZ134*VLOOKUP('Données projet'!$B$14,Paramètres!$A$1:$I$89,3,0)*0.475*44/12</f>
        <v>3.6141735362565019E-15</v>
      </c>
      <c r="ED134" s="22">
        <f t="shared" si="126"/>
        <v>1.038293380621349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207.2913533618397</v>
      </c>
      <c r="EP134" s="59">
        <f t="shared" si="154"/>
        <v>230.81096055024483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0.93664377554959011</v>
      </c>
      <c r="EW134" s="21">
        <f>EXP(-LN(2)/25)*EW133+(1-EXP(-LN(2)/25))/(LN(2)/25)*Calculateur!ER134*Calculateur!ET134*VLOOKUP('Données projet'!$B$15,Paramètres!$A$1:$I$89,3,0)*0.475*44/12</f>
        <v>0.36664056235843079</v>
      </c>
      <c r="EX134" s="21">
        <f>EXP(-LN(2)/2)*EX133+(1-EXP(-LN(2)/2))/(LN(2)/2)*ER134*EU134*VLOOKUP('Données projet'!$B$15,Paramètres!$A$1:$I$89,3,0)*0.475*44/12</f>
        <v>1.8523998519220153E-15</v>
      </c>
      <c r="EY134" s="22">
        <f t="shared" si="129"/>
        <v>1.3032843379080226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319.22903094674564</v>
      </c>
      <c r="T135" s="59">
        <f t="shared" si="142"/>
        <v>254.58690973142848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1.2039683457013259</v>
      </c>
      <c r="AA135" s="21">
        <f>EXP(-LN(2)/25)*AA134+(1-EXP(-LN(2)/25))/(LN(2)/25)*Calculateur!V135*Calculateur!X135*VLOOKUP('Données projet'!$B$9,Paramètres!$A$1:$I$89,3,0)*0.475*44/12</f>
        <v>0.65936198513032784</v>
      </c>
      <c r="AB135" s="21">
        <f>EXP(-LN(2)/2)*AB134+(1-EXP(-LN(2)/2))/(LN(2)/2)*V135*Y135*VLOOKUP('Données projet'!$B$9,Paramètres!$A$1:$I$89,3,0)*0.475*44/12</f>
        <v>4.9041342736082248E-15</v>
      </c>
      <c r="AC135" s="22">
        <f t="shared" si="111"/>
        <v>1.8633303308316587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-3.4106051316484809E-13</v>
      </c>
      <c r="AJ135" s="13">
        <f>AI135*VLOOKUP('Données projet'!$B$10,Paramètres!$A$1:$I$89,3,0)*VLOOKUP('Données projet'!$B$10,Paramètres!$A$1:$I$89,5,0)</f>
        <v>-1.9065282685915009E-13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544.48194192356823</v>
      </c>
      <c r="AO135" s="59">
        <f t="shared" si="144"/>
        <v>668.20427590250733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0.97384074889562955</v>
      </c>
      <c r="AV135" s="21">
        <f>EXP(-LN(2)/25)*AV134+(1-EXP(-LN(2)/25))/(LN(2)/25)*Calculateur!AQ135*Calculateur!AS135*VLOOKUP('Données projet'!$B$10,Paramètres!$A$1:$I$89,3,0)*0.475*44/12</f>
        <v>2.5196012478843017</v>
      </c>
      <c r="AW135" s="21">
        <f>EXP(-LN(2)/2)*AW134+(1-EXP(-LN(2)/2))/(LN(2)/2)*AQ135*AT135*VLOOKUP('Données projet'!$B$10,Paramètres!$A$1:$I$89,3,0)*0.475*44/12</f>
        <v>6.4028594713939142E-15</v>
      </c>
      <c r="AX135" s="21">
        <f t="shared" si="114"/>
        <v>3.4934419967799375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405.7176439604217</v>
      </c>
      <c r="BJ135" s="59">
        <f t="shared" si="146"/>
        <v>278.21741231699929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0.96947706687496615</v>
      </c>
      <c r="BQ135" s="21">
        <f>EXP(-LN(2)/25)*BQ134+(1-EXP(-LN(2)/25))/(LN(2)/25)*Calculateur!BL135*Calculateur!BN135*VLOOKUP('Données projet'!$B$11,Paramètres!$A$1:$I$89,3,0)*0.475*44/12</f>
        <v>0.55372553779538669</v>
      </c>
      <c r="BR135" s="21">
        <f>EXP(-LN(2)/2)*BR134+(1-EXP(-LN(2)/2))/(LN(2)/2)*BL135*BO135*VLOOKUP('Données projet'!$B$11,Paramètres!$A$1:$I$89,3,0)*0.475*44/12</f>
        <v>3.7902270608015456E-15</v>
      </c>
      <c r="BS135" s="22">
        <f t="shared" si="117"/>
        <v>1.5232026046703566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-1.7053025658242404E-13</v>
      </c>
      <c r="CU135" s="17">
        <f>CT135*VLOOKUP('Données projet'!$B$13,Paramètres!$A$1:$I$89,3,0)*VLOOKUP('Données projet'!$B$13,Paramètres!$A$1:$I$89,5,0)</f>
        <v>-1.3567387213697657E-13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299.10536994156814</v>
      </c>
      <c r="CZ135" s="59">
        <f t="shared" si="150"/>
        <v>292.57799203101769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1.1170964559553067</v>
      </c>
      <c r="DG135" s="21">
        <f>EXP(-LN(2)/25)*DG134+(1-EXP(-LN(2)/25))/(LN(2)/25)*Calculateur!DB135*Calculateur!DD135*VLOOKUP('Données projet'!$B$13,Paramètres!$A$1:$I$89,3,0)*0.475*44/12</f>
        <v>0.63934294482277765</v>
      </c>
      <c r="DH135" s="21">
        <f>EXP(-LN(2)/2)*DH134+(1-EXP(-LN(2)/2))/(LN(2)/2)*DB135*DE135*VLOOKUP('Données projet'!$B$13,Paramètres!$A$1:$I$89,3,0)*0.475*44/12</f>
        <v>3.984656414079988E-15</v>
      </c>
      <c r="DI135" s="22">
        <f t="shared" si="123"/>
        <v>1.7564394007780884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2.2737367544323206E-13</v>
      </c>
      <c r="DP135" s="17">
        <f>DO135*VLOOKUP('Données projet'!$B$14,Paramètres!$A$1:$I$89,3,0)*VLOOKUP('Données projet'!$B$14,Paramètres!$A$1:$I$89,5,0)</f>
        <v>1.4897523215040565E-13</v>
      </c>
      <c r="DQ135" s="13">
        <f t="shared" si="151"/>
        <v>2.136562777003313E-12</v>
      </c>
      <c r="DR135" s="20">
        <f t="shared" si="124"/>
        <v>3.9806453659427267E-12</v>
      </c>
      <c r="DS135" s="59">
        <f t="shared" si="125"/>
        <v>293.33333333333729</v>
      </c>
      <c r="DT135" s="59">
        <f ca="1">AVERAGE(OFFSET($DS$3,0,0,'Données projet'!$E$14+1,1))-AVERAGE(OFFSET($H$3,0,0,'Données projet'!$E$14+1,1))</f>
        <v>295.92103934364718</v>
      </c>
      <c r="DU135" s="59">
        <f t="shared" si="152"/>
        <v>304.84379909635476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0.59167301641978187</v>
      </c>
      <c r="EB135" s="21">
        <f>EXP(-LN(2)/25)*EB134+(1-EXP(-LN(2)/25))/(LN(2)/25)*Calculateur!DW135*Calculateur!DY135*VLOOKUP('Données projet'!$B$14,Paramètres!$A$1:$I$89,3,0)*0.475*44/12</f>
        <v>0.42289670691056724</v>
      </c>
      <c r="EC135" s="21">
        <f>EXP(-LN(2)/2)*EC134+(1-EXP(-LN(2)/2))/(LN(2)/2)*DW135*DZ135*VLOOKUP('Données projet'!$B$14,Paramètres!$A$1:$I$89,3,0)*0.475*44/12</f>
        <v>2.555606615871937E-15</v>
      </c>
      <c r="ED135" s="22">
        <f t="shared" si="126"/>
        <v>1.0145697233303519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207.2913533618397</v>
      </c>
      <c r="EP135" s="59">
        <f t="shared" si="154"/>
        <v>230.81096055024483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0.9182767624073549</v>
      </c>
      <c r="EW135" s="21">
        <f>EXP(-LN(2)/25)*EW134+(1-EXP(-LN(2)/25))/(LN(2)/25)*Calculateur!ER135*Calculateur!ET135*VLOOKUP('Données projet'!$B$15,Paramètres!$A$1:$I$89,3,0)*0.475*44/12</f>
        <v>0.35661475689995031</v>
      </c>
      <c r="EX135" s="21">
        <f>EXP(-LN(2)/2)*EX134+(1-EXP(-LN(2)/2))/(LN(2)/2)*ER135*EU135*VLOOKUP('Données projet'!$B$15,Paramètres!$A$1:$I$89,3,0)*0.475*44/12</f>
        <v>1.3098444967630136E-15</v>
      </c>
      <c r="EY135" s="22">
        <f t="shared" si="129"/>
        <v>1.2748915193073065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319.22903094674564</v>
      </c>
      <c r="T136" s="59">
        <f t="shared" si="142"/>
        <v>254.58690973142848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1.1803592607903028</v>
      </c>
      <c r="AA136" s="21">
        <f>EXP(-LN(2)/25)*AA135+(1-EXP(-LN(2)/25))/(LN(2)/25)*Calculateur!V136*Calculateur!X136*VLOOKUP('Données projet'!$B$9,Paramètres!$A$1:$I$89,3,0)*0.475*44/12</f>
        <v>0.64133169697259917</v>
      </c>
      <c r="AB136" s="21">
        <f>EXP(-LN(2)/2)*AB135+(1-EXP(-LN(2)/2))/(LN(2)/2)*V136*Y136*VLOOKUP('Données projet'!$B$9,Paramètres!$A$1:$I$89,3,0)*0.475*44/12</f>
        <v>3.4677466007177394E-15</v>
      </c>
      <c r="AC136" s="22">
        <f t="shared" si="111"/>
        <v>1.8216909577629057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-3.4106051316484809E-13</v>
      </c>
      <c r="AJ136" s="13">
        <f>AI136*VLOOKUP('Données projet'!$B$10,Paramètres!$A$1:$I$89,3,0)*VLOOKUP('Données projet'!$B$10,Paramètres!$A$1:$I$89,5,0)</f>
        <v>-1.9065282685915009E-13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544.48194192356823</v>
      </c>
      <c r="AO136" s="59">
        <f t="shared" si="144"/>
        <v>668.20427590250733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0.95474432579399204</v>
      </c>
      <c r="AV136" s="21">
        <f>EXP(-LN(2)/25)*AV135+(1-EXP(-LN(2)/25))/(LN(2)/25)*Calculateur!AQ136*Calculateur!AS136*VLOOKUP('Données projet'!$B$10,Paramètres!$A$1:$I$89,3,0)*0.475*44/12</f>
        <v>2.4507026192608343</v>
      </c>
      <c r="AW136" s="21">
        <f>EXP(-LN(2)/2)*AW135+(1-EXP(-LN(2)/2))/(LN(2)/2)*AQ136*AT136*VLOOKUP('Données projet'!$B$10,Paramètres!$A$1:$I$89,3,0)*0.475*44/12</f>
        <v>4.5275053512071498E-15</v>
      </c>
      <c r="AX136" s="21">
        <f t="shared" si="114"/>
        <v>3.4054469450548308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405.7176439604217</v>
      </c>
      <c r="BJ136" s="59">
        <f t="shared" si="146"/>
        <v>278.21741231699929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0.95046621291617062</v>
      </c>
      <c r="BQ136" s="21">
        <f>EXP(-LN(2)/25)*BQ135+(1-EXP(-LN(2)/25))/(LN(2)/25)*Calculateur!BL136*Calculateur!BN136*VLOOKUP('Données projet'!$B$11,Paramètres!$A$1:$I$89,3,0)*0.475*44/12</f>
        <v>0.53858388384521139</v>
      </c>
      <c r="BR136" s="21">
        <f>EXP(-LN(2)/2)*BR135+(1-EXP(-LN(2)/2))/(LN(2)/2)*BL136*BO136*VLOOKUP('Données projet'!$B$11,Paramètres!$A$1:$I$89,3,0)*0.475*44/12</f>
        <v>2.6800952569295297E-15</v>
      </c>
      <c r="BS136" s="22">
        <f t="shared" si="117"/>
        <v>1.4890500967613847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-1.7053025658242404E-13</v>
      </c>
      <c r="CU136" s="17">
        <f>CT136*VLOOKUP('Données projet'!$B$13,Paramètres!$A$1:$I$89,3,0)*VLOOKUP('Données projet'!$B$13,Paramètres!$A$1:$I$89,5,0)</f>
        <v>-1.3567387213697657E-13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299.10536994156814</v>
      </c>
      <c r="CZ136" s="59">
        <f t="shared" si="150"/>
        <v>292.57799203101769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1.0951908758155824</v>
      </c>
      <c r="DG136" s="21">
        <f>EXP(-LN(2)/25)*DG135+(1-EXP(-LN(2)/25))/(LN(2)/25)*Calculateur!DB136*Calculateur!DD136*VLOOKUP('Données projet'!$B$13,Paramètres!$A$1:$I$89,3,0)*0.475*44/12</f>
        <v>0.62186007837501456</v>
      </c>
      <c r="DH136" s="21">
        <f>EXP(-LN(2)/2)*DH135+(1-EXP(-LN(2)/2))/(LN(2)/2)*DB136*DE136*VLOOKUP('Données projet'!$B$13,Paramètres!$A$1:$I$89,3,0)*0.475*44/12</f>
        <v>2.8175775710944313E-15</v>
      </c>
      <c r="DI136" s="22">
        <f t="shared" si="123"/>
        <v>1.7170509541905998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2.2737367544323206E-13</v>
      </c>
      <c r="DP136" s="17">
        <f>DO136*VLOOKUP('Données projet'!$B$14,Paramètres!$A$1:$I$89,3,0)*VLOOKUP('Données projet'!$B$14,Paramètres!$A$1:$I$89,5,0)</f>
        <v>1.4897523215040565E-13</v>
      </c>
      <c r="DQ136" s="13">
        <f t="shared" si="151"/>
        <v>2.136562777003313E-12</v>
      </c>
      <c r="DR136" s="20">
        <f t="shared" si="124"/>
        <v>3.9806453659427267E-12</v>
      </c>
      <c r="DS136" s="59">
        <f t="shared" si="125"/>
        <v>293.33333333333729</v>
      </c>
      <c r="DT136" s="59">
        <f ca="1">AVERAGE(OFFSET($DS$3,0,0,'Données projet'!$E$14+1,1))-AVERAGE(OFFSET($H$3,0,0,'Données projet'!$E$14+1,1))</f>
        <v>295.92103934364718</v>
      </c>
      <c r="DU136" s="59">
        <f t="shared" si="152"/>
        <v>304.84379909635476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0.58007066945269559</v>
      </c>
      <c r="EB136" s="21">
        <f>EXP(-LN(2)/25)*EB135+(1-EXP(-LN(2)/25))/(LN(2)/25)*Calculateur!DW136*Calculateur!DY136*VLOOKUP('Données projet'!$B$14,Paramètres!$A$1:$I$89,3,0)*0.475*44/12</f>
        <v>0.41133257422092651</v>
      </c>
      <c r="EC136" s="21">
        <f>EXP(-LN(2)/2)*EC135+(1-EXP(-LN(2)/2))/(LN(2)/2)*DW136*DZ136*VLOOKUP('Données projet'!$B$14,Paramètres!$A$1:$I$89,3,0)*0.475*44/12</f>
        <v>1.8070867681282509E-15</v>
      </c>
      <c r="ED136" s="22">
        <f t="shared" si="126"/>
        <v>0.99140324367362387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207.2913533618397</v>
      </c>
      <c r="EP136" s="59">
        <f t="shared" si="154"/>
        <v>230.81096055024483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0.90026991519006705</v>
      </c>
      <c r="EW136" s="21">
        <f>EXP(-LN(2)/25)*EW135+(1-EXP(-LN(2)/25))/(LN(2)/25)*Calculateur!ER136*Calculateur!ET136*VLOOKUP('Données projet'!$B$15,Paramètres!$A$1:$I$89,3,0)*0.475*44/12</f>
        <v>0.34686310761896616</v>
      </c>
      <c r="EX136" s="21">
        <f>EXP(-LN(2)/2)*EX135+(1-EXP(-LN(2)/2))/(LN(2)/2)*ER136*EU136*VLOOKUP('Données projet'!$B$15,Paramètres!$A$1:$I$89,3,0)*0.475*44/12</f>
        <v>9.2619992596100767E-16</v>
      </c>
      <c r="EY136" s="22">
        <f t="shared" si="129"/>
        <v>1.247133022809034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319.22903094674564</v>
      </c>
      <c r="T137" s="59">
        <f t="shared" si="142"/>
        <v>254.58690973142848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1.1572131356342652</v>
      </c>
      <c r="AA137" s="21">
        <f>EXP(-LN(2)/25)*AA136+(1-EXP(-LN(2)/25))/(LN(2)/25)*Calculateur!V137*Calculateur!X137*VLOOKUP('Données projet'!$B$9,Paramètres!$A$1:$I$89,3,0)*0.475*44/12</f>
        <v>0.62379444799271533</v>
      </c>
      <c r="AB137" s="21">
        <f>EXP(-LN(2)/2)*AB136+(1-EXP(-LN(2)/2))/(LN(2)/2)*V137*Y137*VLOOKUP('Données projet'!$B$9,Paramètres!$A$1:$I$89,3,0)*0.475*44/12</f>
        <v>2.4520671368041128E-15</v>
      </c>
      <c r="AC137" s="22">
        <f t="shared" si="111"/>
        <v>1.781007583626983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-3.4106051316484809E-13</v>
      </c>
      <c r="AJ137" s="13">
        <f>AI137*VLOOKUP('Données projet'!$B$10,Paramètres!$A$1:$I$89,3,0)*VLOOKUP('Données projet'!$B$10,Paramètres!$A$1:$I$89,5,0)</f>
        <v>-1.9065282685915009E-13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544.48194192356823</v>
      </c>
      <c r="AO137" s="59">
        <f t="shared" si="144"/>
        <v>668.20427590250733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0.93602237190170967</v>
      </c>
      <c r="AV137" s="21">
        <f>EXP(-LN(2)/25)*AV136+(1-EXP(-LN(2)/25))/(LN(2)/25)*Calculateur!AQ137*Calculateur!AS137*VLOOKUP('Données projet'!$B$10,Paramètres!$A$1:$I$89,3,0)*0.475*44/12</f>
        <v>2.3836880272602974</v>
      </c>
      <c r="AW137" s="21">
        <f>EXP(-LN(2)/2)*AW136+(1-EXP(-LN(2)/2))/(LN(2)/2)*AQ137*AT137*VLOOKUP('Données projet'!$B$10,Paramètres!$A$1:$I$89,3,0)*0.475*44/12</f>
        <v>3.2014297356969571E-15</v>
      </c>
      <c r="AX137" s="21">
        <f t="shared" si="114"/>
        <v>3.3197103991620103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405.7176439604217</v>
      </c>
      <c r="BJ137" s="59">
        <f t="shared" si="146"/>
        <v>278.21741231699929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0.93182815020803111</v>
      </c>
      <c r="BQ137" s="21">
        <f>EXP(-LN(2)/25)*BQ136+(1-EXP(-LN(2)/25))/(LN(2)/25)*Calculateur!BL137*Calculateur!BN137*VLOOKUP('Données projet'!$B$11,Paramètres!$A$1:$I$89,3,0)*0.475*44/12</f>
        <v>0.52385627921856859</v>
      </c>
      <c r="BR137" s="21">
        <f>EXP(-LN(2)/2)*BR136+(1-EXP(-LN(2)/2))/(LN(2)/2)*BL137*BO137*VLOOKUP('Données projet'!$B$11,Paramètres!$A$1:$I$89,3,0)*0.475*44/12</f>
        <v>1.8951135304007728E-15</v>
      </c>
      <c r="BS137" s="22">
        <f t="shared" si="117"/>
        <v>1.4556844294266018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-1.7053025658242404E-13</v>
      </c>
      <c r="CU137" s="17">
        <f>CT137*VLOOKUP('Données projet'!$B$13,Paramètres!$A$1:$I$89,3,0)*VLOOKUP('Données projet'!$B$13,Paramètres!$A$1:$I$89,5,0)</f>
        <v>-1.3567387213697657E-13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299.10536994156814</v>
      </c>
      <c r="CZ137" s="59">
        <f t="shared" si="150"/>
        <v>292.57799203101769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1.0737148507413135</v>
      </c>
      <c r="DG137" s="21">
        <f>EXP(-LN(2)/25)*DG136+(1-EXP(-LN(2)/25))/(LN(2)/25)*Calculateur!DB137*Calculateur!DD137*VLOOKUP('Données projet'!$B$13,Paramètres!$A$1:$I$89,3,0)*0.475*44/12</f>
        <v>0.60485528182964954</v>
      </c>
      <c r="DH137" s="21">
        <f>EXP(-LN(2)/2)*DH136+(1-EXP(-LN(2)/2))/(LN(2)/2)*DB137*DE137*VLOOKUP('Données projet'!$B$13,Paramètres!$A$1:$I$89,3,0)*0.475*44/12</f>
        <v>1.992328207039994E-15</v>
      </c>
      <c r="DI137" s="22">
        <f t="shared" si="123"/>
        <v>1.678570132570965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2.2737367544323206E-13</v>
      </c>
      <c r="DP137" s="17">
        <f>DO137*VLOOKUP('Données projet'!$B$14,Paramètres!$A$1:$I$89,3,0)*VLOOKUP('Données projet'!$B$14,Paramètres!$A$1:$I$89,5,0)</f>
        <v>1.4897523215040565E-13</v>
      </c>
      <c r="DQ137" s="13">
        <f t="shared" si="151"/>
        <v>2.136562777003313E-12</v>
      </c>
      <c r="DR137" s="20">
        <f t="shared" si="124"/>
        <v>3.9806453659427267E-12</v>
      </c>
      <c r="DS137" s="59">
        <f t="shared" si="125"/>
        <v>293.33333333333729</v>
      </c>
      <c r="DT137" s="59">
        <f ca="1">AVERAGE(OFFSET($DS$3,0,0,'Données projet'!$E$14+1,1))-AVERAGE(OFFSET($H$3,0,0,'Données projet'!$E$14+1,1))</f>
        <v>295.92103934364718</v>
      </c>
      <c r="DU137" s="59">
        <f t="shared" si="152"/>
        <v>304.84379909635476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0.56869583743290097</v>
      </c>
      <c r="EB137" s="21">
        <f>EXP(-LN(2)/25)*EB136+(1-EXP(-LN(2)/25))/(LN(2)/25)*Calculateur!DW137*Calculateur!DY137*VLOOKUP('Données projet'!$B$14,Paramètres!$A$1:$I$89,3,0)*0.475*44/12</f>
        <v>0.40008466334781528</v>
      </c>
      <c r="EC137" s="21">
        <f>EXP(-LN(2)/2)*EC136+(1-EXP(-LN(2)/2))/(LN(2)/2)*DW137*DZ137*VLOOKUP('Données projet'!$B$14,Paramètres!$A$1:$I$89,3,0)*0.475*44/12</f>
        <v>1.2778033079359685E-15</v>
      </c>
      <c r="ED137" s="22">
        <f t="shared" si="126"/>
        <v>0.96878050078071754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207.2913533618397</v>
      </c>
      <c r="EP137" s="59">
        <f t="shared" si="154"/>
        <v>230.81096055024483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0.88261617126361791</v>
      </c>
      <c r="EW137" s="21">
        <f>EXP(-LN(2)/25)*EW136+(1-EXP(-LN(2)/25))/(LN(2)/25)*Calculateur!ER137*Calculateur!ET137*VLOOKUP('Données projet'!$B$15,Paramètres!$A$1:$I$89,3,0)*0.475*44/12</f>
        <v>0.33737811770038745</v>
      </c>
      <c r="EX137" s="21">
        <f>EXP(-LN(2)/2)*EX136+(1-EXP(-LN(2)/2))/(LN(2)/2)*ER137*EU137*VLOOKUP('Données projet'!$B$15,Paramètres!$A$1:$I$89,3,0)*0.475*44/12</f>
        <v>6.5492224838150679E-16</v>
      </c>
      <c r="EY137" s="22">
        <f t="shared" si="129"/>
        <v>1.2199942889640061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319.22903094674564</v>
      </c>
      <c r="T138" s="59">
        <f t="shared" si="142"/>
        <v>254.58690973142848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1.1345208918747951</v>
      </c>
      <c r="AA138" s="21">
        <f>EXP(-LN(2)/25)*AA137+(1-EXP(-LN(2)/25))/(LN(2)/25)*Calculateur!V138*Calculateur!X138*VLOOKUP('Données projet'!$B$9,Paramètres!$A$1:$I$89,3,0)*0.475*44/12</f>
        <v>0.60673675600843024</v>
      </c>
      <c r="AB138" s="21">
        <f>EXP(-LN(2)/2)*AB137+(1-EXP(-LN(2)/2))/(LN(2)/2)*V138*Y138*VLOOKUP('Données projet'!$B$9,Paramètres!$A$1:$I$89,3,0)*0.475*44/12</f>
        <v>1.7338733003588701E-15</v>
      </c>
      <c r="AC138" s="22">
        <f t="shared" si="111"/>
        <v>1.7412576478832271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-3.4106051316484809E-13</v>
      </c>
      <c r="AJ138" s="13">
        <f>AI138*VLOOKUP('Données projet'!$B$10,Paramètres!$A$1:$I$89,3,0)*VLOOKUP('Données projet'!$B$10,Paramètres!$A$1:$I$89,5,0)</f>
        <v>-1.9065282685915009E-13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544.48194192356823</v>
      </c>
      <c r="AO138" s="59">
        <f t="shared" si="144"/>
        <v>668.20427590250733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0.91766754410599061</v>
      </c>
      <c r="AV138" s="21">
        <f>EXP(-LN(2)/25)*AV137+(1-EXP(-LN(2)/25))/(LN(2)/25)*Calculateur!AQ138*Calculateur!AS138*VLOOKUP('Données projet'!$B$10,Paramètres!$A$1:$I$89,3,0)*0.475*44/12</f>
        <v>2.318505952802159</v>
      </c>
      <c r="AW138" s="21">
        <f>EXP(-LN(2)/2)*AW137+(1-EXP(-LN(2)/2))/(LN(2)/2)*AQ138*AT138*VLOOKUP('Données projet'!$B$10,Paramètres!$A$1:$I$89,3,0)*0.475*44/12</f>
        <v>2.2637526756035749E-15</v>
      </c>
      <c r="AX138" s="21">
        <f t="shared" si="114"/>
        <v>3.2361734969081519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405.7176439604217</v>
      </c>
      <c r="BJ138" s="59">
        <f t="shared" si="146"/>
        <v>278.21741231699929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0.91355556854150244</v>
      </c>
      <c r="BQ138" s="21">
        <f>EXP(-LN(2)/25)*BQ137+(1-EXP(-LN(2)/25))/(LN(2)/25)*Calculateur!BL138*Calculateur!BN138*VLOOKUP('Données projet'!$B$11,Paramètres!$A$1:$I$89,3,0)*0.475*44/12</f>
        <v>0.50953140171493239</v>
      </c>
      <c r="BR138" s="21">
        <f>EXP(-LN(2)/2)*BR137+(1-EXP(-LN(2)/2))/(LN(2)/2)*BL138*BO138*VLOOKUP('Données projet'!$B$11,Paramètres!$A$1:$I$89,3,0)*0.475*44/12</f>
        <v>1.3400476284647648E-15</v>
      </c>
      <c r="BS138" s="22">
        <f t="shared" si="117"/>
        <v>1.4230869702564362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-1.7053025658242404E-13</v>
      </c>
      <c r="CU138" s="17">
        <f>CT138*VLOOKUP('Données projet'!$B$13,Paramètres!$A$1:$I$89,3,0)*VLOOKUP('Données projet'!$B$13,Paramètres!$A$1:$I$89,5,0)</f>
        <v>-1.3567387213697657E-13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299.10536994156814</v>
      </c>
      <c r="CZ138" s="59">
        <f t="shared" si="150"/>
        <v>292.57799203101769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1.0526599574196691</v>
      </c>
      <c r="DG138" s="21">
        <f>EXP(-LN(2)/25)*DG137+(1-EXP(-LN(2)/25))/(LN(2)/25)*Calculateur!DB138*Calculateur!DD138*VLOOKUP('Données projet'!$B$13,Paramètres!$A$1:$I$89,3,0)*0.475*44/12</f>
        <v>0.58831548234006092</v>
      </c>
      <c r="DH138" s="21">
        <f>EXP(-LN(2)/2)*DH137+(1-EXP(-LN(2)/2))/(LN(2)/2)*DB138*DE138*VLOOKUP('Données projet'!$B$13,Paramètres!$A$1:$I$89,3,0)*0.475*44/12</f>
        <v>1.4087887855472156E-15</v>
      </c>
      <c r="DI138" s="22">
        <f t="shared" si="123"/>
        <v>1.6409754397597314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2.2737367544323206E-13</v>
      </c>
      <c r="DP138" s="17">
        <f>DO138*VLOOKUP('Données projet'!$B$14,Paramètres!$A$1:$I$89,3,0)*VLOOKUP('Données projet'!$B$14,Paramètres!$A$1:$I$89,5,0)</f>
        <v>1.4897523215040565E-13</v>
      </c>
      <c r="DQ138" s="13">
        <f t="shared" si="151"/>
        <v>2.136562777003313E-12</v>
      </c>
      <c r="DR138" s="20">
        <f t="shared" si="124"/>
        <v>3.9806453659427267E-12</v>
      </c>
      <c r="DS138" s="59">
        <f t="shared" si="125"/>
        <v>293.33333333333729</v>
      </c>
      <c r="DT138" s="59">
        <f ca="1">AVERAGE(OFFSET($DS$3,0,0,'Données projet'!$E$14+1,1))-AVERAGE(OFFSET($H$3,0,0,'Données projet'!$E$14+1,1))</f>
        <v>295.92103934364718</v>
      </c>
      <c r="DU138" s="59">
        <f t="shared" si="152"/>
        <v>304.84379909635476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0.55754405893105208</v>
      </c>
      <c r="EB138" s="21">
        <f>EXP(-LN(2)/25)*EB137+(1-EXP(-LN(2)/25))/(LN(2)/25)*Calculateur!DW138*Calculateur!DY138*VLOOKUP('Données projet'!$B$14,Paramètres!$A$1:$I$89,3,0)*0.475*44/12</f>
        <v>0.38914432718903125</v>
      </c>
      <c r="EC138" s="21">
        <f>EXP(-LN(2)/2)*EC137+(1-EXP(-LN(2)/2))/(LN(2)/2)*DW138*DZ138*VLOOKUP('Données projet'!$B$14,Paramètres!$A$1:$I$89,3,0)*0.475*44/12</f>
        <v>9.0354338406412547E-16</v>
      </c>
      <c r="ED138" s="22">
        <f t="shared" si="126"/>
        <v>0.94668838612008421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207.2913533618397</v>
      </c>
      <c r="EP138" s="59">
        <f t="shared" si="154"/>
        <v>230.81096055024483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0.86530860648784591</v>
      </c>
      <c r="EW138" s="21">
        <f>EXP(-LN(2)/25)*EW137+(1-EXP(-LN(2)/25))/(LN(2)/25)*Calculateur!ER138*Calculateur!ET138*VLOOKUP('Données projet'!$B$15,Paramètres!$A$1:$I$89,3,0)*0.475*44/12</f>
        <v>0.32815249532992624</v>
      </c>
      <c r="EX138" s="21">
        <f>EXP(-LN(2)/2)*EX137+(1-EXP(-LN(2)/2))/(LN(2)/2)*ER138*EU138*VLOOKUP('Données projet'!$B$15,Paramètres!$A$1:$I$89,3,0)*0.475*44/12</f>
        <v>4.6309996298050383E-16</v>
      </c>
      <c r="EY138" s="22">
        <f t="shared" si="129"/>
        <v>1.1934611018177725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319.22903094674564</v>
      </c>
      <c r="T139" s="59">
        <f t="shared" si="142"/>
        <v>254.58690973142848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1.1122736291745461</v>
      </c>
      <c r="AA139" s="21">
        <f>EXP(-LN(2)/25)*AA138+(1-EXP(-LN(2)/25))/(LN(2)/25)*Calculateur!V139*Calculateur!X139*VLOOKUP('Données projet'!$B$9,Paramètres!$A$1:$I$89,3,0)*0.475*44/12</f>
        <v>0.59014550750848038</v>
      </c>
      <c r="AB139" s="21">
        <f>EXP(-LN(2)/2)*AB138+(1-EXP(-LN(2)/2))/(LN(2)/2)*V139*Y139*VLOOKUP('Données projet'!$B$9,Paramètres!$A$1:$I$89,3,0)*0.475*44/12</f>
        <v>1.2260335684020566E-15</v>
      </c>
      <c r="AC139" s="22">
        <f t="shared" si="111"/>
        <v>1.7024191366830279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-3.4106051316484809E-13</v>
      </c>
      <c r="AJ139" s="13">
        <f>AI139*VLOOKUP('Données projet'!$B$10,Paramètres!$A$1:$I$89,3,0)*VLOOKUP('Données projet'!$B$10,Paramètres!$A$1:$I$89,5,0)</f>
        <v>-1.9065282685915009E-13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544.48194192356823</v>
      </c>
      <c r="AO139" s="59">
        <f t="shared" si="144"/>
        <v>668.20427590250733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0.89967264328800611</v>
      </c>
      <c r="AV139" s="21">
        <f>EXP(-LN(2)/25)*AV138+(1-EXP(-LN(2)/25))/(LN(2)/25)*Calculateur!AQ139*Calculateur!AS139*VLOOKUP('Données projet'!$B$10,Paramètres!$A$1:$I$89,3,0)*0.475*44/12</f>
        <v>2.2551062855978548</v>
      </c>
      <c r="AW139" s="21">
        <f>EXP(-LN(2)/2)*AW138+(1-EXP(-LN(2)/2))/(LN(2)/2)*AQ139*AT139*VLOOKUP('Données projet'!$B$10,Paramètres!$A$1:$I$89,3,0)*0.475*44/12</f>
        <v>1.6007148678484786E-15</v>
      </c>
      <c r="AX139" s="21">
        <f t="shared" si="114"/>
        <v>3.1547789288858628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405.7176439604217</v>
      </c>
      <c r="BJ139" s="59">
        <f t="shared" si="146"/>
        <v>278.21741231699929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0.89564130105628004</v>
      </c>
      <c r="BQ139" s="21">
        <f>EXP(-LN(2)/25)*BQ138+(1-EXP(-LN(2)/25))/(LN(2)/25)*Calculateur!BL139*Calculateur!BN139*VLOOKUP('Données projet'!$B$11,Paramètres!$A$1:$I$89,3,0)*0.475*44/12</f>
        <v>0.49559823873994568</v>
      </c>
      <c r="BR139" s="21">
        <f>EXP(-LN(2)/2)*BR138+(1-EXP(-LN(2)/2))/(LN(2)/2)*BL139*BO139*VLOOKUP('Données projet'!$B$11,Paramètres!$A$1:$I$89,3,0)*0.475*44/12</f>
        <v>9.475567652003864E-16</v>
      </c>
      <c r="BS139" s="22">
        <f t="shared" si="117"/>
        <v>1.3912395397962265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-1.7053025658242404E-13</v>
      </c>
      <c r="CU139" s="17">
        <f>CT139*VLOOKUP('Données projet'!$B$13,Paramètres!$A$1:$I$89,3,0)*VLOOKUP('Données projet'!$B$13,Paramètres!$A$1:$I$89,5,0)</f>
        <v>-1.3567387213697657E-13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299.10536994156814</v>
      </c>
      <c r="CZ139" s="59">
        <f t="shared" si="150"/>
        <v>292.57799203101769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1.0320179377138454</v>
      </c>
      <c r="DG139" s="21">
        <f>EXP(-LN(2)/25)*DG138+(1-EXP(-LN(2)/25))/(LN(2)/25)*Calculateur!DB139*Calculateur!DD139*VLOOKUP('Données projet'!$B$13,Paramètres!$A$1:$I$89,3,0)*0.475*44/12</f>
        <v>0.5722279645373054</v>
      </c>
      <c r="DH139" s="21">
        <f>EXP(-LN(2)/2)*DH138+(1-EXP(-LN(2)/2))/(LN(2)/2)*DB139*DE139*VLOOKUP('Données projet'!$B$13,Paramètres!$A$1:$I$89,3,0)*0.475*44/12</f>
        <v>9.96164103519997E-16</v>
      </c>
      <c r="DI139" s="22">
        <f t="shared" si="123"/>
        <v>1.6042459022511517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2.2737367544323206E-13</v>
      </c>
      <c r="DP139" s="17">
        <f>DO139*VLOOKUP('Données projet'!$B$14,Paramètres!$A$1:$I$89,3,0)*VLOOKUP('Données projet'!$B$14,Paramètres!$A$1:$I$89,5,0)</f>
        <v>1.4897523215040565E-13</v>
      </c>
      <c r="DQ139" s="13">
        <f t="shared" si="151"/>
        <v>2.136562777003313E-12</v>
      </c>
      <c r="DR139" s="20">
        <f t="shared" si="124"/>
        <v>3.9806453659427267E-12</v>
      </c>
      <c r="DS139" s="59">
        <f t="shared" si="125"/>
        <v>293.33333333333729</v>
      </c>
      <c r="DT139" s="59">
        <f ca="1">AVERAGE(OFFSET($DS$3,0,0,'Données projet'!$E$14+1,1))-AVERAGE(OFFSET($H$3,0,0,'Données projet'!$E$14+1,1))</f>
        <v>295.92103934364718</v>
      </c>
      <c r="DU139" s="59">
        <f t="shared" si="152"/>
        <v>304.84379909635476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0.54661096000371112</v>
      </c>
      <c r="EB139" s="21">
        <f>EXP(-LN(2)/25)*EB138+(1-EXP(-LN(2)/25))/(LN(2)/25)*Calculateur!DW139*Calculateur!DY139*VLOOKUP('Données projet'!$B$14,Paramètres!$A$1:$I$89,3,0)*0.475*44/12</f>
        <v>0.37850315509783644</v>
      </c>
      <c r="EC139" s="21">
        <f>EXP(-LN(2)/2)*EC138+(1-EXP(-LN(2)/2))/(LN(2)/2)*DW139*DZ139*VLOOKUP('Données projet'!$B$14,Paramètres!$A$1:$I$89,3,0)*0.475*44/12</f>
        <v>6.3890165396798424E-16</v>
      </c>
      <c r="ED139" s="22">
        <f t="shared" si="126"/>
        <v>0.92511411510154828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207.2913533618397</v>
      </c>
      <c r="EP139" s="59">
        <f t="shared" si="154"/>
        <v>230.81096055024483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0.84834043250075464</v>
      </c>
      <c r="EW139" s="21">
        <f>EXP(-LN(2)/25)*EW138+(1-EXP(-LN(2)/25))/(LN(2)/25)*Calculateur!ER139*Calculateur!ET139*VLOOKUP('Données projet'!$B$15,Paramètres!$A$1:$I$89,3,0)*0.475*44/12</f>
        <v>0.31917914808833969</v>
      </c>
      <c r="EX139" s="21">
        <f>EXP(-LN(2)/2)*EX138+(1-EXP(-LN(2)/2))/(LN(2)/2)*ER139*EU139*VLOOKUP('Données projet'!$B$15,Paramètres!$A$1:$I$89,3,0)*0.475*44/12</f>
        <v>3.274611241907534E-16</v>
      </c>
      <c r="EY139" s="22">
        <f t="shared" si="129"/>
        <v>1.1675195805890946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319.22903094674564</v>
      </c>
      <c r="T140" s="59">
        <f t="shared" si="142"/>
        <v>254.58690973142848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1.0904626217263587</v>
      </c>
      <c r="AA140" s="21">
        <f>EXP(-LN(2)/25)*AA139+(1-EXP(-LN(2)/25))/(LN(2)/25)*Calculateur!V140*Calculateur!X140*VLOOKUP('Données projet'!$B$9,Paramètres!$A$1:$I$89,3,0)*0.475*44/12</f>
        <v>0.5740079475712575</v>
      </c>
      <c r="AB140" s="21">
        <f>EXP(-LN(2)/2)*AB139+(1-EXP(-LN(2)/2))/(LN(2)/2)*V140*Y140*VLOOKUP('Données projet'!$B$9,Paramètres!$A$1:$I$89,3,0)*0.475*44/12</f>
        <v>8.6693665017943514E-16</v>
      </c>
      <c r="AC140" s="22">
        <f t="shared" si="111"/>
        <v>1.6644705692976172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-3.4106051316484809E-13</v>
      </c>
      <c r="AJ140" s="13">
        <f>AI140*VLOOKUP('Données projet'!$B$10,Paramètres!$A$1:$I$89,3,0)*VLOOKUP('Données projet'!$B$10,Paramètres!$A$1:$I$89,5,0)</f>
        <v>-1.9065282685915009E-13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544.48194192356823</v>
      </c>
      <c r="AO140" s="59">
        <f t="shared" si="144"/>
        <v>668.20427590250733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0.88203061149925654</v>
      </c>
      <c r="AV140" s="21">
        <f>EXP(-LN(2)/25)*AV139+(1-EXP(-LN(2)/25))/(LN(2)/25)*Calculateur!AQ140*Calculateur!AS140*VLOOKUP('Données projet'!$B$10,Paramètres!$A$1:$I$89,3,0)*0.475*44/12</f>
        <v>2.1934402856272959</v>
      </c>
      <c r="AW140" s="21">
        <f>EXP(-LN(2)/2)*AW139+(1-EXP(-LN(2)/2))/(LN(2)/2)*AQ140*AT140*VLOOKUP('Données projet'!$B$10,Paramètres!$A$1:$I$89,3,0)*0.475*44/12</f>
        <v>1.1318763378017874E-15</v>
      </c>
      <c r="AX140" s="21">
        <f t="shared" si="114"/>
        <v>3.0754708971265536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405.7176439604217</v>
      </c>
      <c r="BJ140" s="59">
        <f t="shared" si="146"/>
        <v>278.21741231699929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0.87807832142981868</v>
      </c>
      <c r="BQ140" s="21">
        <f>EXP(-LN(2)/25)*BQ139+(1-EXP(-LN(2)/25))/(LN(2)/25)*Calculateur!BL140*Calculateur!BN140*VLOOKUP('Données projet'!$B$11,Paramètres!$A$1:$I$89,3,0)*0.475*44/12</f>
        <v>0.48204607883922318</v>
      </c>
      <c r="BR140" s="21">
        <f>EXP(-LN(2)/2)*BR139+(1-EXP(-LN(2)/2))/(LN(2)/2)*BL140*BO140*VLOOKUP('Données projet'!$B$11,Paramètres!$A$1:$I$89,3,0)*0.475*44/12</f>
        <v>6.7002381423238242E-16</v>
      </c>
      <c r="BS140" s="22">
        <f t="shared" si="117"/>
        <v>1.3601244002690425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-1.7053025658242404E-13</v>
      </c>
      <c r="CU140" s="17">
        <f>CT140*VLOOKUP('Données projet'!$B$13,Paramètres!$A$1:$I$89,3,0)*VLOOKUP('Données projet'!$B$13,Paramètres!$A$1:$I$89,5,0)</f>
        <v>-1.3567387213697657E-13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299.10536994156814</v>
      </c>
      <c r="CZ140" s="59">
        <f t="shared" si="150"/>
        <v>292.57799203101769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1.011780695424064</v>
      </c>
      <c r="DG140" s="21">
        <f>EXP(-LN(2)/25)*DG139+(1-EXP(-LN(2)/25))/(LN(2)/25)*Calculateur!DB140*Calculateur!DD140*VLOOKUP('Données projet'!$B$13,Paramètres!$A$1:$I$89,3,0)*0.475*44/12</f>
        <v>0.55658036075487194</v>
      </c>
      <c r="DH140" s="21">
        <f>EXP(-LN(2)/2)*DH139+(1-EXP(-LN(2)/2))/(LN(2)/2)*DB140*DE140*VLOOKUP('Données projet'!$B$13,Paramètres!$A$1:$I$89,3,0)*0.475*44/12</f>
        <v>7.0439439277360782E-16</v>
      </c>
      <c r="DI140" s="22">
        <f t="shared" si="123"/>
        <v>1.5683610561789367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2.2737367544323206E-13</v>
      </c>
      <c r="DP140" s="17">
        <f>DO140*VLOOKUP('Données projet'!$B$14,Paramètres!$A$1:$I$89,3,0)*VLOOKUP('Données projet'!$B$14,Paramètres!$A$1:$I$89,5,0)</f>
        <v>1.4897523215040565E-13</v>
      </c>
      <c r="DQ140" s="13">
        <f t="shared" si="151"/>
        <v>2.136562777003313E-12</v>
      </c>
      <c r="DR140" s="20">
        <f t="shared" si="124"/>
        <v>3.9806453659427267E-12</v>
      </c>
      <c r="DS140" s="59">
        <f t="shared" si="125"/>
        <v>293.33333333333729</v>
      </c>
      <c r="DT140" s="59">
        <f ca="1">AVERAGE(OFFSET($DS$3,0,0,'Données projet'!$E$14+1,1))-AVERAGE(OFFSET($H$3,0,0,'Données projet'!$E$14+1,1))</f>
        <v>295.92103934364718</v>
      </c>
      <c r="DU140" s="59">
        <f t="shared" si="152"/>
        <v>304.84379909635476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0.53589225247780348</v>
      </c>
      <c r="EB140" s="21">
        <f>EXP(-LN(2)/25)*EB139+(1-EXP(-LN(2)/25))/(LN(2)/25)*Calculateur!DW140*Calculateur!DY140*VLOOKUP('Données projet'!$B$14,Paramètres!$A$1:$I$89,3,0)*0.475*44/12</f>
        <v>0.36815296641707024</v>
      </c>
      <c r="EC140" s="21">
        <f>EXP(-LN(2)/2)*EC139+(1-EXP(-LN(2)/2))/(LN(2)/2)*DW140*DZ140*VLOOKUP('Données projet'!$B$14,Paramètres!$A$1:$I$89,3,0)*0.475*44/12</f>
        <v>4.5177169203206273E-16</v>
      </c>
      <c r="ED140" s="22">
        <f t="shared" si="126"/>
        <v>0.90404521889487421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207.2913533618397</v>
      </c>
      <c r="EP140" s="59">
        <f t="shared" si="154"/>
        <v>230.81096055024483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0.83170499405598608</v>
      </c>
      <c r="EW140" s="21">
        <f>EXP(-LN(2)/25)*EW139+(1-EXP(-LN(2)/25))/(LN(2)/25)*Calculateur!ER140*Calculateur!ET140*VLOOKUP('Données projet'!$B$15,Paramètres!$A$1:$I$89,3,0)*0.475*44/12</f>
        <v>0.31045117749896212</v>
      </c>
      <c r="EX140" s="21">
        <f>EXP(-LN(2)/2)*EX139+(1-EXP(-LN(2)/2))/(LN(2)/2)*ER140*EU140*VLOOKUP('Données projet'!$B$15,Paramètres!$A$1:$I$89,3,0)*0.475*44/12</f>
        <v>2.3154998149025192E-16</v>
      </c>
      <c r="EY140" s="22">
        <f t="shared" si="129"/>
        <v>1.1421561715549484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319.22903094674564</v>
      </c>
      <c r="T141" s="59">
        <f t="shared" si="142"/>
        <v>254.58690973142848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1.0690793148308293</v>
      </c>
      <c r="AA141" s="21">
        <f>EXP(-LN(2)/25)*AA140+(1-EXP(-LN(2)/25))/(LN(2)/25)*Calculateur!V141*Calculateur!X141*VLOOKUP('Données projet'!$B$9,Paramètres!$A$1:$I$89,3,0)*0.475*44/12</f>
        <v>0.55831167005915538</v>
      </c>
      <c r="AB141" s="21">
        <f>EXP(-LN(2)/2)*AB140+(1-EXP(-LN(2)/2))/(LN(2)/2)*V141*Y141*VLOOKUP('Données projet'!$B$9,Paramètres!$A$1:$I$89,3,0)*0.475*44/12</f>
        <v>6.130167842010284E-16</v>
      </c>
      <c r="AC141" s="22">
        <f t="shared" si="111"/>
        <v>1.6273909848899855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-3.4106051316484809E-13</v>
      </c>
      <c r="AJ141" s="13">
        <f>AI141*VLOOKUP('Données projet'!$B$10,Paramètres!$A$1:$I$89,3,0)*VLOOKUP('Données projet'!$B$10,Paramètres!$A$1:$I$89,5,0)</f>
        <v>-1.9065282685915009E-13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544.48194192356823</v>
      </c>
      <c r="AO141" s="59">
        <f t="shared" si="144"/>
        <v>668.20427590250733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0.86473452919330751</v>
      </c>
      <c r="AV141" s="21">
        <f>EXP(-LN(2)/25)*AV140+(1-EXP(-LN(2)/25))/(LN(2)/25)*Calculateur!AQ141*Calculateur!AS141*VLOOKUP('Données projet'!$B$10,Paramètres!$A$1:$I$89,3,0)*0.475*44/12</f>
        <v>2.1334605456688061</v>
      </c>
      <c r="AW141" s="21">
        <f>EXP(-LN(2)/2)*AW140+(1-EXP(-LN(2)/2))/(LN(2)/2)*AQ141*AT141*VLOOKUP('Données projet'!$B$10,Paramètres!$A$1:$I$89,3,0)*0.475*44/12</f>
        <v>8.0035743392423928E-16</v>
      </c>
      <c r="AX141" s="21">
        <f t="shared" si="114"/>
        <v>2.9981950748621147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405.7176439604217</v>
      </c>
      <c r="BJ141" s="59">
        <f t="shared" si="146"/>
        <v>278.21741231699929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0.86085974112147234</v>
      </c>
      <c r="BQ141" s="21">
        <f>EXP(-LN(2)/25)*BQ140+(1-EXP(-LN(2)/25))/(LN(2)/25)*Calculateur!BL141*Calculateur!BN141*VLOOKUP('Données projet'!$B$11,Paramètres!$A$1:$I$89,3,0)*0.475*44/12</f>
        <v>0.46886450346366304</v>
      </c>
      <c r="BR141" s="21">
        <f>EXP(-LN(2)/2)*BR140+(1-EXP(-LN(2)/2))/(LN(2)/2)*BL141*BO141*VLOOKUP('Données projet'!$B$11,Paramètres!$A$1:$I$89,3,0)*0.475*44/12</f>
        <v>4.737783826001932E-16</v>
      </c>
      <c r="BS141" s="22">
        <f t="shared" si="117"/>
        <v>1.3297242445851358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-1.7053025658242404E-13</v>
      </c>
      <c r="CU141" s="17">
        <f>CT141*VLOOKUP('Données projet'!$B$13,Paramètres!$A$1:$I$89,3,0)*VLOOKUP('Données projet'!$B$13,Paramètres!$A$1:$I$89,5,0)</f>
        <v>-1.3567387213697657E-13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299.10536994156814</v>
      </c>
      <c r="CZ141" s="59">
        <f t="shared" si="150"/>
        <v>292.57799203101769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0.99194029311208631</v>
      </c>
      <c r="DG141" s="21">
        <f>EXP(-LN(2)/25)*DG140+(1-EXP(-LN(2)/25))/(LN(2)/25)*Calculateur!DB141*Calculateur!DD141*VLOOKUP('Données projet'!$B$13,Paramètres!$A$1:$I$89,3,0)*0.475*44/12</f>
        <v>0.54136064152074093</v>
      </c>
      <c r="DH141" s="21">
        <f>EXP(-LN(2)/2)*DH140+(1-EXP(-LN(2)/2))/(LN(2)/2)*DB141*DE141*VLOOKUP('Données projet'!$B$13,Paramètres!$A$1:$I$89,3,0)*0.475*44/12</f>
        <v>4.980820517599985E-16</v>
      </c>
      <c r="DI141" s="22">
        <f t="shared" si="123"/>
        <v>1.5333009346328277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2.2737367544323206E-13</v>
      </c>
      <c r="DP141" s="17">
        <f>DO141*VLOOKUP('Données projet'!$B$14,Paramètres!$A$1:$I$89,3,0)*VLOOKUP('Données projet'!$B$14,Paramètres!$A$1:$I$89,5,0)</f>
        <v>1.4897523215040565E-13</v>
      </c>
      <c r="DQ141" s="13">
        <f t="shared" si="151"/>
        <v>2.136562777003313E-12</v>
      </c>
      <c r="DR141" s="20">
        <f t="shared" si="124"/>
        <v>3.9806453659427267E-12</v>
      </c>
      <c r="DS141" s="59">
        <f t="shared" si="125"/>
        <v>293.33333333333729</v>
      </c>
      <c r="DT141" s="59">
        <f ca="1">AVERAGE(OFFSET($DS$3,0,0,'Données projet'!$E$14+1,1))-AVERAGE(OFFSET($H$3,0,0,'Données projet'!$E$14+1,1))</f>
        <v>295.92103934364718</v>
      </c>
      <c r="DU141" s="59">
        <f t="shared" si="152"/>
        <v>304.84379909635476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0.52538373226871282</v>
      </c>
      <c r="EB141" s="21">
        <f>EXP(-LN(2)/25)*EB140+(1-EXP(-LN(2)/25))/(LN(2)/25)*Calculateur!DW141*Calculateur!DY141*VLOOKUP('Données projet'!$B$14,Paramètres!$A$1:$I$89,3,0)*0.475*44/12</f>
        <v>0.35808580419007235</v>
      </c>
      <c r="EC141" s="21">
        <f>EXP(-LN(2)/2)*EC140+(1-EXP(-LN(2)/2))/(LN(2)/2)*DW141*DZ141*VLOOKUP('Données projet'!$B$14,Paramètres!$A$1:$I$89,3,0)*0.475*44/12</f>
        <v>3.1945082698399212E-16</v>
      </c>
      <c r="ED141" s="22">
        <f t="shared" si="126"/>
        <v>0.88346953645878556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207.2913533618397</v>
      </c>
      <c r="EP141" s="59">
        <f t="shared" si="154"/>
        <v>230.81096055024483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0.81539576641250389</v>
      </c>
      <c r="EW141" s="21">
        <f>EXP(-LN(2)/25)*EW140+(1-EXP(-LN(2)/25))/(LN(2)/25)*Calculateur!ER141*Calculateur!ET141*VLOOKUP('Données projet'!$B$15,Paramètres!$A$1:$I$89,3,0)*0.475*44/12</f>
        <v>0.30196187372433514</v>
      </c>
      <c r="EX141" s="21">
        <f>EXP(-LN(2)/2)*EX140+(1-EXP(-LN(2)/2))/(LN(2)/2)*ER141*EU141*VLOOKUP('Données projet'!$B$15,Paramètres!$A$1:$I$89,3,0)*0.475*44/12</f>
        <v>1.637305620953767E-16</v>
      </c>
      <c r="EY141" s="22">
        <f t="shared" si="129"/>
        <v>1.1173576401368392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319.22903094674564</v>
      </c>
      <c r="T142" s="59">
        <f t="shared" si="142"/>
        <v>254.58690973142848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1.0481153215409917</v>
      </c>
      <c r="AA142" s="21">
        <f>EXP(-LN(2)/25)*AA141+(1-EXP(-LN(2)/25))/(LN(2)/25)*Calculateur!V142*Calculateur!X142*VLOOKUP('Données projet'!$B$9,Paramètres!$A$1:$I$89,3,0)*0.475*44/12</f>
        <v>0.54304460808105304</v>
      </c>
      <c r="AB142" s="21">
        <f>EXP(-LN(2)/2)*AB141+(1-EXP(-LN(2)/2))/(LN(2)/2)*V142*Y142*VLOOKUP('Données projet'!$B$9,Paramètres!$A$1:$I$89,3,0)*0.475*44/12</f>
        <v>4.3346832508971762E-16</v>
      </c>
      <c r="AC142" s="22">
        <f t="shared" si="111"/>
        <v>1.5911599296220453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-3.4106051316484809E-13</v>
      </c>
      <c r="AJ142" s="13">
        <f>AI142*VLOOKUP('Données projet'!$B$10,Paramètres!$A$1:$I$89,3,0)*VLOOKUP('Données projet'!$B$10,Paramètres!$A$1:$I$89,5,0)</f>
        <v>-1.9065282685915009E-13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544.48194192356823</v>
      </c>
      <c r="AO142" s="59">
        <f t="shared" si="144"/>
        <v>668.20427590250733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0.84777761251180961</v>
      </c>
      <c r="AV142" s="21">
        <f>EXP(-LN(2)/25)*AV141+(1-EXP(-LN(2)/25))/(LN(2)/25)*Calculateur!AQ142*Calculateur!AS142*VLOOKUP('Données projet'!$B$10,Paramètres!$A$1:$I$89,3,0)*0.475*44/12</f>
        <v>2.0751209548536784</v>
      </c>
      <c r="AW142" s="21">
        <f>EXP(-LN(2)/2)*AW141+(1-EXP(-LN(2)/2))/(LN(2)/2)*AQ142*AT142*VLOOKUP('Données projet'!$B$10,Paramètres!$A$1:$I$89,3,0)*0.475*44/12</f>
        <v>5.6593816890089372E-16</v>
      </c>
      <c r="AX142" s="21">
        <f t="shared" si="114"/>
        <v>2.9228985673654884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405.7176439604217</v>
      </c>
      <c r="BJ142" s="59">
        <f t="shared" si="146"/>
        <v>278.21741231699929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0.84397880667067571</v>
      </c>
      <c r="BQ142" s="21">
        <f>EXP(-LN(2)/25)*BQ141+(1-EXP(-LN(2)/25))/(LN(2)/25)*Calculateur!BL142*Calculateur!BN142*VLOOKUP('Données projet'!$B$11,Paramètres!$A$1:$I$89,3,0)*0.475*44/12</f>
        <v>0.45604337895993652</v>
      </c>
      <c r="BR142" s="21">
        <f>EXP(-LN(2)/2)*BR141+(1-EXP(-LN(2)/2))/(LN(2)/2)*BL142*BO142*VLOOKUP('Données projet'!$B$11,Paramètres!$A$1:$I$89,3,0)*0.475*44/12</f>
        <v>3.3501190711619121E-16</v>
      </c>
      <c r="BS142" s="22">
        <f t="shared" si="117"/>
        <v>1.3000221856306127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-1.7053025658242404E-13</v>
      </c>
      <c r="CU142" s="17">
        <f>CT142*VLOOKUP('Données projet'!$B$13,Paramètres!$A$1:$I$89,3,0)*VLOOKUP('Données projet'!$B$13,Paramètres!$A$1:$I$89,5,0)</f>
        <v>-1.3567387213697657E-13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299.10536994156814</v>
      </c>
      <c r="CZ142" s="59">
        <f t="shared" si="150"/>
        <v>292.57799203101769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0.97248894898799598</v>
      </c>
      <c r="DG142" s="21">
        <f>EXP(-LN(2)/25)*DG141+(1-EXP(-LN(2)/25))/(LN(2)/25)*Calculateur!DB142*Calculateur!DD142*VLOOKUP('Données projet'!$B$13,Paramètres!$A$1:$I$89,3,0)*0.475*44/12</f>
        <v>0.52655710630943742</v>
      </c>
      <c r="DH142" s="21">
        <f>EXP(-LN(2)/2)*DH141+(1-EXP(-LN(2)/2))/(LN(2)/2)*DB142*DE142*VLOOKUP('Données projet'!$B$13,Paramètres!$A$1:$I$89,3,0)*0.475*44/12</f>
        <v>3.5219719638680391E-16</v>
      </c>
      <c r="DI142" s="22">
        <f t="shared" si="123"/>
        <v>1.4990460552974338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2.2737367544323206E-13</v>
      </c>
      <c r="DP142" s="17">
        <f>DO142*VLOOKUP('Données projet'!$B$14,Paramètres!$A$1:$I$89,3,0)*VLOOKUP('Données projet'!$B$14,Paramètres!$A$1:$I$89,5,0)</f>
        <v>1.4897523215040565E-13</v>
      </c>
      <c r="DQ142" s="13">
        <f t="shared" si="151"/>
        <v>2.136562777003313E-12</v>
      </c>
      <c r="DR142" s="20">
        <f t="shared" si="124"/>
        <v>3.9806453659427267E-12</v>
      </c>
      <c r="DS142" s="59">
        <f t="shared" si="125"/>
        <v>293.33333333333729</v>
      </c>
      <c r="DT142" s="59">
        <f ca="1">AVERAGE(OFFSET($DS$3,0,0,'Données projet'!$E$14+1,1))-AVERAGE(OFFSET($H$3,0,0,'Données projet'!$E$14+1,1))</f>
        <v>295.92103934364718</v>
      </c>
      <c r="DU142" s="59">
        <f t="shared" si="152"/>
        <v>304.84379909635476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0.51508127773135803</v>
      </c>
      <c r="EB142" s="21">
        <f>EXP(-LN(2)/25)*EB141+(1-EXP(-LN(2)/25))/(LN(2)/25)*Calculateur!DW142*Calculateur!DY142*VLOOKUP('Données projet'!$B$14,Paramètres!$A$1:$I$89,3,0)*0.475*44/12</f>
        <v>0.34829392904358081</v>
      </c>
      <c r="EC142" s="21">
        <f>EXP(-LN(2)/2)*EC141+(1-EXP(-LN(2)/2))/(LN(2)/2)*DW142*DZ142*VLOOKUP('Données projet'!$B$14,Paramètres!$A$1:$I$89,3,0)*0.475*44/12</f>
        <v>2.2588584601603137E-16</v>
      </c>
      <c r="ED142" s="22">
        <f t="shared" si="126"/>
        <v>0.86337520677493906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207.2913533618397</v>
      </c>
      <c r="EP142" s="59">
        <f t="shared" si="154"/>
        <v>230.81096055024483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0.79940635277546368</v>
      </c>
      <c r="EW142" s="21">
        <f>EXP(-LN(2)/25)*EW141+(1-EXP(-LN(2)/25))/(LN(2)/25)*Calculateur!ER142*Calculateur!ET142*VLOOKUP('Données projet'!$B$15,Paramètres!$A$1:$I$89,3,0)*0.475*44/12</f>
        <v>0.29370471040785839</v>
      </c>
      <c r="EX142" s="21">
        <f>EXP(-LN(2)/2)*EX141+(1-EXP(-LN(2)/2))/(LN(2)/2)*ER142*EU142*VLOOKUP('Données projet'!$B$15,Paramètres!$A$1:$I$89,3,0)*0.475*44/12</f>
        <v>1.1577499074512596E-16</v>
      </c>
      <c r="EY142" s="22">
        <f t="shared" si="129"/>
        <v>1.0931110631833223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319.22903094674564</v>
      </c>
      <c r="T143" s="59">
        <f t="shared" si="142"/>
        <v>254.58690973142848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1.0275624193727946</v>
      </c>
      <c r="AA143" s="21">
        <f>EXP(-LN(2)/25)*AA142+(1-EXP(-LN(2)/25))/(LN(2)/25)*Calculateur!V143*Calculateur!X143*VLOOKUP('Données projet'!$B$9,Paramètres!$A$1:$I$89,3,0)*0.475*44/12</f>
        <v>0.52819502471560187</v>
      </c>
      <c r="AB143" s="21">
        <f>EXP(-LN(2)/2)*AB142+(1-EXP(-LN(2)/2))/(LN(2)/2)*V143*Y143*VLOOKUP('Données projet'!$B$9,Paramètres!$A$1:$I$89,3,0)*0.475*44/12</f>
        <v>3.0650839210051425E-16</v>
      </c>
      <c r="AC143" s="22">
        <f t="shared" si="111"/>
        <v>1.5557574440883968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-3.4106051316484809E-13</v>
      </c>
      <c r="AJ143" s="13">
        <f>AI143*VLOOKUP('Données projet'!$B$10,Paramètres!$A$1:$I$89,3,0)*VLOOKUP('Données projet'!$B$10,Paramètres!$A$1:$I$89,5,0)</f>
        <v>-1.9065282685915009E-13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544.48194192356823</v>
      </c>
      <c r="AO143" s="59">
        <f t="shared" si="144"/>
        <v>668.20427590250733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0.83115321062373793</v>
      </c>
      <c r="AV143" s="21">
        <f>EXP(-LN(2)/25)*AV142+(1-EXP(-LN(2)/25))/(LN(2)/25)*Calculateur!AQ143*Calculateur!AS143*VLOOKUP('Données projet'!$B$10,Paramètres!$A$1:$I$89,3,0)*0.475*44/12</f>
        <v>2.0183766632173361</v>
      </c>
      <c r="AW143" s="21">
        <f>EXP(-LN(2)/2)*AW142+(1-EXP(-LN(2)/2))/(LN(2)/2)*AQ143*AT143*VLOOKUP('Données projet'!$B$10,Paramètres!$A$1:$I$89,3,0)*0.475*44/12</f>
        <v>4.0017871696211964E-16</v>
      </c>
      <c r="AX143" s="21">
        <f t="shared" si="114"/>
        <v>2.8495298738410746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405.7176439604217</v>
      </c>
      <c r="BJ143" s="59">
        <f t="shared" si="146"/>
        <v>278.21741231699929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0.82742889704810585</v>
      </c>
      <c r="BQ143" s="21">
        <f>EXP(-LN(2)/25)*BQ142+(1-EXP(-LN(2)/25))/(LN(2)/25)*Calculateur!BL143*Calculateur!BN143*VLOOKUP('Données projet'!$B$11,Paramètres!$A$1:$I$89,3,0)*0.475*44/12</f>
        <v>0.44357284877999803</v>
      </c>
      <c r="BR143" s="21">
        <f>EXP(-LN(2)/2)*BR142+(1-EXP(-LN(2)/2))/(LN(2)/2)*BL143*BO143*VLOOKUP('Données projet'!$B$11,Paramètres!$A$1:$I$89,3,0)*0.475*44/12</f>
        <v>2.368891913000966E-16</v>
      </c>
      <c r="BS143" s="22">
        <f t="shared" si="117"/>
        <v>1.271001745828104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-1.7053025658242404E-13</v>
      </c>
      <c r="CU143" s="17">
        <f>CT143*VLOOKUP('Données projet'!$B$13,Paramètres!$A$1:$I$89,3,0)*VLOOKUP('Données projet'!$B$13,Paramètres!$A$1:$I$89,5,0)</f>
        <v>-1.3567387213697657E-13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299.10536994156814</v>
      </c>
      <c r="CZ143" s="59">
        <f t="shared" si="150"/>
        <v>292.57799203101769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0.95341903385803062</v>
      </c>
      <c r="DG143" s="21">
        <f>EXP(-LN(2)/25)*DG142+(1-EXP(-LN(2)/25))/(LN(2)/25)*Calculateur!DB143*Calculateur!DD143*VLOOKUP('Données projet'!$B$13,Paramètres!$A$1:$I$89,3,0)*0.475*44/12</f>
        <v>0.51215837454697111</v>
      </c>
      <c r="DH143" s="21">
        <f>EXP(-LN(2)/2)*DH142+(1-EXP(-LN(2)/2))/(LN(2)/2)*DB143*DE143*VLOOKUP('Données projet'!$B$13,Paramètres!$A$1:$I$89,3,0)*0.475*44/12</f>
        <v>2.4904102587999925E-16</v>
      </c>
      <c r="DI143" s="22">
        <f t="shared" si="123"/>
        <v>1.4655774084050019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2.2737367544323206E-13</v>
      </c>
      <c r="DP143" s="17">
        <f>DO143*VLOOKUP('Données projet'!$B$14,Paramètres!$A$1:$I$89,3,0)*VLOOKUP('Données projet'!$B$14,Paramètres!$A$1:$I$89,5,0)</f>
        <v>1.4897523215040565E-13</v>
      </c>
      <c r="DQ143" s="13">
        <f t="shared" si="151"/>
        <v>2.136562777003313E-12</v>
      </c>
      <c r="DR143" s="20">
        <f t="shared" si="124"/>
        <v>3.9806453659427267E-12</v>
      </c>
      <c r="DS143" s="59">
        <f t="shared" si="125"/>
        <v>293.33333333333729</v>
      </c>
      <c r="DT143" s="59">
        <f ca="1">AVERAGE(OFFSET($DS$3,0,0,'Données projet'!$E$14+1,1))-AVERAGE(OFFSET($H$3,0,0,'Données projet'!$E$14+1,1))</f>
        <v>295.92103934364718</v>
      </c>
      <c r="DU143" s="59">
        <f t="shared" si="152"/>
        <v>304.84379909635476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0.50498084804360399</v>
      </c>
      <c r="EB143" s="21">
        <f>EXP(-LN(2)/25)*EB142+(1-EXP(-LN(2)/25))/(LN(2)/25)*Calculateur!DW143*Calculateur!DY143*VLOOKUP('Données projet'!$B$14,Paramètres!$A$1:$I$89,3,0)*0.475*44/12</f>
        <v>0.3387698132379024</v>
      </c>
      <c r="EC143" s="21">
        <f>EXP(-LN(2)/2)*EC142+(1-EXP(-LN(2)/2))/(LN(2)/2)*DW143*DZ143*VLOOKUP('Données projet'!$B$14,Paramètres!$A$1:$I$89,3,0)*0.475*44/12</f>
        <v>1.5972541349199606E-16</v>
      </c>
      <c r="ED143" s="22">
        <f t="shared" si="126"/>
        <v>0.84375066128150655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207.2913533618397</v>
      </c>
      <c r="EP143" s="59">
        <f t="shared" si="154"/>
        <v>230.81096055024483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0.78373048178726656</v>
      </c>
      <c r="EW143" s="21">
        <f>EXP(-LN(2)/25)*EW142+(1-EXP(-LN(2)/25))/(LN(2)/25)*Calculateur!ER143*Calculateur!ET143*VLOOKUP('Données projet'!$B$15,Paramètres!$A$1:$I$89,3,0)*0.475*44/12</f>
        <v>0.28567333965649605</v>
      </c>
      <c r="EX143" s="21">
        <f>EXP(-LN(2)/2)*EX142+(1-EXP(-LN(2)/2))/(LN(2)/2)*ER143*EU143*VLOOKUP('Données projet'!$B$15,Paramètres!$A$1:$I$89,3,0)*0.475*44/12</f>
        <v>8.1865281047688349E-17</v>
      </c>
      <c r="EY143" s="22">
        <f t="shared" si="129"/>
        <v>1.0694038214437627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319.22903094674564</v>
      </c>
      <c r="T144" s="59">
        <f t="shared" si="142"/>
        <v>254.58690973142848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1.0074125470800834</v>
      </c>
      <c r="AA144" s="21">
        <f>EXP(-LN(2)/25)*AA143+(1-EXP(-LN(2)/25))/(LN(2)/25)*Calculateur!V144*Calculateur!X144*VLOOKUP('Données projet'!$B$9,Paramètres!$A$1:$I$89,3,0)*0.475*44/12</f>
        <v>0.51375150398818459</v>
      </c>
      <c r="AB144" s="21">
        <f>EXP(-LN(2)/2)*AB143+(1-EXP(-LN(2)/2))/(LN(2)/2)*V144*Y144*VLOOKUP('Données projet'!$B$9,Paramètres!$A$1:$I$89,3,0)*0.475*44/12</f>
        <v>2.1673416254485886E-16</v>
      </c>
      <c r="AC144" s="22">
        <f t="shared" si="111"/>
        <v>1.5211640510682682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-3.4106051316484809E-13</v>
      </c>
      <c r="AJ144" s="13">
        <f>AI144*VLOOKUP('Données projet'!$B$10,Paramètres!$A$1:$I$89,3,0)*VLOOKUP('Données projet'!$B$10,Paramètres!$A$1:$I$89,5,0)</f>
        <v>-1.9065282685915009E-13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544.48194192356823</v>
      </c>
      <c r="AO144" s="59">
        <f t="shared" si="144"/>
        <v>668.20427590250733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0.81485480311680747</v>
      </c>
      <c r="AV144" s="21">
        <f>EXP(-LN(2)/25)*AV143+(1-EXP(-LN(2)/25))/(LN(2)/25)*Calculateur!AQ144*Calculateur!AS144*VLOOKUP('Données projet'!$B$10,Paramètres!$A$1:$I$89,3,0)*0.475*44/12</f>
        <v>1.9631840472198423</v>
      </c>
      <c r="AW144" s="21">
        <f>EXP(-LN(2)/2)*AW143+(1-EXP(-LN(2)/2))/(LN(2)/2)*AQ144*AT144*VLOOKUP('Données projet'!$B$10,Paramètres!$A$1:$I$89,3,0)*0.475*44/12</f>
        <v>2.8296908445044686E-16</v>
      </c>
      <c r="AX144" s="21">
        <f t="shared" si="114"/>
        <v>2.77803885033665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405.7176439604217</v>
      </c>
      <c r="BJ144" s="59">
        <f t="shared" si="146"/>
        <v>278.21741231699929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0.81120352105878646</v>
      </c>
      <c r="BQ144" s="21">
        <f>EXP(-LN(2)/25)*BQ143+(1-EXP(-LN(2)/25))/(LN(2)/25)*Calculateur!BL144*Calculateur!BN144*VLOOKUP('Données projet'!$B$11,Paramètres!$A$1:$I$89,3,0)*0.475*44/12</f>
        <v>0.43144332590362666</v>
      </c>
      <c r="BR144" s="21">
        <f>EXP(-LN(2)/2)*BR143+(1-EXP(-LN(2)/2))/(LN(2)/2)*BL144*BO144*VLOOKUP('Données projet'!$B$11,Paramètres!$A$1:$I$89,3,0)*0.475*44/12</f>
        <v>1.6750595355809561E-16</v>
      </c>
      <c r="BS144" s="22">
        <f t="shared" si="117"/>
        <v>1.2426468469624135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-1.7053025658242404E-13</v>
      </c>
      <c r="CU144" s="17">
        <f>CT144*VLOOKUP('Données projet'!$B$13,Paramètres!$A$1:$I$89,3,0)*VLOOKUP('Données projet'!$B$13,Paramètres!$A$1:$I$89,5,0)</f>
        <v>-1.3567387213697657E-13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299.10536994156814</v>
      </c>
      <c r="CZ144" s="59">
        <f t="shared" si="150"/>
        <v>292.57799203101769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0.93472306813226413</v>
      </c>
      <c r="DG144" s="21">
        <f>EXP(-LN(2)/25)*DG143+(1-EXP(-LN(2)/25))/(LN(2)/25)*Calculateur!DB144*Calculateur!DD144*VLOOKUP('Données projet'!$B$13,Paramètres!$A$1:$I$89,3,0)*0.475*44/12</f>
        <v>0.49815337686174582</v>
      </c>
      <c r="DH144" s="21">
        <f>EXP(-LN(2)/2)*DH143+(1-EXP(-LN(2)/2))/(LN(2)/2)*DB144*DE144*VLOOKUP('Données projet'!$B$13,Paramètres!$A$1:$I$89,3,0)*0.475*44/12</f>
        <v>1.7609859819340195E-16</v>
      </c>
      <c r="DI144" s="22">
        <f t="shared" si="123"/>
        <v>1.4328764449940101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2.2737367544323206E-13</v>
      </c>
      <c r="DP144" s="17">
        <f>DO144*VLOOKUP('Données projet'!$B$14,Paramètres!$A$1:$I$89,3,0)*VLOOKUP('Données projet'!$B$14,Paramètres!$A$1:$I$89,5,0)</f>
        <v>1.4897523215040565E-13</v>
      </c>
      <c r="DQ144" s="13">
        <f t="shared" si="151"/>
        <v>2.136562777003313E-12</v>
      </c>
      <c r="DR144" s="20">
        <f t="shared" si="124"/>
        <v>3.9806453659427267E-12</v>
      </c>
      <c r="DS144" s="59">
        <f t="shared" si="125"/>
        <v>293.33333333333729</v>
      </c>
      <c r="DT144" s="59">
        <f ca="1">AVERAGE(OFFSET($DS$3,0,0,'Données projet'!$E$14+1,1))-AVERAGE(OFFSET($H$3,0,0,'Données projet'!$E$14+1,1))</f>
        <v>295.92103934364718</v>
      </c>
      <c r="DU144" s="59">
        <f t="shared" si="152"/>
        <v>304.84379909635476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0.49507848162137297</v>
      </c>
      <c r="EB144" s="21">
        <f>EXP(-LN(2)/25)*EB143+(1-EXP(-LN(2)/25))/(LN(2)/25)*Calculateur!DW144*Calculateur!DY144*VLOOKUP('Données projet'!$B$14,Paramètres!$A$1:$I$89,3,0)*0.475*44/12</f>
        <v>0.32950613487978175</v>
      </c>
      <c r="EC144" s="21">
        <f>EXP(-LN(2)/2)*EC143+(1-EXP(-LN(2)/2))/(LN(2)/2)*DW144*DZ144*VLOOKUP('Données projet'!$B$14,Paramètres!$A$1:$I$89,3,0)*0.475*44/12</f>
        <v>1.1294292300801568E-16</v>
      </c>
      <c r="ED144" s="22">
        <f t="shared" si="126"/>
        <v>0.82458461650115489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207.2913533618397</v>
      </c>
      <c r="EP144" s="59">
        <f t="shared" si="154"/>
        <v>230.81096055024483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0.76836200506781083</v>
      </c>
      <c r="EW144" s="21">
        <f>EXP(-LN(2)/25)*EW143+(1-EXP(-LN(2)/25))/(LN(2)/25)*Calculateur!ER144*Calculateur!ET144*VLOOKUP('Données projet'!$B$15,Paramètres!$A$1:$I$89,3,0)*0.475*44/12</f>
        <v>0.27786158716068116</v>
      </c>
      <c r="EX144" s="21">
        <f>EXP(-LN(2)/2)*EX143+(1-EXP(-LN(2)/2))/(LN(2)/2)*ER144*EU144*VLOOKUP('Données projet'!$B$15,Paramètres!$A$1:$I$89,3,0)*0.475*44/12</f>
        <v>5.7887495372562979E-17</v>
      </c>
      <c r="EY144" s="22">
        <f t="shared" si="129"/>
        <v>1.0462235922284919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319.22903094674564</v>
      </c>
      <c r="T145" s="59">
        <f t="shared" si="142"/>
        <v>254.58690973142848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0.98765780149282378</v>
      </c>
      <c r="AA145" s="21">
        <f>EXP(-LN(2)/25)*AA144+(1-EXP(-LN(2)/25))/(LN(2)/25)*Calculateur!V145*Calculateur!X145*VLOOKUP('Données projet'!$B$9,Paramètres!$A$1:$I$89,3,0)*0.475*44/12</f>
        <v>0.4997029420946103</v>
      </c>
      <c r="AB145" s="21">
        <f>EXP(-LN(2)/2)*AB144+(1-EXP(-LN(2)/2))/(LN(2)/2)*V145*Y145*VLOOKUP('Données projet'!$B$9,Paramètres!$A$1:$I$89,3,0)*0.475*44/12</f>
        <v>1.5325419605025715E-16</v>
      </c>
      <c r="AC145" s="22">
        <f t="shared" si="111"/>
        <v>1.4873607435874343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-3.4106051316484809E-13</v>
      </c>
      <c r="AJ145" s="13">
        <f>AI145*VLOOKUP('Données projet'!$B$10,Paramètres!$A$1:$I$89,3,0)*VLOOKUP('Données projet'!$B$10,Paramètres!$A$1:$I$89,5,0)</f>
        <v>-1.9065282685915009E-13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544.48194192356823</v>
      </c>
      <c r="AO145" s="59">
        <f t="shared" si="144"/>
        <v>668.20427590250733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0.7988759974400409</v>
      </c>
      <c r="AV145" s="21">
        <f>EXP(-LN(2)/25)*AV144+(1-EXP(-LN(2)/25))/(LN(2)/25)*Calculateur!AQ145*Calculateur!AS145*VLOOKUP('Données projet'!$B$10,Paramètres!$A$1:$I$89,3,0)*0.475*44/12</f>
        <v>1.9095006762092537</v>
      </c>
      <c r="AW145" s="21">
        <f>EXP(-LN(2)/2)*AW144+(1-EXP(-LN(2)/2))/(LN(2)/2)*AQ145*AT145*VLOOKUP('Données projet'!$B$10,Paramètres!$A$1:$I$89,3,0)*0.475*44/12</f>
        <v>2.0008935848105982E-16</v>
      </c>
      <c r="AX145" s="21">
        <f t="shared" si="114"/>
        <v>2.7083766736492945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405.7176439604217</v>
      </c>
      <c r="BJ145" s="59">
        <f t="shared" si="146"/>
        <v>278.21741231699929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0.79529631479611551</v>
      </c>
      <c r="BQ145" s="21">
        <f>EXP(-LN(2)/25)*BQ144+(1-EXP(-LN(2)/25))/(LN(2)/25)*Calculateur!BL145*Calculateur!BN145*VLOOKUP('Données projet'!$B$11,Paramètres!$A$1:$I$89,3,0)*0.475*44/12</f>
        <v>0.41964548546817354</v>
      </c>
      <c r="BR145" s="21">
        <f>EXP(-LN(2)/2)*BR144+(1-EXP(-LN(2)/2))/(LN(2)/2)*BL145*BO145*VLOOKUP('Données projet'!$B$11,Paramètres!$A$1:$I$89,3,0)*0.475*44/12</f>
        <v>1.184445956500483E-16</v>
      </c>
      <c r="BS145" s="22">
        <f t="shared" si="117"/>
        <v>1.2149418002642893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-1.7053025658242404E-13</v>
      </c>
      <c r="CU145" s="17">
        <f>CT145*VLOOKUP('Données projet'!$B$13,Paramètres!$A$1:$I$89,3,0)*VLOOKUP('Données projet'!$B$13,Paramètres!$A$1:$I$89,5,0)</f>
        <v>-1.3567387213697657E-13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299.10536994156814</v>
      </c>
      <c r="CZ145" s="59">
        <f t="shared" si="150"/>
        <v>292.57799203101769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0.91639371889096688</v>
      </c>
      <c r="DG145" s="21">
        <f>EXP(-LN(2)/25)*DG144+(1-EXP(-LN(2)/25))/(LN(2)/25)*Calculateur!DB145*Calculateur!DD145*VLOOKUP('Données projet'!$B$13,Paramètres!$A$1:$I$89,3,0)*0.475*44/12</f>
        <v>0.48453134657471386</v>
      </c>
      <c r="DH145" s="21">
        <f>EXP(-LN(2)/2)*DH144+(1-EXP(-LN(2)/2))/(LN(2)/2)*DB145*DE145*VLOOKUP('Données projet'!$B$13,Paramètres!$A$1:$I$89,3,0)*0.475*44/12</f>
        <v>1.2452051293999963E-16</v>
      </c>
      <c r="DI145" s="22">
        <f t="shared" si="123"/>
        <v>1.4009250654656811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2.2737367544323206E-13</v>
      </c>
      <c r="DP145" s="17">
        <f>DO145*VLOOKUP('Données projet'!$B$14,Paramètres!$A$1:$I$89,3,0)*VLOOKUP('Données projet'!$B$14,Paramètres!$A$1:$I$89,5,0)</f>
        <v>1.4897523215040565E-13</v>
      </c>
      <c r="DQ145" s="13">
        <f t="shared" si="151"/>
        <v>2.136562777003313E-12</v>
      </c>
      <c r="DR145" s="20">
        <f t="shared" si="124"/>
        <v>3.9806453659427267E-12</v>
      </c>
      <c r="DS145" s="59">
        <f t="shared" si="125"/>
        <v>293.33333333333729</v>
      </c>
      <c r="DT145" s="59">
        <f ca="1">AVERAGE(OFFSET($DS$3,0,0,'Données projet'!$E$14+1,1))-AVERAGE(OFFSET($H$3,0,0,'Données projet'!$E$14+1,1))</f>
        <v>295.92103934364718</v>
      </c>
      <c r="DU145" s="59">
        <f t="shared" si="152"/>
        <v>304.84379909635476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0.48537029456483477</v>
      </c>
      <c r="EB145" s="21">
        <f>EXP(-LN(2)/25)*EB144+(1-EXP(-LN(2)/25))/(LN(2)/25)*Calculateur!DW145*Calculateur!DY145*VLOOKUP('Données projet'!$B$14,Paramètres!$A$1:$I$89,3,0)*0.475*44/12</f>
        <v>0.32049577229351961</v>
      </c>
      <c r="EC145" s="21">
        <f>EXP(-LN(2)/2)*EC144+(1-EXP(-LN(2)/2))/(LN(2)/2)*DW145*DZ145*VLOOKUP('Données projet'!$B$14,Paramètres!$A$1:$I$89,3,0)*0.475*44/12</f>
        <v>7.9862706745998031E-17</v>
      </c>
      <c r="ED145" s="22">
        <f t="shared" si="126"/>
        <v>0.80586606685835449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207.2913533618397</v>
      </c>
      <c r="EP145" s="59">
        <f t="shared" si="154"/>
        <v>230.81096055024483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0.7532948948029784</v>
      </c>
      <c r="EW145" s="21">
        <f>EXP(-LN(2)/25)*EW144+(1-EXP(-LN(2)/25))/(LN(2)/25)*Calculateur!ER145*Calculateur!ET145*VLOOKUP('Données projet'!$B$15,Paramètres!$A$1:$I$89,3,0)*0.475*44/12</f>
        <v>0.2702634474476665</v>
      </c>
      <c r="EX145" s="21">
        <f>EXP(-LN(2)/2)*EX144+(1-EXP(-LN(2)/2))/(LN(2)/2)*ER145*EU145*VLOOKUP('Données projet'!$B$15,Paramètres!$A$1:$I$89,3,0)*0.475*44/12</f>
        <v>4.0932640523844174E-17</v>
      </c>
      <c r="EY145" s="22">
        <f t="shared" si="129"/>
        <v>1.0235583422506449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319.22903094674564</v>
      </c>
      <c r="T146" s="59">
        <f t="shared" si="142"/>
        <v>254.58690973142848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0.96829043441732521</v>
      </c>
      <c r="AA146" s="21">
        <f>EXP(-LN(2)/25)*AA145+(1-EXP(-LN(2)/25))/(LN(2)/25)*Calculateur!V146*Calculateur!X146*VLOOKUP('Données projet'!$B$9,Paramètres!$A$1:$I$89,3,0)*0.475*44/12</f>
        <v>0.48603853886479753</v>
      </c>
      <c r="AB146" s="21">
        <f>EXP(-LN(2)/2)*AB145+(1-EXP(-LN(2)/2))/(LN(2)/2)*V146*Y146*VLOOKUP('Données projet'!$B$9,Paramètres!$A$1:$I$89,3,0)*0.475*44/12</f>
        <v>1.0836708127242944E-16</v>
      </c>
      <c r="AC146" s="22">
        <f t="shared" si="111"/>
        <v>1.4543289732821227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-3.4106051316484809E-13</v>
      </c>
      <c r="AJ146" s="13">
        <f>AI146*VLOOKUP('Données projet'!$B$10,Paramètres!$A$1:$I$89,3,0)*VLOOKUP('Données projet'!$B$10,Paramètres!$A$1:$I$89,5,0)</f>
        <v>-1.9065282685915009E-13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544.48194192356823</v>
      </c>
      <c r="AO146" s="59">
        <f t="shared" si="144"/>
        <v>668.20427590250733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0.78321052639648658</v>
      </c>
      <c r="AV146" s="21">
        <f>EXP(-LN(2)/25)*AV145+(1-EXP(-LN(2)/25))/(LN(2)/25)*Calculateur!AQ146*Calculateur!AS146*VLOOKUP('Données projet'!$B$10,Paramètres!$A$1:$I$89,3,0)*0.475*44/12</f>
        <v>1.8572852798020354</v>
      </c>
      <c r="AW146" s="21">
        <f>EXP(-LN(2)/2)*AW145+(1-EXP(-LN(2)/2))/(LN(2)/2)*AQ146*AT146*VLOOKUP('Données projet'!$B$10,Paramètres!$A$1:$I$89,3,0)*0.475*44/12</f>
        <v>1.4148454222522343E-16</v>
      </c>
      <c r="AX146" s="21">
        <f t="shared" si="114"/>
        <v>2.6404958061985218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405.7176439604217</v>
      </c>
      <c r="BJ146" s="59">
        <f t="shared" si="146"/>
        <v>278.21741231699929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0.77970103914581779</v>
      </c>
      <c r="BQ146" s="21">
        <f>EXP(-LN(2)/25)*BQ145+(1-EXP(-LN(2)/25))/(LN(2)/25)*Calculateur!BL146*Calculateur!BN146*VLOOKUP('Données projet'!$B$11,Paramètres!$A$1:$I$89,3,0)*0.475*44/12</f>
        <v>0.40817025759984937</v>
      </c>
      <c r="BR146" s="21">
        <f>EXP(-LN(2)/2)*BR145+(1-EXP(-LN(2)/2))/(LN(2)/2)*BL146*BO146*VLOOKUP('Données projet'!$B$11,Paramètres!$A$1:$I$89,3,0)*0.475*44/12</f>
        <v>8.3752976779047803E-17</v>
      </c>
      <c r="BS146" s="22">
        <f t="shared" si="117"/>
        <v>1.187871296745667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-1.7053025658242404E-13</v>
      </c>
      <c r="CU146" s="17">
        <f>CT146*VLOOKUP('Données projet'!$B$13,Paramètres!$A$1:$I$89,3,0)*VLOOKUP('Données projet'!$B$13,Paramètres!$A$1:$I$89,5,0)</f>
        <v>-1.3567387213697657E-13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299.10536994156814</v>
      </c>
      <c r="CZ146" s="59">
        <f t="shared" si="150"/>
        <v>292.57799203101769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0.89842379700849229</v>
      </c>
      <c r="DG146" s="21">
        <f>EXP(-LN(2)/25)*DG145+(1-EXP(-LN(2)/25))/(LN(2)/25)*Calculateur!DB146*Calculateur!DD146*VLOOKUP('Données projet'!$B$13,Paramètres!$A$1:$I$89,3,0)*0.475*44/12</f>
        <v>0.47128181142223219</v>
      </c>
      <c r="DH146" s="21">
        <f>EXP(-LN(2)/2)*DH145+(1-EXP(-LN(2)/2))/(LN(2)/2)*DB146*DE146*VLOOKUP('Données projet'!$B$13,Paramètres!$A$1:$I$89,3,0)*0.475*44/12</f>
        <v>8.8049299096700977E-17</v>
      </c>
      <c r="DI146" s="22">
        <f t="shared" si="123"/>
        <v>1.3697056084307244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2.2737367544323206E-13</v>
      </c>
      <c r="DP146" s="17">
        <f>DO146*VLOOKUP('Données projet'!$B$14,Paramètres!$A$1:$I$89,3,0)*VLOOKUP('Données projet'!$B$14,Paramètres!$A$1:$I$89,5,0)</f>
        <v>1.4897523215040565E-13</v>
      </c>
      <c r="DQ146" s="13">
        <f t="shared" si="151"/>
        <v>2.136562777003313E-12</v>
      </c>
      <c r="DR146" s="20">
        <f t="shared" si="124"/>
        <v>3.9806453659427267E-12</v>
      </c>
      <c r="DS146" s="59">
        <f t="shared" si="125"/>
        <v>293.33333333333729</v>
      </c>
      <c r="DT146" s="59">
        <f ca="1">AVERAGE(OFFSET($DS$3,0,0,'Données projet'!$E$14+1,1))-AVERAGE(OFFSET($H$3,0,0,'Données projet'!$E$14+1,1))</f>
        <v>295.92103934364718</v>
      </c>
      <c r="DU146" s="59">
        <f t="shared" si="152"/>
        <v>304.84379909635476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0.47585247913506584</v>
      </c>
      <c r="EB146" s="21">
        <f>EXP(-LN(2)/25)*EB145+(1-EXP(-LN(2)/25))/(LN(2)/25)*Calculateur!DW146*Calculateur!DY146*VLOOKUP('Données projet'!$B$14,Paramètres!$A$1:$I$89,3,0)*0.475*44/12</f>
        <v>0.31173179854601313</v>
      </c>
      <c r="EC146" s="21">
        <f>EXP(-LN(2)/2)*EC145+(1-EXP(-LN(2)/2))/(LN(2)/2)*DW146*DZ146*VLOOKUP('Données projet'!$B$14,Paramètres!$A$1:$I$89,3,0)*0.475*44/12</f>
        <v>5.6471461504007842E-17</v>
      </c>
      <c r="ED146" s="22">
        <f t="shared" si="126"/>
        <v>0.78758427768107908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207.2913533618397</v>
      </c>
      <c r="EP146" s="59">
        <f t="shared" si="154"/>
        <v>230.81096055024483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0.73852324138040948</v>
      </c>
      <c r="EW146" s="21">
        <f>EXP(-LN(2)/25)*EW145+(1-EXP(-LN(2)/25))/(LN(2)/25)*Calculateur!ER146*Calculateur!ET146*VLOOKUP('Données projet'!$B$15,Paramètres!$A$1:$I$89,3,0)*0.475*44/12</f>
        <v>0.26287307926467307</v>
      </c>
      <c r="EX146" s="21">
        <f>EXP(-LN(2)/2)*EX145+(1-EXP(-LN(2)/2))/(LN(2)/2)*ER146*EU146*VLOOKUP('Données projet'!$B$15,Paramètres!$A$1:$I$89,3,0)*0.475*44/12</f>
        <v>2.894374768628149E-17</v>
      </c>
      <c r="EY146" s="22">
        <f t="shared" si="129"/>
        <v>1.0013963206450827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319.22903094674564</v>
      </c>
      <c r="T147" s="59">
        <f t="shared" si="142"/>
        <v>254.58690973142848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0.94930284959724964</v>
      </c>
      <c r="AA147" s="21">
        <f>EXP(-LN(2)/25)*AA146+(1-EXP(-LN(2)/25))/(LN(2)/25)*Calculateur!V147*Calculateur!X147*VLOOKUP('Données projet'!$B$9,Paramètres!$A$1:$I$89,3,0)*0.475*44/12</f>
        <v>0.47274778945988372</v>
      </c>
      <c r="AB147" s="21">
        <f>EXP(-LN(2)/2)*AB146+(1-EXP(-LN(2)/2))/(LN(2)/2)*V147*Y147*VLOOKUP('Données projet'!$B$9,Paramètres!$A$1:$I$89,3,0)*0.475*44/12</f>
        <v>7.6627098025128587E-17</v>
      </c>
      <c r="AC147" s="22">
        <f t="shared" si="111"/>
        <v>1.4220506390571335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-3.4106051316484809E-13</v>
      </c>
      <c r="AJ147" s="13">
        <f>AI147*VLOOKUP('Données projet'!$B$10,Paramètres!$A$1:$I$89,3,0)*VLOOKUP('Données projet'!$B$10,Paramètres!$A$1:$I$89,5,0)</f>
        <v>-1.9065282685915009E-13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544.48194192356823</v>
      </c>
      <c r="AO147" s="59">
        <f t="shared" si="144"/>
        <v>668.20427590250733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0.76785224568510246</v>
      </c>
      <c r="AV147" s="21">
        <f>EXP(-LN(2)/25)*AV146+(1-EXP(-LN(2)/25))/(LN(2)/25)*Calculateur!AQ147*Calculateur!AS147*VLOOKUP('Données projet'!$B$10,Paramètres!$A$1:$I$89,3,0)*0.475*44/12</f>
        <v>1.8064977161554607</v>
      </c>
      <c r="AW147" s="21">
        <f>EXP(-LN(2)/2)*AW146+(1-EXP(-LN(2)/2))/(LN(2)/2)*AQ147*AT147*VLOOKUP('Données projet'!$B$10,Paramètres!$A$1:$I$89,3,0)*0.475*44/12</f>
        <v>1.0004467924052991E-16</v>
      </c>
      <c r="AX147" s="21">
        <f t="shared" si="114"/>
        <v>2.5743499618405634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405.7176439604217</v>
      </c>
      <c r="BJ147" s="59">
        <f t="shared" si="146"/>
        <v>278.21741231699929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0.76441157733884346</v>
      </c>
      <c r="BQ147" s="21">
        <f>EXP(-LN(2)/25)*BQ146+(1-EXP(-LN(2)/25))/(LN(2)/25)*Calculateur!BL147*Calculateur!BN147*VLOOKUP('Données projet'!$B$11,Paramètres!$A$1:$I$89,3,0)*0.475*44/12</f>
        <v>0.39700882044104052</v>
      </c>
      <c r="BR147" s="21">
        <f>EXP(-LN(2)/2)*BR146+(1-EXP(-LN(2)/2))/(LN(2)/2)*BL147*BO147*VLOOKUP('Données projet'!$B$11,Paramètres!$A$1:$I$89,3,0)*0.475*44/12</f>
        <v>5.922229782502415E-17</v>
      </c>
      <c r="BS147" s="22">
        <f t="shared" si="117"/>
        <v>1.161420397779884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-1.7053025658242404E-13</v>
      </c>
      <c r="CU147" s="17">
        <f>CT147*VLOOKUP('Données projet'!$B$13,Paramètres!$A$1:$I$89,3,0)*VLOOKUP('Données projet'!$B$13,Paramètres!$A$1:$I$89,5,0)</f>
        <v>-1.3567387213697657E-13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299.10536994156814</v>
      </c>
      <c r="CZ147" s="59">
        <f t="shared" si="150"/>
        <v>292.57799203101769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0.88080625433356297</v>
      </c>
      <c r="DG147" s="21">
        <f>EXP(-LN(2)/25)*DG146+(1-EXP(-LN(2)/25))/(LN(2)/25)*Calculateur!DB147*Calculateur!DD147*VLOOKUP('Données projet'!$B$13,Paramètres!$A$1:$I$89,3,0)*0.475*44/12</f>
        <v>0.45839458550525791</v>
      </c>
      <c r="DH147" s="21">
        <f>EXP(-LN(2)/2)*DH146+(1-EXP(-LN(2)/2))/(LN(2)/2)*DB147*DE147*VLOOKUP('Données projet'!$B$13,Paramètres!$A$1:$I$89,3,0)*0.475*44/12</f>
        <v>6.2260256469999813E-17</v>
      </c>
      <c r="DI147" s="22">
        <f t="shared" si="123"/>
        <v>1.3392008398388209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2.2737367544323206E-13</v>
      </c>
      <c r="DP147" s="17">
        <f>DO147*VLOOKUP('Données projet'!$B$14,Paramètres!$A$1:$I$89,3,0)*VLOOKUP('Données projet'!$B$14,Paramètres!$A$1:$I$89,5,0)</f>
        <v>1.4897523215040565E-13</v>
      </c>
      <c r="DQ147" s="13">
        <f t="shared" si="151"/>
        <v>2.136562777003313E-12</v>
      </c>
      <c r="DR147" s="20">
        <f t="shared" si="124"/>
        <v>3.9806453659427267E-12</v>
      </c>
      <c r="DS147" s="59">
        <f t="shared" si="125"/>
        <v>293.33333333333729</v>
      </c>
      <c r="DT147" s="59">
        <f ca="1">AVERAGE(OFFSET($DS$3,0,0,'Données projet'!$E$14+1,1))-AVERAGE(OFFSET($H$3,0,0,'Données projet'!$E$14+1,1))</f>
        <v>295.92103934364718</v>
      </c>
      <c r="DU147" s="59">
        <f t="shared" si="152"/>
        <v>304.84379909635476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0.46652130226058053</v>
      </c>
      <c r="EB147" s="21">
        <f>EXP(-LN(2)/25)*EB146+(1-EXP(-LN(2)/25))/(LN(2)/25)*Calculateur!DW147*Calculateur!DY147*VLOOKUP('Données projet'!$B$14,Paramètres!$A$1:$I$89,3,0)*0.475*44/12</f>
        <v>0.30320747612150961</v>
      </c>
      <c r="EC147" s="21">
        <f>EXP(-LN(2)/2)*EC146+(1-EXP(-LN(2)/2))/(LN(2)/2)*DW147*DZ147*VLOOKUP('Données projet'!$B$14,Paramètres!$A$1:$I$89,3,0)*0.475*44/12</f>
        <v>3.9931353372999015E-17</v>
      </c>
      <c r="ED147" s="22">
        <f t="shared" si="126"/>
        <v>0.76972877838209008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207.2913533618397</v>
      </c>
      <c r="EP147" s="59">
        <f t="shared" si="154"/>
        <v>230.81096055024483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0.72404125107163819</v>
      </c>
      <c r="EW147" s="21">
        <f>EXP(-LN(2)/25)*EW146+(1-EXP(-LN(2)/25))/(LN(2)/25)*Calculateur!ER147*Calculateur!ET147*VLOOKUP('Données projet'!$B$15,Paramètres!$A$1:$I$89,3,0)*0.475*44/12</f>
        <v>0.25568480108828617</v>
      </c>
      <c r="EX147" s="21">
        <f>EXP(-LN(2)/2)*EX146+(1-EXP(-LN(2)/2))/(LN(2)/2)*ER147*EU147*VLOOKUP('Données projet'!$B$15,Paramètres!$A$1:$I$89,3,0)*0.475*44/12</f>
        <v>2.0466320261922087E-17</v>
      </c>
      <c r="EY147" s="22">
        <f t="shared" si="129"/>
        <v>0.97972605215992437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319.22903094674564</v>
      </c>
      <c r="T148" s="59">
        <f t="shared" si="142"/>
        <v>254.58690973142848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0.93068759973421256</v>
      </c>
      <c r="AA148" s="21">
        <f>EXP(-LN(2)/25)*AA147+(1-EXP(-LN(2)/25))/(LN(2)/25)*Calculateur!V148*Calculateur!X148*VLOOKUP('Données projet'!$B$9,Paramètres!$A$1:$I$89,3,0)*0.475*44/12</f>
        <v>0.4598204762963774</v>
      </c>
      <c r="AB148" s="21">
        <f>EXP(-LN(2)/2)*AB147+(1-EXP(-LN(2)/2))/(LN(2)/2)*V148*Y148*VLOOKUP('Données projet'!$B$9,Paramètres!$A$1:$I$89,3,0)*0.475*44/12</f>
        <v>5.4183540636214733E-17</v>
      </c>
      <c r="AC148" s="22">
        <f t="shared" si="111"/>
        <v>1.3905080760305899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-3.4106051316484809E-13</v>
      </c>
      <c r="AJ148" s="13">
        <f>AI148*VLOOKUP('Données projet'!$B$10,Paramètres!$A$1:$I$89,3,0)*VLOOKUP('Données projet'!$B$10,Paramètres!$A$1:$I$89,5,0)</f>
        <v>-1.9065282685915009E-13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544.48194192356823</v>
      </c>
      <c r="AO148" s="59">
        <f t="shared" si="144"/>
        <v>668.20427590250733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0.75279513149084243</v>
      </c>
      <c r="AV148" s="21">
        <f>EXP(-LN(2)/25)*AV147+(1-EXP(-LN(2)/25))/(LN(2)/25)*Calculateur!AQ148*Calculateur!AS148*VLOOKUP('Données projet'!$B$10,Paramètres!$A$1:$I$89,3,0)*0.475*44/12</f>
        <v>1.7570989411076037</v>
      </c>
      <c r="AW148" s="21">
        <f>EXP(-LN(2)/2)*AW147+(1-EXP(-LN(2)/2))/(LN(2)/2)*AQ148*AT148*VLOOKUP('Données projet'!$B$10,Paramètres!$A$1:$I$89,3,0)*0.475*44/12</f>
        <v>7.0742271112611716E-17</v>
      </c>
      <c r="AX148" s="21">
        <f t="shared" si="114"/>
        <v>2.509894072598446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405.7176439604217</v>
      </c>
      <c r="BJ148" s="59">
        <f t="shared" si="146"/>
        <v>278.21741231699929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0.74942193255225309</v>
      </c>
      <c r="BQ148" s="21">
        <f>EXP(-LN(2)/25)*BQ147+(1-EXP(-LN(2)/25))/(LN(2)/25)*Calculateur!BL148*Calculateur!BN148*VLOOKUP('Données projet'!$B$11,Paramètres!$A$1:$I$89,3,0)*0.475*44/12</f>
        <v>0.38615259336829377</v>
      </c>
      <c r="BR148" s="21">
        <f>EXP(-LN(2)/2)*BR147+(1-EXP(-LN(2)/2))/(LN(2)/2)*BL148*BO148*VLOOKUP('Données projet'!$B$11,Paramètres!$A$1:$I$89,3,0)*0.475*44/12</f>
        <v>4.1876488389523901E-17</v>
      </c>
      <c r="BS148" s="22">
        <f t="shared" si="117"/>
        <v>1.1355745259205468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-1.7053025658242404E-13</v>
      </c>
      <c r="CU148" s="17">
        <f>CT148*VLOOKUP('Données projet'!$B$13,Paramètres!$A$1:$I$89,3,0)*VLOOKUP('Données projet'!$B$13,Paramètres!$A$1:$I$89,5,0)</f>
        <v>-1.3567387213697657E-13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299.10536994156814</v>
      </c>
      <c r="CZ148" s="59">
        <f t="shared" si="150"/>
        <v>292.57799203101769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0.86353418092484902</v>
      </c>
      <c r="DG148" s="21">
        <f>EXP(-LN(2)/25)*DG147+(1-EXP(-LN(2)/25))/(LN(2)/25)*Calculateur!DB148*Calculateur!DD148*VLOOKUP('Données projet'!$B$13,Paramètres!$A$1:$I$89,3,0)*0.475*44/12</f>
        <v>0.44585976145869305</v>
      </c>
      <c r="DH148" s="21">
        <f>EXP(-LN(2)/2)*DH147+(1-EXP(-LN(2)/2))/(LN(2)/2)*DB148*DE148*VLOOKUP('Données projet'!$B$13,Paramètres!$A$1:$I$89,3,0)*0.475*44/12</f>
        <v>4.4024649548350489E-17</v>
      </c>
      <c r="DI148" s="22">
        <f t="shared" si="123"/>
        <v>1.3093939423835421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2.2737367544323206E-13</v>
      </c>
      <c r="DP148" s="17">
        <f>DO148*VLOOKUP('Données projet'!$B$14,Paramètres!$A$1:$I$89,3,0)*VLOOKUP('Données projet'!$B$14,Paramètres!$A$1:$I$89,5,0)</f>
        <v>1.4897523215040565E-13</v>
      </c>
      <c r="DQ148" s="13">
        <f t="shared" si="151"/>
        <v>2.136562777003313E-12</v>
      </c>
      <c r="DR148" s="20">
        <f t="shared" si="124"/>
        <v>3.9806453659427267E-12</v>
      </c>
      <c r="DS148" s="59">
        <f t="shared" si="125"/>
        <v>293.33333333333729</v>
      </c>
      <c r="DT148" s="59">
        <f ca="1">AVERAGE(OFFSET($DS$3,0,0,'Données projet'!$E$14+1,1))-AVERAGE(OFFSET($H$3,0,0,'Données projet'!$E$14+1,1))</f>
        <v>295.92103934364718</v>
      </c>
      <c r="DU148" s="59">
        <f t="shared" si="152"/>
        <v>304.84379909635476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0.45737310407314796</v>
      </c>
      <c r="EB148" s="21">
        <f>EXP(-LN(2)/25)*EB147+(1-EXP(-LN(2)/25))/(LN(2)/25)*Calculateur!DW148*Calculateur!DY148*VLOOKUP('Données projet'!$B$14,Paramètres!$A$1:$I$89,3,0)*0.475*44/12</f>
        <v>0.29491625174197877</v>
      </c>
      <c r="EC148" s="21">
        <f>EXP(-LN(2)/2)*EC147+(1-EXP(-LN(2)/2))/(LN(2)/2)*DW148*DZ148*VLOOKUP('Données projet'!$B$14,Paramètres!$A$1:$I$89,3,0)*0.475*44/12</f>
        <v>2.8235730752003921E-17</v>
      </c>
      <c r="ED148" s="22">
        <f t="shared" si="126"/>
        <v>0.75228935581512668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207.2913533618397</v>
      </c>
      <c r="EP148" s="59">
        <f t="shared" si="154"/>
        <v>230.81096055024483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0.70984324375968</v>
      </c>
      <c r="EW148" s="21">
        <f>EXP(-LN(2)/25)*EW147+(1-EXP(-LN(2)/25))/(LN(2)/25)*Calculateur!ER148*Calculateur!ET148*VLOOKUP('Données projet'!$B$15,Paramètres!$A$1:$I$89,3,0)*0.475*44/12</f>
        <v>0.24869308675664767</v>
      </c>
      <c r="EX148" s="21">
        <f>EXP(-LN(2)/2)*EX147+(1-EXP(-LN(2)/2))/(LN(2)/2)*ER148*EU148*VLOOKUP('Données projet'!$B$15,Paramètres!$A$1:$I$89,3,0)*0.475*44/12</f>
        <v>1.4471873843140745E-17</v>
      </c>
      <c r="EY148" s="22">
        <f t="shared" si="129"/>
        <v>0.95853633051632769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319.22903094674564</v>
      </c>
      <c r="T149" s="59">
        <f t="shared" si="142"/>
        <v>254.58690973142848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0.91243738356680837</v>
      </c>
      <c r="AA149" s="21">
        <f>EXP(-LN(2)/25)*AA148+(1-EXP(-LN(2)/25))/(LN(2)/25)*Calculateur!V149*Calculateur!X149*VLOOKUP('Données projet'!$B$9,Paramètres!$A$1:$I$89,3,0)*0.475*44/12</f>
        <v>0.44724666119114503</v>
      </c>
      <c r="AB149" s="21">
        <f>EXP(-LN(2)/2)*AB148+(1-EXP(-LN(2)/2))/(LN(2)/2)*V149*Y149*VLOOKUP('Données projet'!$B$9,Paramètres!$A$1:$I$89,3,0)*0.475*44/12</f>
        <v>3.83135490125643E-17</v>
      </c>
      <c r="AC149" s="22">
        <f t="shared" si="111"/>
        <v>1.3596840447579535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-3.4106051316484809E-13</v>
      </c>
      <c r="AJ149" s="13">
        <f>AI149*VLOOKUP('Données projet'!$B$10,Paramètres!$A$1:$I$89,3,0)*VLOOKUP('Données projet'!$B$10,Paramètres!$A$1:$I$89,5,0)</f>
        <v>-1.9065282685915009E-13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544.48194192356823</v>
      </c>
      <c r="AO149" s="59">
        <f t="shared" si="144"/>
        <v>668.20427590250733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0.73803327812199893</v>
      </c>
      <c r="AV149" s="21">
        <f>EXP(-LN(2)/25)*AV148+(1-EXP(-LN(2)/25))/(LN(2)/25)*Calculateur!AQ149*Calculateur!AS149*VLOOKUP('Données projet'!$B$10,Paramètres!$A$1:$I$89,3,0)*0.475*44/12</f>
        <v>1.7090509781611989</v>
      </c>
      <c r="AW149" s="21">
        <f>EXP(-LN(2)/2)*AW148+(1-EXP(-LN(2)/2))/(LN(2)/2)*AQ149*AT149*VLOOKUP('Données projet'!$B$10,Paramètres!$A$1:$I$89,3,0)*0.475*44/12</f>
        <v>5.0022339620264955E-17</v>
      </c>
      <c r="AX149" s="21">
        <f t="shared" si="114"/>
        <v>2.4470842562831976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405.7176439604217</v>
      </c>
      <c r="BJ149" s="59">
        <f t="shared" si="146"/>
        <v>278.21741231699929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0.73472622555714717</v>
      </c>
      <c r="BQ149" s="21">
        <f>EXP(-LN(2)/25)*BQ148+(1-EXP(-LN(2)/25))/(LN(2)/25)*Calculateur!BL149*Calculateur!BN149*VLOOKUP('Données projet'!$B$11,Paramètres!$A$1:$I$89,3,0)*0.475*44/12</f>
        <v>0.37559323039575548</v>
      </c>
      <c r="BR149" s="21">
        <f>EXP(-LN(2)/2)*BR148+(1-EXP(-LN(2)/2))/(LN(2)/2)*BL149*BO149*VLOOKUP('Données projet'!$B$11,Paramètres!$A$1:$I$89,3,0)*0.475*44/12</f>
        <v>2.9611148912512075E-17</v>
      </c>
      <c r="BS149" s="22">
        <f t="shared" si="117"/>
        <v>1.1103194559529026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-1.7053025658242404E-13</v>
      </c>
      <c r="CU149" s="17">
        <f>CT149*VLOOKUP('Données projet'!$B$13,Paramètres!$A$1:$I$89,3,0)*VLOOKUP('Données projet'!$B$13,Paramètres!$A$1:$I$89,5,0)</f>
        <v>-1.3567387213697657E-13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299.10536994156814</v>
      </c>
      <c r="CZ149" s="59">
        <f t="shared" si="150"/>
        <v>292.57799203101769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0.84660080234075541</v>
      </c>
      <c r="DG149" s="21">
        <f>EXP(-LN(2)/25)*DG148+(1-EXP(-LN(2)/25))/(LN(2)/25)*Calculateur!DB149*Calculateur!DD149*VLOOKUP('Données projet'!$B$13,Paramètres!$A$1:$I$89,3,0)*0.475*44/12</f>
        <v>0.43366770283485928</v>
      </c>
      <c r="DH149" s="21">
        <f>EXP(-LN(2)/2)*DH148+(1-EXP(-LN(2)/2))/(LN(2)/2)*DB149*DE149*VLOOKUP('Données projet'!$B$13,Paramètres!$A$1:$I$89,3,0)*0.475*44/12</f>
        <v>3.1130128234999906E-17</v>
      </c>
      <c r="DI149" s="22">
        <f t="shared" si="123"/>
        <v>1.2802685051756146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2.2737367544323206E-13</v>
      </c>
      <c r="DP149" s="17">
        <f>DO149*VLOOKUP('Données projet'!$B$14,Paramètres!$A$1:$I$89,3,0)*VLOOKUP('Données projet'!$B$14,Paramètres!$A$1:$I$89,5,0)</f>
        <v>1.4897523215040565E-13</v>
      </c>
      <c r="DQ149" s="13">
        <f t="shared" si="151"/>
        <v>2.136562777003313E-12</v>
      </c>
      <c r="DR149" s="20">
        <f t="shared" si="124"/>
        <v>3.9806453659427267E-12</v>
      </c>
      <c r="DS149" s="59">
        <f t="shared" si="125"/>
        <v>293.33333333333729</v>
      </c>
      <c r="DT149" s="59">
        <f ca="1">AVERAGE(OFFSET($DS$3,0,0,'Données projet'!$E$14+1,1))-AVERAGE(OFFSET($H$3,0,0,'Données projet'!$E$14+1,1))</f>
        <v>295.92103934364718</v>
      </c>
      <c r="DU149" s="59">
        <f t="shared" si="152"/>
        <v>304.84379909635476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0.448404296472321</v>
      </c>
      <c r="EB149" s="21">
        <f>EXP(-LN(2)/25)*EB148+(1-EXP(-LN(2)/25))/(LN(2)/25)*Calculateur!DW149*Calculateur!DY149*VLOOKUP('Données projet'!$B$14,Paramètres!$A$1:$I$89,3,0)*0.475*44/12</f>
        <v>0.28685175132912272</v>
      </c>
      <c r="EC149" s="21">
        <f>EXP(-LN(2)/2)*EC148+(1-EXP(-LN(2)/2))/(LN(2)/2)*DW149*DZ149*VLOOKUP('Données projet'!$B$14,Paramètres!$A$1:$I$89,3,0)*0.475*44/12</f>
        <v>1.9965676686499508E-17</v>
      </c>
      <c r="ED149" s="22">
        <f t="shared" si="126"/>
        <v>0.73525604780144371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207.2913533618397</v>
      </c>
      <c r="EP149" s="59">
        <f t="shared" si="154"/>
        <v>230.81096055024483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0.69592365071118001</v>
      </c>
      <c r="EW149" s="21">
        <f>EXP(-LN(2)/25)*EW148+(1-EXP(-LN(2)/25))/(LN(2)/25)*Calculateur!ER149*Calculateur!ET149*VLOOKUP('Données projet'!$B$15,Paramètres!$A$1:$I$89,3,0)*0.475*44/12</f>
        <v>0.2418925612210861</v>
      </c>
      <c r="EX149" s="21">
        <f>EXP(-LN(2)/2)*EX148+(1-EXP(-LN(2)/2))/(LN(2)/2)*ER149*EU149*VLOOKUP('Données projet'!$B$15,Paramètres!$A$1:$I$89,3,0)*0.475*44/12</f>
        <v>1.0233160130961044E-17</v>
      </c>
      <c r="EY149" s="22">
        <f t="shared" si="129"/>
        <v>0.93781621193226616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319.22903094674564</v>
      </c>
      <c r="T150" s="59">
        <f t="shared" si="142"/>
        <v>254.58690973142848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0.89454504300691429</v>
      </c>
      <c r="AA150" s="21">
        <f>EXP(-LN(2)/25)*AA149+(1-EXP(-LN(2)/25))/(LN(2)/25)*Calculateur!V150*Calculateur!X150*VLOOKUP('Données projet'!$B$9,Paramètres!$A$1:$I$89,3,0)*0.475*44/12</f>
        <v>0.43501667772119346</v>
      </c>
      <c r="AB150" s="21">
        <f>EXP(-LN(2)/2)*AB149+(1-EXP(-LN(2)/2))/(LN(2)/2)*V150*Y150*VLOOKUP('Données projet'!$B$9,Paramètres!$A$1:$I$89,3,0)*0.475*44/12</f>
        <v>2.709177031810737E-17</v>
      </c>
      <c r="AC150" s="22">
        <f t="shared" si="111"/>
        <v>1.3295617207281079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-3.4106051316484809E-13</v>
      </c>
      <c r="AJ150" s="13">
        <f>AI150*VLOOKUP('Données projet'!$B$10,Paramètres!$A$1:$I$89,3,0)*VLOOKUP('Données projet'!$B$10,Paramètres!$A$1:$I$89,5,0)</f>
        <v>-1.9065282685915009E-13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544.48194192356823</v>
      </c>
      <c r="AO150" s="59">
        <f t="shared" si="144"/>
        <v>668.20427590250733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0.72356089569387694</v>
      </c>
      <c r="AV150" s="21">
        <f>EXP(-LN(2)/25)*AV149+(1-EXP(-LN(2)/25))/(LN(2)/25)*Calculateur!AQ150*Calculateur!AS150*VLOOKUP('Données projet'!$B$10,Paramètres!$A$1:$I$89,3,0)*0.475*44/12</f>
        <v>1.662316889288296</v>
      </c>
      <c r="AW150" s="21">
        <f>EXP(-LN(2)/2)*AW149+(1-EXP(-LN(2)/2))/(LN(2)/2)*AQ150*AT150*VLOOKUP('Données projet'!$B$10,Paramètres!$A$1:$I$89,3,0)*0.475*44/12</f>
        <v>3.5371135556305858E-17</v>
      </c>
      <c r="AX150" s="21">
        <f t="shared" si="114"/>
        <v>2.3858777849821728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405.7176439604217</v>
      </c>
      <c r="BJ150" s="59">
        <f t="shared" si="146"/>
        <v>278.21741231699929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0.72031869241271906</v>
      </c>
      <c r="BQ150" s="21">
        <f>EXP(-LN(2)/25)*BQ149+(1-EXP(-LN(2)/25))/(LN(2)/25)*Calculateur!BL150*Calculateur!BN150*VLOOKUP('Données projet'!$B$11,Paramètres!$A$1:$I$89,3,0)*0.475*44/12</f>
        <v>0.365322613758994</v>
      </c>
      <c r="BR150" s="21">
        <f>EXP(-LN(2)/2)*BR149+(1-EXP(-LN(2)/2))/(LN(2)/2)*BL150*BO150*VLOOKUP('Données projet'!$B$11,Paramètres!$A$1:$I$89,3,0)*0.475*44/12</f>
        <v>2.0938244194761951E-17</v>
      </c>
      <c r="BS150" s="22">
        <f t="shared" si="117"/>
        <v>1.0856413061717132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-1.7053025658242404E-13</v>
      </c>
      <c r="CU150" s="17">
        <f>CT150*VLOOKUP('Données projet'!$B$13,Paramètres!$A$1:$I$89,3,0)*VLOOKUP('Données projet'!$B$13,Paramètres!$A$1:$I$89,5,0)</f>
        <v>-1.3567387213697657E-13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299.10536994156814</v>
      </c>
      <c r="CZ150" s="59">
        <f t="shared" si="150"/>
        <v>292.57799203101769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0.82999947698235477</v>
      </c>
      <c r="DG150" s="21">
        <f>EXP(-LN(2)/25)*DG149+(1-EXP(-LN(2)/25))/(LN(2)/25)*Calculateur!DB150*Calculateur!DD150*VLOOKUP('Données projet'!$B$13,Paramètres!$A$1:$I$89,3,0)*0.475*44/12</f>
        <v>0.42180903669524672</v>
      </c>
      <c r="DH150" s="21">
        <f>EXP(-LN(2)/2)*DH149+(1-EXP(-LN(2)/2))/(LN(2)/2)*DB150*DE150*VLOOKUP('Données projet'!$B$13,Paramètres!$A$1:$I$89,3,0)*0.475*44/12</f>
        <v>2.2012324774175244E-17</v>
      </c>
      <c r="DI150" s="22">
        <f t="shared" si="123"/>
        <v>1.2518085136776014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2.2737367544323206E-13</v>
      </c>
      <c r="DP150" s="17">
        <f>DO150*VLOOKUP('Données projet'!$B$14,Paramètres!$A$1:$I$89,3,0)*VLOOKUP('Données projet'!$B$14,Paramètres!$A$1:$I$89,5,0)</f>
        <v>1.4897523215040565E-13</v>
      </c>
      <c r="DQ150" s="13">
        <f t="shared" si="151"/>
        <v>2.136562777003313E-12</v>
      </c>
      <c r="DR150" s="20">
        <f t="shared" si="124"/>
        <v>3.9806453659427267E-12</v>
      </c>
      <c r="DS150" s="59">
        <f t="shared" si="125"/>
        <v>293.33333333333729</v>
      </c>
      <c r="DT150" s="59">
        <f ca="1">AVERAGE(OFFSET($DS$3,0,0,'Données projet'!$E$14+1,1))-AVERAGE(OFFSET($H$3,0,0,'Données projet'!$E$14+1,1))</f>
        <v>295.92103934364718</v>
      </c>
      <c r="DU150" s="59">
        <f t="shared" si="152"/>
        <v>304.84379909635476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0.43961136171811377</v>
      </c>
      <c r="EB150" s="21">
        <f>EXP(-LN(2)/25)*EB149+(1-EXP(-LN(2)/25))/(LN(2)/25)*Calculateur!DW150*Calculateur!DY150*VLOOKUP('Données projet'!$B$14,Paramètres!$A$1:$I$89,3,0)*0.475*44/12</f>
        <v>0.27900777510414987</v>
      </c>
      <c r="EC150" s="21">
        <f>EXP(-LN(2)/2)*EC149+(1-EXP(-LN(2)/2))/(LN(2)/2)*DW150*DZ150*VLOOKUP('Données projet'!$B$14,Paramètres!$A$1:$I$89,3,0)*0.475*44/12</f>
        <v>1.411786537600196E-17</v>
      </c>
      <c r="ED150" s="22">
        <f t="shared" si="126"/>
        <v>0.71861913682226364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207.2913533618397</v>
      </c>
      <c r="EP150" s="59">
        <f t="shared" si="154"/>
        <v>230.81096055024483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0.68227701239224758</v>
      </c>
      <c r="EW150" s="21">
        <f>EXP(-LN(2)/25)*EW149+(1-EXP(-LN(2)/25))/(LN(2)/25)*Calculateur!ER150*Calculateur!ET150*VLOOKUP('Données projet'!$B$15,Paramètres!$A$1:$I$89,3,0)*0.475*44/12</f>
        <v>0.23527799641391856</v>
      </c>
      <c r="EX150" s="21">
        <f>EXP(-LN(2)/2)*EX149+(1-EXP(-LN(2)/2))/(LN(2)/2)*ER150*EU150*VLOOKUP('Données projet'!$B$15,Paramètres!$A$1:$I$89,3,0)*0.475*44/12</f>
        <v>7.2359369215703724E-18</v>
      </c>
      <c r="EY150" s="22">
        <f t="shared" si="129"/>
        <v>0.91755500880616614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319.22903094674564</v>
      </c>
      <c r="T151" s="59">
        <f t="shared" si="142"/>
        <v>254.58690973142848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0.87700356033214955</v>
      </c>
      <c r="AA151" s="21">
        <f>EXP(-LN(2)/25)*AA150+(1-EXP(-LN(2)/25))/(LN(2)/25)*Calculateur!V151*Calculateur!X151*VLOOKUP('Données projet'!$B$9,Paramètres!$A$1:$I$89,3,0)*0.475*44/12</f>
        <v>0.4231211237923746</v>
      </c>
      <c r="AB151" s="21">
        <f>EXP(-LN(2)/2)*AB150+(1-EXP(-LN(2)/2))/(LN(2)/2)*V151*Y151*VLOOKUP('Données projet'!$B$9,Paramètres!$A$1:$I$89,3,0)*0.475*44/12</f>
        <v>1.9156774506282153E-17</v>
      </c>
      <c r="AC151" s="22">
        <f t="shared" si="111"/>
        <v>1.3001246841245242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-3.4106051316484809E-13</v>
      </c>
      <c r="AJ151" s="13">
        <f>AI151*VLOOKUP('Données projet'!$B$10,Paramètres!$A$1:$I$89,3,0)*VLOOKUP('Données projet'!$B$10,Paramètres!$A$1:$I$89,5,0)</f>
        <v>-1.9065282685915009E-13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544.48194192356823</v>
      </c>
      <c r="AO151" s="59">
        <f t="shared" si="144"/>
        <v>668.20427590250733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0.70937230785788885</v>
      </c>
      <c r="AV151" s="21">
        <f>EXP(-LN(2)/25)*AV150+(1-EXP(-LN(2)/25))/(LN(2)/25)*Calculateur!AQ151*Calculateur!AS151*VLOOKUP('Données projet'!$B$10,Paramètres!$A$1:$I$89,3,0)*0.475*44/12</f>
        <v>1.6168607465332616</v>
      </c>
      <c r="AW151" s="21">
        <f>EXP(-LN(2)/2)*AW150+(1-EXP(-LN(2)/2))/(LN(2)/2)*AQ151*AT151*VLOOKUP('Données projet'!$B$10,Paramètres!$A$1:$I$89,3,0)*0.475*44/12</f>
        <v>2.5011169810132477E-17</v>
      </c>
      <c r="AX151" s="21">
        <f t="shared" si="114"/>
        <v>2.3262330543911505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405.7176439604217</v>
      </c>
      <c r="BJ151" s="59">
        <f t="shared" si="146"/>
        <v>278.21741231699929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0.7061936822055257</v>
      </c>
      <c r="BQ151" s="21">
        <f>EXP(-LN(2)/25)*BQ150+(1-EXP(-LN(2)/25))/(LN(2)/25)*Calculateur!BL151*Calculateur!BN151*VLOOKUP('Données projet'!$B$11,Paramètres!$A$1:$I$89,3,0)*0.475*44/12</f>
        <v>0.35533284767427298</v>
      </c>
      <c r="BR151" s="21">
        <f>EXP(-LN(2)/2)*BR150+(1-EXP(-LN(2)/2))/(LN(2)/2)*BL151*BO151*VLOOKUP('Données projet'!$B$11,Paramètres!$A$1:$I$89,3,0)*0.475*44/12</f>
        <v>1.4805574456256037E-17</v>
      </c>
      <c r="BS151" s="22">
        <f t="shared" si="117"/>
        <v>1.0615265298797987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-1.7053025658242404E-13</v>
      </c>
      <c r="CU151" s="17">
        <f>CT151*VLOOKUP('Données projet'!$B$13,Paramètres!$A$1:$I$89,3,0)*VLOOKUP('Données projet'!$B$13,Paramètres!$A$1:$I$89,5,0)</f>
        <v>-1.3567387213697657E-13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299.10536994156814</v>
      </c>
      <c r="CZ151" s="59">
        <f t="shared" si="150"/>
        <v>292.57799203101769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0.81372369348842377</v>
      </c>
      <c r="DG151" s="21">
        <f>EXP(-LN(2)/25)*DG150+(1-EXP(-LN(2)/25))/(LN(2)/25)*Calculateur!DB151*Calculateur!DD151*VLOOKUP('Données projet'!$B$13,Paramètres!$A$1:$I$89,3,0)*0.475*44/12</f>
        <v>0.41027464640484201</v>
      </c>
      <c r="DH151" s="21">
        <f>EXP(-LN(2)/2)*DH150+(1-EXP(-LN(2)/2))/(LN(2)/2)*DB151*DE151*VLOOKUP('Données projet'!$B$13,Paramètres!$A$1:$I$89,3,0)*0.475*44/12</f>
        <v>1.5565064117499953E-17</v>
      </c>
      <c r="DI151" s="22">
        <f t="shared" si="123"/>
        <v>1.2239983398932659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2.2737367544323206E-13</v>
      </c>
      <c r="DP151" s="17">
        <f>DO151*VLOOKUP('Données projet'!$B$14,Paramètres!$A$1:$I$89,3,0)*VLOOKUP('Données projet'!$B$14,Paramètres!$A$1:$I$89,5,0)</f>
        <v>1.4897523215040565E-13</v>
      </c>
      <c r="DQ151" s="13">
        <f t="shared" si="151"/>
        <v>2.136562777003313E-12</v>
      </c>
      <c r="DR151" s="20">
        <f t="shared" si="124"/>
        <v>3.9806453659427267E-12</v>
      </c>
      <c r="DS151" s="59">
        <f t="shared" si="125"/>
        <v>293.33333333333729</v>
      </c>
      <c r="DT151" s="59">
        <f ca="1">AVERAGE(OFFSET($DS$3,0,0,'Données projet'!$E$14+1,1))-AVERAGE(OFFSET($H$3,0,0,'Données projet'!$E$14+1,1))</f>
        <v>295.92103934364718</v>
      </c>
      <c r="DU151" s="59">
        <f t="shared" si="152"/>
        <v>304.84379909635476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0.43099085105127594</v>
      </c>
      <c r="EB151" s="21">
        <f>EXP(-LN(2)/25)*EB150+(1-EXP(-LN(2)/25))/(LN(2)/25)*Calculateur!DW151*Calculateur!DY151*VLOOKUP('Données projet'!$B$14,Paramètres!$A$1:$I$89,3,0)*0.475*44/12</f>
        <v>0.27137829282154569</v>
      </c>
      <c r="EC151" s="21">
        <f>EXP(-LN(2)/2)*EC150+(1-EXP(-LN(2)/2))/(LN(2)/2)*DW151*DZ151*VLOOKUP('Données projet'!$B$14,Paramètres!$A$1:$I$89,3,0)*0.475*44/12</f>
        <v>9.9828383432497538E-18</v>
      </c>
      <c r="ED151" s="22">
        <f t="shared" si="126"/>
        <v>0.70236914387282168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207.2913533618397</v>
      </c>
      <c r="EP151" s="59">
        <f t="shared" si="154"/>
        <v>230.81096055024483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0.668897976327122</v>
      </c>
      <c r="EW151" s="21">
        <f>EXP(-LN(2)/25)*EW150+(1-EXP(-LN(2)/25))/(LN(2)/25)*Calculateur!ER151*Calculateur!ET151*VLOOKUP('Données projet'!$B$15,Paramètres!$A$1:$I$89,3,0)*0.475*44/12</f>
        <v>0.22884430722924787</v>
      </c>
      <c r="EX151" s="21">
        <f>EXP(-LN(2)/2)*EX150+(1-EXP(-LN(2)/2))/(LN(2)/2)*ER151*EU151*VLOOKUP('Données projet'!$B$15,Paramètres!$A$1:$I$89,3,0)*0.475*44/12</f>
        <v>5.1165800654805218E-18</v>
      </c>
      <c r="EY151" s="22">
        <f t="shared" si="129"/>
        <v>0.89774228355636987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319.22903094674564</v>
      </c>
      <c r="T152" s="59">
        <f t="shared" si="142"/>
        <v>254.58690973142848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0.85980605543338895</v>
      </c>
      <c r="AA152" s="21">
        <f>EXP(-LN(2)/25)*AA151+(1-EXP(-LN(2)/25))/(LN(2)/25)*Calculateur!V152*Calculateur!X152*VLOOKUP('Données projet'!$B$9,Paramètres!$A$1:$I$89,3,0)*0.475*44/12</f>
        <v>0.41155085441129929</v>
      </c>
      <c r="AB152" s="21">
        <f>EXP(-LN(2)/2)*AB151+(1-EXP(-LN(2)/2))/(LN(2)/2)*V152*Y152*VLOOKUP('Données projet'!$B$9,Paramètres!$A$1:$I$89,3,0)*0.475*44/12</f>
        <v>1.3545885159053686E-17</v>
      </c>
      <c r="AC152" s="22">
        <f t="shared" si="111"/>
        <v>1.2713569098446882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-3.4106051316484809E-13</v>
      </c>
      <c r="AJ152" s="13">
        <f>AI152*VLOOKUP('Données projet'!$B$10,Paramètres!$A$1:$I$89,3,0)*VLOOKUP('Données projet'!$B$10,Paramètres!$A$1:$I$89,5,0)</f>
        <v>-1.9065282685915009E-13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544.48194192356823</v>
      </c>
      <c r="AO152" s="59">
        <f t="shared" si="144"/>
        <v>668.20427590250733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0.69546194957518037</v>
      </c>
      <c r="AV152" s="21">
        <f>EXP(-LN(2)/25)*AV151+(1-EXP(-LN(2)/25))/(LN(2)/25)*Calculateur!AQ152*Calculateur!AS152*VLOOKUP('Données projet'!$B$10,Paramètres!$A$1:$I$89,3,0)*0.475*44/12</f>
        <v>1.5726476043922983</v>
      </c>
      <c r="AW152" s="21">
        <f>EXP(-LN(2)/2)*AW151+(1-EXP(-LN(2)/2))/(LN(2)/2)*AQ152*AT152*VLOOKUP('Données projet'!$B$10,Paramètres!$A$1:$I$89,3,0)*0.475*44/12</f>
        <v>1.7685567778152929E-17</v>
      </c>
      <c r="AX152" s="21">
        <f t="shared" si="114"/>
        <v>2.2681095539674789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405.7176439604217</v>
      </c>
      <c r="BJ152" s="59">
        <f t="shared" si="146"/>
        <v>278.21741231699929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0.69234565483308985</v>
      </c>
      <c r="BQ152" s="21">
        <f>EXP(-LN(2)/25)*BQ151+(1-EXP(-LN(2)/25))/(LN(2)/25)*Calculateur!BL152*Calculateur!BN152*VLOOKUP('Données projet'!$B$11,Paramètres!$A$1:$I$89,3,0)*0.475*44/12</f>
        <v>0.34561625226847764</v>
      </c>
      <c r="BR152" s="21">
        <f>EXP(-LN(2)/2)*BR151+(1-EXP(-LN(2)/2))/(LN(2)/2)*BL152*BO152*VLOOKUP('Données projet'!$B$11,Paramètres!$A$1:$I$89,3,0)*0.475*44/12</f>
        <v>1.0469122097380975E-17</v>
      </c>
      <c r="BS152" s="22">
        <f t="shared" si="117"/>
        <v>1.0379619071015675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-1.7053025658242404E-13</v>
      </c>
      <c r="CU152" s="17">
        <f>CT152*VLOOKUP('Données projet'!$B$13,Paramètres!$A$1:$I$89,3,0)*VLOOKUP('Données projet'!$B$13,Paramètres!$A$1:$I$89,5,0)</f>
        <v>-1.3567387213697657E-13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299.10536994156814</v>
      </c>
      <c r="CZ152" s="59">
        <f t="shared" si="150"/>
        <v>292.57799203101769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0.79776706818156107</v>
      </c>
      <c r="DG152" s="21">
        <f>EXP(-LN(2)/25)*DG151+(1-EXP(-LN(2)/25))/(LN(2)/25)*Calculateur!DB152*Calculateur!DD152*VLOOKUP('Données projet'!$B$13,Paramètres!$A$1:$I$89,3,0)*0.475*44/12</f>
        <v>0.39905566462349568</v>
      </c>
      <c r="DH152" s="21">
        <f>EXP(-LN(2)/2)*DH151+(1-EXP(-LN(2)/2))/(LN(2)/2)*DB152*DE152*VLOOKUP('Données projet'!$B$13,Paramètres!$A$1:$I$89,3,0)*0.475*44/12</f>
        <v>1.1006162387087622E-17</v>
      </c>
      <c r="DI152" s="22">
        <f t="shared" si="123"/>
        <v>1.1968227328050567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2.2737367544323206E-13</v>
      </c>
      <c r="DP152" s="17">
        <f>DO152*VLOOKUP('Données projet'!$B$14,Paramètres!$A$1:$I$89,3,0)*VLOOKUP('Données projet'!$B$14,Paramètres!$A$1:$I$89,5,0)</f>
        <v>1.4897523215040565E-13</v>
      </c>
      <c r="DQ152" s="13">
        <f t="shared" si="151"/>
        <v>2.136562777003313E-12</v>
      </c>
      <c r="DR152" s="20">
        <f t="shared" si="124"/>
        <v>3.9806453659427267E-12</v>
      </c>
      <c r="DS152" s="59">
        <f t="shared" si="125"/>
        <v>293.33333333333729</v>
      </c>
      <c r="DT152" s="59">
        <f ca="1">AVERAGE(OFFSET($DS$3,0,0,'Données projet'!$E$14+1,1))-AVERAGE(OFFSET($H$3,0,0,'Données projet'!$E$14+1,1))</f>
        <v>295.92103934364718</v>
      </c>
      <c r="DU152" s="59">
        <f t="shared" si="152"/>
        <v>304.84379909635476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0.42253938334062247</v>
      </c>
      <c r="EB152" s="21">
        <f>EXP(-LN(2)/25)*EB151+(1-EXP(-LN(2)/25))/(LN(2)/25)*Calculateur!DW152*Calculateur!DY152*VLOOKUP('Données projet'!$B$14,Paramètres!$A$1:$I$89,3,0)*0.475*44/12</f>
        <v>0.26395743913317632</v>
      </c>
      <c r="EC152" s="21">
        <f>EXP(-LN(2)/2)*EC151+(1-EXP(-LN(2)/2))/(LN(2)/2)*DW152*DZ152*VLOOKUP('Données projet'!$B$14,Paramètres!$A$1:$I$89,3,0)*0.475*44/12</f>
        <v>7.0589326880009802E-18</v>
      </c>
      <c r="ED152" s="22">
        <f t="shared" si="126"/>
        <v>0.68649682247379884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207.2913533618397</v>
      </c>
      <c r="EP152" s="59">
        <f t="shared" si="154"/>
        <v>230.81096055024483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0.65578129499882731</v>
      </c>
      <c r="EW152" s="21">
        <f>EXP(-LN(2)/25)*EW151+(1-EXP(-LN(2)/25))/(LN(2)/25)*Calculateur!ER152*Calculateur!ET152*VLOOKUP('Données projet'!$B$15,Paramètres!$A$1:$I$89,3,0)*0.475*44/12</f>
        <v>0.222586547613665</v>
      </c>
      <c r="EX152" s="21">
        <f>EXP(-LN(2)/2)*EX151+(1-EXP(-LN(2)/2))/(LN(2)/2)*ER152*EU152*VLOOKUP('Données projet'!$B$15,Paramètres!$A$1:$I$89,3,0)*0.475*44/12</f>
        <v>3.6179684607851862E-18</v>
      </c>
      <c r="EY152" s="22">
        <f t="shared" si="129"/>
        <v>0.87836784261249234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319.22903094674564</v>
      </c>
      <c r="T153" s="59">
        <f t="shared" si="142"/>
        <v>254.58690973142848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0.8429457831162509</v>
      </c>
      <c r="AA153" s="21">
        <f>EXP(-LN(2)/25)*AA152+(1-EXP(-LN(2)/25))/(LN(2)/25)*Calculateur!V153*Calculateur!X153*VLOOKUP('Données projet'!$B$9,Paramètres!$A$1:$I$89,3,0)*0.475*44/12</f>
        <v>0.40029697465490349</v>
      </c>
      <c r="AB153" s="21">
        <f>EXP(-LN(2)/2)*AB152+(1-EXP(-LN(2)/2))/(LN(2)/2)*V153*Y153*VLOOKUP('Données projet'!$B$9,Paramètres!$A$1:$I$89,3,0)*0.475*44/12</f>
        <v>9.578387253141078E-18</v>
      </c>
      <c r="AC153" s="22">
        <f t="shared" si="111"/>
        <v>1.2432427577711544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-3.4106051316484809E-13</v>
      </c>
      <c r="AJ153" s="13">
        <f>AI153*VLOOKUP('Données projet'!$B$10,Paramètres!$A$1:$I$89,3,0)*VLOOKUP('Données projet'!$B$10,Paramètres!$A$1:$I$89,5,0)</f>
        <v>-1.9065282685915009E-13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544.48194192356823</v>
      </c>
      <c r="AO153" s="59">
        <f t="shared" si="144"/>
        <v>668.20427590250733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0.68182436493391507</v>
      </c>
      <c r="AV153" s="21">
        <f>EXP(-LN(2)/25)*AV152+(1-EXP(-LN(2)/25))/(LN(2)/25)*Calculateur!AQ153*Calculateur!AS153*VLOOKUP('Données projet'!$B$10,Paramètres!$A$1:$I$89,3,0)*0.475*44/12</f>
        <v>1.5296434729482478</v>
      </c>
      <c r="AW153" s="21">
        <f>EXP(-LN(2)/2)*AW152+(1-EXP(-LN(2)/2))/(LN(2)/2)*AQ153*AT153*VLOOKUP('Données projet'!$B$10,Paramètres!$A$1:$I$89,3,0)*0.475*44/12</f>
        <v>1.2505584905066239E-17</v>
      </c>
      <c r="AX153" s="21">
        <f t="shared" si="114"/>
        <v>2.2114678378821626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405.7176439604217</v>
      </c>
      <c r="BJ153" s="59">
        <f t="shared" si="146"/>
        <v>278.21741231699929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0.67876917883096477</v>
      </c>
      <c r="BQ153" s="21">
        <f>EXP(-LN(2)/25)*BQ152+(1-EXP(-LN(2)/25))/(LN(2)/25)*Calculateur!BL153*Calculateur!BN153*VLOOKUP('Données projet'!$B$11,Paramètres!$A$1:$I$89,3,0)*0.475*44/12</f>
        <v>0.33616535767502731</v>
      </c>
      <c r="BR153" s="21">
        <f>EXP(-LN(2)/2)*BR152+(1-EXP(-LN(2)/2))/(LN(2)/2)*BL153*BO153*VLOOKUP('Données projet'!$B$11,Paramètres!$A$1:$I$89,3,0)*0.475*44/12</f>
        <v>7.4027872281280187E-18</v>
      </c>
      <c r="BS153" s="22">
        <f t="shared" si="117"/>
        <v>1.0149345365059921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-1.7053025658242404E-13</v>
      </c>
      <c r="CU153" s="17">
        <f>CT153*VLOOKUP('Données projet'!$B$13,Paramètres!$A$1:$I$89,3,0)*VLOOKUP('Données projet'!$B$13,Paramètres!$A$1:$I$89,5,0)</f>
        <v>-1.3567387213697657E-13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299.10536994156814</v>
      </c>
      <c r="CZ153" s="59">
        <f t="shared" si="150"/>
        <v>292.57799203101769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0.78212334256438554</v>
      </c>
      <c r="DG153" s="21">
        <f>EXP(-LN(2)/25)*DG152+(1-EXP(-LN(2)/25))/(LN(2)/25)*Calculateur!DB153*Calculateur!DD153*VLOOKUP('Données projet'!$B$13,Paramètres!$A$1:$I$89,3,0)*0.475*44/12</f>
        <v>0.38814346648894082</v>
      </c>
      <c r="DH153" s="21">
        <f>EXP(-LN(2)/2)*DH152+(1-EXP(-LN(2)/2))/(LN(2)/2)*DB153*DE153*VLOOKUP('Données projet'!$B$13,Paramètres!$A$1:$I$89,3,0)*0.475*44/12</f>
        <v>7.7825320587499766E-18</v>
      </c>
      <c r="DI153" s="22">
        <f t="shared" si="123"/>
        <v>1.1702668090533264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2.2737367544323206E-13</v>
      </c>
      <c r="DP153" s="17">
        <f>DO153*VLOOKUP('Données projet'!$B$14,Paramètres!$A$1:$I$89,3,0)*VLOOKUP('Données projet'!$B$14,Paramètres!$A$1:$I$89,5,0)</f>
        <v>1.4897523215040565E-13</v>
      </c>
      <c r="DQ153" s="13">
        <f t="shared" si="151"/>
        <v>2.136562777003313E-12</v>
      </c>
      <c r="DR153" s="20">
        <f t="shared" si="124"/>
        <v>3.9806453659427267E-12</v>
      </c>
      <c r="DS153" s="59">
        <f t="shared" si="125"/>
        <v>293.33333333333729</v>
      </c>
      <c r="DT153" s="59">
        <f ca="1">AVERAGE(OFFSET($DS$3,0,0,'Données projet'!$E$14+1,1))-AVERAGE(OFFSET($H$3,0,0,'Données projet'!$E$14+1,1))</f>
        <v>295.92103934364718</v>
      </c>
      <c r="DU153" s="59">
        <f t="shared" si="152"/>
        <v>304.84379909635476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0.41425364375688861</v>
      </c>
      <c r="EB153" s="21">
        <f>EXP(-LN(2)/25)*EB152+(1-EXP(-LN(2)/25))/(LN(2)/25)*Calculateur!DW153*Calculateur!DY153*VLOOKUP('Données projet'!$B$14,Paramètres!$A$1:$I$89,3,0)*0.475*44/12</f>
        <v>0.25673950907916115</v>
      </c>
      <c r="EC153" s="21">
        <f>EXP(-LN(2)/2)*EC152+(1-EXP(-LN(2)/2))/(LN(2)/2)*DW153*DZ153*VLOOKUP('Données projet'!$B$14,Paramètres!$A$1:$I$89,3,0)*0.475*44/12</f>
        <v>4.9914191716248769E-18</v>
      </c>
      <c r="ED153" s="22">
        <f t="shared" si="126"/>
        <v>0.67099315283604977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207.2913533618397</v>
      </c>
      <c r="EP153" s="59">
        <f t="shared" si="154"/>
        <v>230.81096055024483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0.64292182379099483</v>
      </c>
      <c r="EW153" s="21">
        <f>EXP(-LN(2)/25)*EW152+(1-EXP(-LN(2)/25))/(LN(2)/25)*Calculateur!ER153*Calculateur!ET153*VLOOKUP('Données projet'!$B$15,Paramètres!$A$1:$I$89,3,0)*0.475*44/12</f>
        <v>0.21649990676385153</v>
      </c>
      <c r="EX153" s="21">
        <f>EXP(-LN(2)/2)*EX152+(1-EXP(-LN(2)/2))/(LN(2)/2)*ER153*EU153*VLOOKUP('Données projet'!$B$15,Paramètres!$A$1:$I$89,3,0)*0.475*44/12</f>
        <v>2.5582900327402609E-18</v>
      </c>
      <c r="EY153" s="22">
        <f t="shared" si="129"/>
        <v>0.85942173055484639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319.22903094674564</v>
      </c>
      <c r="T154" s="59">
        <f t="shared" si="142"/>
        <v>254.58690973142848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0.82641613045550122</v>
      </c>
      <c r="AA154" s="21">
        <f>EXP(-LN(2)/25)*AA153+(1-EXP(-LN(2)/25))/(LN(2)/25)*Calculateur!V154*Calculateur!X154*VLOOKUP('Données projet'!$B$9,Paramètres!$A$1:$I$89,3,0)*0.475*44/12</f>
        <v>0.38935083283226213</v>
      </c>
      <c r="AB154" s="21">
        <f>EXP(-LN(2)/2)*AB153+(1-EXP(-LN(2)/2))/(LN(2)/2)*V154*Y154*VLOOKUP('Données projet'!$B$9,Paramètres!$A$1:$I$89,3,0)*0.475*44/12</f>
        <v>6.7729425795268448E-18</v>
      </c>
      <c r="AC154" s="22">
        <f t="shared" ref="AC154:AC203" si="163">SUM(Z154:AB154)</f>
        <v>1.2157669632877632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-1.9065282685915009E-13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544.48194192356823</v>
      </c>
      <c r="AO154" s="59">
        <f t="shared" si="144"/>
        <v>668.20427590250733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0.6684542050093597</v>
      </c>
      <c r="AV154" s="21">
        <f>EXP(-LN(2)/25)*AV153+(1-EXP(-LN(2)/25))/(LN(2)/25)*Calculateur!AQ154*Calculateur!AS154*VLOOKUP('Données projet'!$B$10,Paramètres!$A$1:$I$89,3,0)*0.475*44/12</f>
        <v>1.4878152917400238</v>
      </c>
      <c r="AW154" s="21">
        <f>EXP(-LN(2)/2)*AW153+(1-EXP(-LN(2)/2))/(LN(2)/2)*AQ154*AT154*VLOOKUP('Données projet'!$B$10,Paramètres!$A$1:$I$89,3,0)*0.475*44/12</f>
        <v>8.8427838890764644E-18</v>
      </c>
      <c r="AX154" s="21">
        <f t="shared" ref="AX154:AX203" si="166">SUM(AU154:AW154)</f>
        <v>2.1562694967493834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405.7176439604217</v>
      </c>
      <c r="BJ154" s="59">
        <f t="shared" si="146"/>
        <v>278.21741231699929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0.66545892924240868</v>
      </c>
      <c r="BQ154" s="21">
        <f>EXP(-LN(2)/25)*BQ153+(1-EXP(-LN(2)/25))/(LN(2)/25)*Calculateur!BL154*Calculateur!BN154*VLOOKUP('Données projet'!$B$11,Paramètres!$A$1:$I$89,3,0)*0.475*44/12</f>
        <v>0.32697289829123583</v>
      </c>
      <c r="BR154" s="21">
        <f>EXP(-LN(2)/2)*BR153+(1-EXP(-LN(2)/2))/(LN(2)/2)*BL154*BO154*VLOOKUP('Données projet'!$B$11,Paramètres!$A$1:$I$89,3,0)*0.475*44/12</f>
        <v>5.2345610486904877E-18</v>
      </c>
      <c r="BS154" s="22">
        <f t="shared" ref="BS154:BS203" si="169">SUM(BP154:BR154)</f>
        <v>0.99243182753364456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-1.7053025658242404E-13</v>
      </c>
      <c r="CU154" s="17">
        <f>CT154*VLOOKUP('Données projet'!$B$13,Paramètres!$A$1:$I$89,3,0)*VLOOKUP('Données projet'!$B$13,Paramètres!$A$1:$I$89,5,0)</f>
        <v>-1.3567387213697657E-13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299.10536994156814</v>
      </c>
      <c r="CZ154" s="59">
        <f t="shared" si="150"/>
        <v>292.57799203101769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0.76678638086483231</v>
      </c>
      <c r="DG154" s="21">
        <f>EXP(-LN(2)/25)*DG153+(1-EXP(-LN(2)/25))/(LN(2)/25)*Calculateur!DB154*Calculateur!DD154*VLOOKUP('Données projet'!$B$13,Paramètres!$A$1:$I$89,3,0)*0.475*44/12</f>
        <v>0.37752966298622292</v>
      </c>
      <c r="DH154" s="21">
        <f>EXP(-LN(2)/2)*DH153+(1-EXP(-LN(2)/2))/(LN(2)/2)*DB154*DE154*VLOOKUP('Données projet'!$B$13,Paramètres!$A$1:$I$89,3,0)*0.475*44/12</f>
        <v>5.5030811935438111E-18</v>
      </c>
      <c r="DI154" s="22">
        <f t="shared" ref="DI154:DI203" si="175">SUM(DF154:DH154)</f>
        <v>1.1443160438510551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2.2737367544323206E-13</v>
      </c>
      <c r="DP154" s="17">
        <f>DO154*VLOOKUP('Données projet'!$B$14,Paramètres!$A$1:$I$89,3,0)*VLOOKUP('Données projet'!$B$14,Paramètres!$A$1:$I$89,5,0)</f>
        <v>1.4897523215040565E-13</v>
      </c>
      <c r="DQ154" s="13">
        <f t="shared" ref="DQ154:DQ203" si="176">EXP(-1.0587+0.8836*LN(DP154)+0.284)</f>
        <v>2.136562777003313E-12</v>
      </c>
      <c r="DR154" s="20">
        <f t="shared" ref="DR154:DR203" si="177">(DP154+DQ154)*0.475*44/12</f>
        <v>3.9806453659427267E-12</v>
      </c>
      <c r="DS154" s="59">
        <f t="shared" si="125"/>
        <v>293.33333333333729</v>
      </c>
      <c r="DT154" s="59">
        <f ca="1">AVERAGE(OFFSET($DS$3,0,0,'Données projet'!$E$14+1,1))-AVERAGE(OFFSET($H$3,0,0,'Données projet'!$E$14+1,1))</f>
        <v>295.92103934364718</v>
      </c>
      <c r="DU154" s="59">
        <f t="shared" si="152"/>
        <v>304.84379909635476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0.40613038247258965</v>
      </c>
      <c r="EB154" s="21">
        <f>EXP(-LN(2)/25)*EB153+(1-EXP(-LN(2)/25))/(LN(2)/25)*Calculateur!DW154*Calculateur!DY154*VLOOKUP('Données projet'!$B$14,Paramètres!$A$1:$I$89,3,0)*0.475*44/12</f>
        <v>0.2497189537020475</v>
      </c>
      <c r="EC154" s="21">
        <f>EXP(-LN(2)/2)*EC153+(1-EXP(-LN(2)/2))/(LN(2)/2)*DW154*DZ154*VLOOKUP('Données projet'!$B$14,Paramètres!$A$1:$I$89,3,0)*0.475*44/12</f>
        <v>3.5294663440004901E-18</v>
      </c>
      <c r="ED154" s="22">
        <f t="shared" ref="ED154:ED203" si="178">SUM(EA154:EC154)</f>
        <v>0.65584933617463714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207.2913533618397</v>
      </c>
      <c r="EP154" s="59">
        <f t="shared" si="154"/>
        <v>230.81096055024483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0.63031451897004498</v>
      </c>
      <c r="EW154" s="21">
        <f>EXP(-LN(2)/25)*EW153+(1-EXP(-LN(2)/25))/(LN(2)/25)*Calculateur!ER154*Calculateur!ET154*VLOOKUP('Données projet'!$B$15,Paramètres!$A$1:$I$89,3,0)*0.475*44/12</f>
        <v>0.21057970542815874</v>
      </c>
      <c r="EX154" s="21">
        <f>EXP(-LN(2)/2)*EX153+(1-EXP(-LN(2)/2))/(LN(2)/2)*ER154*EU154*VLOOKUP('Données projet'!$B$15,Paramètres!$A$1:$I$89,3,0)*0.475*44/12</f>
        <v>1.8089842303925931E-18</v>
      </c>
      <c r="EY154" s="22">
        <f t="shared" ref="EY154:EY203" si="181">SUM(EV154:EX154)</f>
        <v>0.84089422439820372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319.22903094674564</v>
      </c>
      <c r="T155" s="59">
        <f t="shared" si="142"/>
        <v>254.58690973142848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0.81021061420133622</v>
      </c>
      <c r="AA155" s="21">
        <f>EXP(-LN(2)/25)*AA154+(1-EXP(-LN(2)/25))/(LN(2)/25)*Calculateur!V155*Calculateur!X155*VLOOKUP('Données projet'!$B$9,Paramètres!$A$1:$I$89,3,0)*0.475*44/12</f>
        <v>0.37870401383339347</v>
      </c>
      <c r="AB155" s="21">
        <f>EXP(-LN(2)/2)*AB154+(1-EXP(-LN(2)/2))/(LN(2)/2)*V155*Y155*VLOOKUP('Données projet'!$B$9,Paramètres!$A$1:$I$89,3,0)*0.475*44/12</f>
        <v>4.7891936265705398E-18</v>
      </c>
      <c r="AC155" s="22">
        <f t="shared" si="163"/>
        <v>1.1889146280347296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-1.9065282685915009E-13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544.48194192356823</v>
      </c>
      <c r="AO155" s="59">
        <f t="shared" si="144"/>
        <v>668.20427590250733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0.65534622576593249</v>
      </c>
      <c r="AV155" s="21">
        <f>EXP(-LN(2)/25)*AV154+(1-EXP(-LN(2)/25))/(LN(2)/25)*Calculateur!AQ155*Calculateur!AS155*VLOOKUP('Données projet'!$B$10,Paramètres!$A$1:$I$89,3,0)*0.475*44/12</f>
        <v>1.4471309043465872</v>
      </c>
      <c r="AW155" s="21">
        <f>EXP(-LN(2)/2)*AW154+(1-EXP(-LN(2)/2))/(LN(2)/2)*AQ155*AT155*VLOOKUP('Données projet'!$B$10,Paramètres!$A$1:$I$89,3,0)*0.475*44/12</f>
        <v>6.2527924525331194E-18</v>
      </c>
      <c r="AX155" s="21">
        <f t="shared" si="166"/>
        <v>2.1024771301125198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405.7176439604217</v>
      </c>
      <c r="BJ155" s="59">
        <f t="shared" si="146"/>
        <v>278.21741231699929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0.65240968552983358</v>
      </c>
      <c r="BQ155" s="21">
        <f>EXP(-LN(2)/25)*BQ154+(1-EXP(-LN(2)/25))/(LN(2)/25)*Calculateur!BL155*Calculateur!BN155*VLOOKUP('Données projet'!$B$11,Paramètres!$A$1:$I$89,3,0)*0.475*44/12</f>
        <v>0.31803180719270457</v>
      </c>
      <c r="BR155" s="21">
        <f>EXP(-LN(2)/2)*BR154+(1-EXP(-LN(2)/2))/(LN(2)/2)*BL155*BO155*VLOOKUP('Données projet'!$B$11,Paramètres!$A$1:$I$89,3,0)*0.475*44/12</f>
        <v>3.7013936140640094E-18</v>
      </c>
      <c r="BS155" s="22">
        <f t="shared" si="169"/>
        <v>0.97044149272253821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-1.7053025658242404E-13</v>
      </c>
      <c r="CU155" s="17">
        <f>CT155*VLOOKUP('Données projet'!$B$13,Paramètres!$A$1:$I$89,3,0)*VLOOKUP('Données projet'!$B$13,Paramètres!$A$1:$I$89,5,0)</f>
        <v>-1.3567387213697657E-13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299.10536994156814</v>
      </c>
      <c r="CZ155" s="59">
        <f t="shared" si="150"/>
        <v>292.57799203101769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0.75175016762958435</v>
      </c>
      <c r="DG155" s="21">
        <f>EXP(-LN(2)/25)*DG154+(1-EXP(-LN(2)/25))/(LN(2)/25)*Calculateur!DB155*Calculateur!DD155*VLOOKUP('Données projet'!$B$13,Paramètres!$A$1:$I$89,3,0)*0.475*44/12</f>
        <v>0.36720609449844255</v>
      </c>
      <c r="DH155" s="21">
        <f>EXP(-LN(2)/2)*DH154+(1-EXP(-LN(2)/2))/(LN(2)/2)*DB155*DE155*VLOOKUP('Données projet'!$B$13,Paramètres!$A$1:$I$89,3,0)*0.475*44/12</f>
        <v>3.8912660293749883E-18</v>
      </c>
      <c r="DI155" s="22">
        <f t="shared" si="175"/>
        <v>1.1189562621280269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2.2737367544323206E-13</v>
      </c>
      <c r="DP155" s="17">
        <f>DO155*VLOOKUP('Données projet'!$B$14,Paramètres!$A$1:$I$89,3,0)*VLOOKUP('Données projet'!$B$14,Paramètres!$A$1:$I$89,5,0)</f>
        <v>1.4897523215040565E-13</v>
      </c>
      <c r="DQ155" s="13">
        <f t="shared" si="176"/>
        <v>2.136562777003313E-12</v>
      </c>
      <c r="DR155" s="20">
        <f t="shared" si="177"/>
        <v>3.9806453659427267E-12</v>
      </c>
      <c r="DS155" s="59">
        <f t="shared" si="125"/>
        <v>293.33333333333729</v>
      </c>
      <c r="DT155" s="59">
        <f ca="1">AVERAGE(OFFSET($DS$3,0,0,'Données projet'!$E$14+1,1))-AVERAGE(OFFSET($H$3,0,0,'Données projet'!$E$14+1,1))</f>
        <v>295.92103934364718</v>
      </c>
      <c r="DU155" s="59">
        <f t="shared" si="152"/>
        <v>304.84379909635476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0.39816641338737563</v>
      </c>
      <c r="EB155" s="21">
        <f>EXP(-LN(2)/25)*EB154+(1-EXP(-LN(2)/25))/(LN(2)/25)*Calculateur!DW155*Calculateur!DY155*VLOOKUP('Données projet'!$B$14,Paramètres!$A$1:$I$89,3,0)*0.475*44/12</f>
        <v>0.24289037578091596</v>
      </c>
      <c r="EC155" s="21">
        <f>EXP(-LN(2)/2)*EC154+(1-EXP(-LN(2)/2))/(LN(2)/2)*DW155*DZ155*VLOOKUP('Données projet'!$B$14,Paramètres!$A$1:$I$89,3,0)*0.475*44/12</f>
        <v>2.4957095858124385E-18</v>
      </c>
      <c r="ED155" s="22">
        <f t="shared" si="178"/>
        <v>0.64105678916829156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207.2913533618397</v>
      </c>
      <c r="EP155" s="59">
        <f t="shared" si="154"/>
        <v>230.81096055024483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0.61795443570693731</v>
      </c>
      <c r="EW155" s="21">
        <f>EXP(-LN(2)/25)*EW154+(1-EXP(-LN(2)/25))/(LN(2)/25)*Calculateur!ER155*Calculateur!ET155*VLOOKUP('Données projet'!$B$15,Paramètres!$A$1:$I$89,3,0)*0.475*44/12</f>
        <v>0.20482139230932031</v>
      </c>
      <c r="EX155" s="21">
        <f>EXP(-LN(2)/2)*EX154+(1-EXP(-LN(2)/2))/(LN(2)/2)*ER155*EU155*VLOOKUP('Données projet'!$B$15,Paramètres!$A$1:$I$89,3,0)*0.475*44/12</f>
        <v>1.2791450163701305E-18</v>
      </c>
      <c r="EY155" s="22">
        <f t="shared" si="181"/>
        <v>0.82277582801625759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319.22903094674564</v>
      </c>
      <c r="T156" s="59">
        <f t="shared" si="142"/>
        <v>254.58690973142848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0.79432287823652648</v>
      </c>
      <c r="AA156" s="21">
        <f>EXP(-LN(2)/25)*AA155+(1-EXP(-LN(2)/25))/(LN(2)/25)*Calculateur!V156*Calculateur!X156*VLOOKUP('Données projet'!$B$9,Paramètres!$A$1:$I$89,3,0)*0.475*44/12</f>
        <v>0.36834833265994077</v>
      </c>
      <c r="AB156" s="21">
        <f>EXP(-LN(2)/2)*AB155+(1-EXP(-LN(2)/2))/(LN(2)/2)*V156*Y156*VLOOKUP('Données projet'!$B$9,Paramètres!$A$1:$I$89,3,0)*0.475*44/12</f>
        <v>3.3864712897634228E-18</v>
      </c>
      <c r="AC156" s="22">
        <f t="shared" si="163"/>
        <v>1.1626712108964672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-1.9065282685915009E-13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544.48194192356823</v>
      </c>
      <c r="AO156" s="59">
        <f t="shared" si="144"/>
        <v>668.20427590250733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0.64249528600039107</v>
      </c>
      <c r="AV156" s="21">
        <f>EXP(-LN(2)/25)*AV155+(1-EXP(-LN(2)/25))/(LN(2)/25)*Calculateur!AQ156*Calculateur!AS156*VLOOKUP('Données projet'!$B$10,Paramètres!$A$1:$I$89,3,0)*0.475*44/12</f>
        <v>1.4075590336659229</v>
      </c>
      <c r="AW156" s="21">
        <f>EXP(-LN(2)/2)*AW155+(1-EXP(-LN(2)/2))/(LN(2)/2)*AQ156*AT156*VLOOKUP('Données projet'!$B$10,Paramètres!$A$1:$I$89,3,0)*0.475*44/12</f>
        <v>4.4213919445382322E-18</v>
      </c>
      <c r="AX156" s="21">
        <f t="shared" si="166"/>
        <v>2.0500543196663141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405.7176439604217</v>
      </c>
      <c r="BJ156" s="59">
        <f t="shared" si="146"/>
        <v>278.21741231699929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0.63961632952720937</v>
      </c>
      <c r="BQ156" s="21">
        <f>EXP(-LN(2)/25)*BQ155+(1-EXP(-LN(2)/25))/(LN(2)/25)*Calculateur!BL156*Calculateur!BN156*VLOOKUP('Données projet'!$B$11,Paramètres!$A$1:$I$89,3,0)*0.475*44/12</f>
        <v>0.30933521070045422</v>
      </c>
      <c r="BR156" s="21">
        <f>EXP(-LN(2)/2)*BR155+(1-EXP(-LN(2)/2))/(LN(2)/2)*BL156*BO156*VLOOKUP('Données projet'!$B$11,Paramètres!$A$1:$I$89,3,0)*0.475*44/12</f>
        <v>2.6172805243452438E-18</v>
      </c>
      <c r="BS156" s="22">
        <f t="shared" si="169"/>
        <v>0.94895154022766359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-1.7053025658242404E-13</v>
      </c>
      <c r="CU156" s="17">
        <f>CT156*VLOOKUP('Données projet'!$B$13,Paramètres!$A$1:$I$89,3,0)*VLOOKUP('Données projet'!$B$13,Paramètres!$A$1:$I$89,5,0)</f>
        <v>-1.3567387213697657E-13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299.10536994156814</v>
      </c>
      <c r="CZ156" s="59">
        <f t="shared" si="150"/>
        <v>292.57799203101769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0.73700880536469515</v>
      </c>
      <c r="DG156" s="21">
        <f>EXP(-LN(2)/25)*DG155+(1-EXP(-LN(2)/25))/(LN(2)/25)*Calculateur!DB156*Calculateur!DD156*VLOOKUP('Données projet'!$B$13,Paramètres!$A$1:$I$89,3,0)*0.475*44/12</f>
        <v>0.3571648245338534</v>
      </c>
      <c r="DH156" s="21">
        <f>EXP(-LN(2)/2)*DH155+(1-EXP(-LN(2)/2))/(LN(2)/2)*DB156*DE156*VLOOKUP('Données projet'!$B$13,Paramètres!$A$1:$I$89,3,0)*0.475*44/12</f>
        <v>2.7515405967719055E-18</v>
      </c>
      <c r="DI156" s="22">
        <f t="shared" si="175"/>
        <v>1.0941736298985485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2.2737367544323206E-13</v>
      </c>
      <c r="DP156" s="17">
        <f>DO156*VLOOKUP('Données projet'!$B$14,Paramètres!$A$1:$I$89,3,0)*VLOOKUP('Données projet'!$B$14,Paramètres!$A$1:$I$89,5,0)</f>
        <v>1.4897523215040565E-13</v>
      </c>
      <c r="DQ156" s="13">
        <f t="shared" si="176"/>
        <v>2.136562777003313E-12</v>
      </c>
      <c r="DR156" s="20">
        <f t="shared" si="177"/>
        <v>3.9806453659427267E-12</v>
      </c>
      <c r="DS156" s="59">
        <f t="shared" si="125"/>
        <v>293.33333333333729</v>
      </c>
      <c r="DT156" s="59">
        <f ca="1">AVERAGE(OFFSET($DS$3,0,0,'Données projet'!$E$14+1,1))-AVERAGE(OFFSET($H$3,0,0,'Données projet'!$E$14+1,1))</f>
        <v>295.92103934364718</v>
      </c>
      <c r="DU156" s="59">
        <f t="shared" si="152"/>
        <v>304.84379909635476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0.39035861287838119</v>
      </c>
      <c r="EB156" s="21">
        <f>EXP(-LN(2)/25)*EB155+(1-EXP(-LN(2)/25))/(LN(2)/25)*Calculateur!DW156*Calculateur!DY156*VLOOKUP('Données projet'!$B$14,Paramètres!$A$1:$I$89,3,0)*0.475*44/12</f>
        <v>0.23624852568213708</v>
      </c>
      <c r="EC156" s="21">
        <f>EXP(-LN(2)/2)*EC155+(1-EXP(-LN(2)/2))/(LN(2)/2)*DW156*DZ156*VLOOKUP('Données projet'!$B$14,Paramètres!$A$1:$I$89,3,0)*0.475*44/12</f>
        <v>1.764733172000245E-18</v>
      </c>
      <c r="ED156" s="22">
        <f t="shared" si="178"/>
        <v>0.62660713856051831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207.2913533618397</v>
      </c>
      <c r="EP156" s="59">
        <f t="shared" si="154"/>
        <v>230.81096055024483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0.60583672613771278</v>
      </c>
      <c r="EW156" s="21">
        <f>EXP(-LN(2)/25)*EW155+(1-EXP(-LN(2)/25))/(LN(2)/25)*Calculateur!ER156*Calculateur!ET156*VLOOKUP('Données projet'!$B$15,Paramètres!$A$1:$I$89,3,0)*0.475*44/12</f>
        <v>0.19922054056553304</v>
      </c>
      <c r="EX156" s="21">
        <f>EXP(-LN(2)/2)*EX155+(1-EXP(-LN(2)/2))/(LN(2)/2)*ER156*EU156*VLOOKUP('Données projet'!$B$15,Paramètres!$A$1:$I$89,3,0)*0.475*44/12</f>
        <v>9.0449211519629655E-19</v>
      </c>
      <c r="EY156" s="22">
        <f t="shared" si="181"/>
        <v>0.80505726670324584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319.22903094674564</v>
      </c>
      <c r="T157" s="59">
        <f t="shared" si="142"/>
        <v>254.58690973142848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0.77874669108342454</v>
      </c>
      <c r="AA157" s="21">
        <f>EXP(-LN(2)/25)*AA156+(1-EXP(-LN(2)/25))/(LN(2)/25)*Calculateur!V157*Calculateur!X157*VLOOKUP('Données projet'!$B$9,Paramètres!$A$1:$I$89,3,0)*0.475*44/12</f>
        <v>0.35827582813275777</v>
      </c>
      <c r="AB157" s="21">
        <f>EXP(-LN(2)/2)*AB156+(1-EXP(-LN(2)/2))/(LN(2)/2)*V157*Y157*VLOOKUP('Données projet'!$B$9,Paramètres!$A$1:$I$89,3,0)*0.475*44/12</f>
        <v>2.3945968132852703E-18</v>
      </c>
      <c r="AC157" s="22">
        <f t="shared" si="163"/>
        <v>1.1370225192161822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-1.9065282685915009E-13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544.48194192356823</v>
      </c>
      <c r="AO157" s="59">
        <f t="shared" si="144"/>
        <v>668.20427590250733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0.62989634532535255</v>
      </c>
      <c r="AV157" s="21">
        <f>EXP(-LN(2)/25)*AV156+(1-EXP(-LN(2)/25))/(LN(2)/25)*Calculateur!AQ157*Calculateur!AS157*VLOOKUP('Données projet'!$B$10,Paramètres!$A$1:$I$89,3,0)*0.475*44/12</f>
        <v>1.3690692578700157</v>
      </c>
      <c r="AW157" s="21">
        <f>EXP(-LN(2)/2)*AW156+(1-EXP(-LN(2)/2))/(LN(2)/2)*AQ157*AT157*VLOOKUP('Données projet'!$B$10,Paramètres!$A$1:$I$89,3,0)*0.475*44/12</f>
        <v>3.1263962262665597E-18</v>
      </c>
      <c r="AX157" s="21">
        <f t="shared" si="166"/>
        <v>1.9989656031953682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405.7176439604217</v>
      </c>
      <c r="BJ157" s="59">
        <f t="shared" si="146"/>
        <v>278.21741231699929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0.62707384343261996</v>
      </c>
      <c r="BQ157" s="21">
        <f>EXP(-LN(2)/25)*BQ156+(1-EXP(-LN(2)/25))/(LN(2)/25)*Calculateur!BL157*Calculateur!BN157*VLOOKUP('Données projet'!$B$11,Paramètres!$A$1:$I$89,3,0)*0.475*44/12</f>
        <v>0.30087642309661855</v>
      </c>
      <c r="BR157" s="21">
        <f>EXP(-LN(2)/2)*BR156+(1-EXP(-LN(2)/2))/(LN(2)/2)*BL157*BO157*VLOOKUP('Données projet'!$B$11,Paramètres!$A$1:$I$89,3,0)*0.475*44/12</f>
        <v>1.8506968070320047E-18</v>
      </c>
      <c r="BS157" s="22">
        <f t="shared" si="169"/>
        <v>0.92795026652923851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-1.7053025658242404E-13</v>
      </c>
      <c r="CU157" s="17">
        <f>CT157*VLOOKUP('Données projet'!$B$13,Paramètres!$A$1:$I$89,3,0)*VLOOKUP('Données projet'!$B$13,Paramètres!$A$1:$I$89,5,0)</f>
        <v>-1.3567387213697657E-13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299.10536994156814</v>
      </c>
      <c r="CZ157" s="59">
        <f t="shared" si="150"/>
        <v>292.57799203101769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0.7225565122224773</v>
      </c>
      <c r="DG157" s="21">
        <f>EXP(-LN(2)/25)*DG156+(1-EXP(-LN(2)/25))/(LN(2)/25)*Calculateur!DB157*Calculateur!DD157*VLOOKUP('Données projet'!$B$13,Paramètres!$A$1:$I$89,3,0)*0.475*44/12</f>
        <v>0.34739813362449334</v>
      </c>
      <c r="DH157" s="21">
        <f>EXP(-LN(2)/2)*DH156+(1-EXP(-LN(2)/2))/(LN(2)/2)*DB157*DE157*VLOOKUP('Données projet'!$B$13,Paramètres!$A$1:$I$89,3,0)*0.475*44/12</f>
        <v>1.9456330146874941E-18</v>
      </c>
      <c r="DI157" s="22">
        <f t="shared" si="175"/>
        <v>1.0699546458469706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2.2737367544323206E-13</v>
      </c>
      <c r="DP157" s="17">
        <f>DO157*VLOOKUP('Données projet'!$B$14,Paramètres!$A$1:$I$89,3,0)*VLOOKUP('Données projet'!$B$14,Paramètres!$A$1:$I$89,5,0)</f>
        <v>1.4897523215040565E-13</v>
      </c>
      <c r="DQ157" s="13">
        <f t="shared" si="176"/>
        <v>2.136562777003313E-12</v>
      </c>
      <c r="DR157" s="20">
        <f t="shared" si="177"/>
        <v>3.9806453659427267E-12</v>
      </c>
      <c r="DS157" s="59">
        <f t="shared" si="125"/>
        <v>293.33333333333729</v>
      </c>
      <c r="DT157" s="59">
        <f ca="1">AVERAGE(OFFSET($DS$3,0,0,'Données projet'!$E$14+1,1))-AVERAGE(OFFSET($H$3,0,0,'Données projet'!$E$14+1,1))</f>
        <v>295.92103934364718</v>
      </c>
      <c r="DU157" s="59">
        <f t="shared" si="152"/>
        <v>304.84379909635476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0.38270391857508002</v>
      </c>
      <c r="EB157" s="21">
        <f>EXP(-LN(2)/25)*EB156+(1-EXP(-LN(2)/25))/(LN(2)/25)*Calculateur!DW157*Calculateur!DY157*VLOOKUP('Données projet'!$B$14,Paramètres!$A$1:$I$89,3,0)*0.475*44/12</f>
        <v>0.22978829732358902</v>
      </c>
      <c r="EC157" s="21">
        <f>EXP(-LN(2)/2)*EC156+(1-EXP(-LN(2)/2))/(LN(2)/2)*DW157*DZ157*VLOOKUP('Données projet'!$B$14,Paramètres!$A$1:$I$89,3,0)*0.475*44/12</f>
        <v>1.2478547929062192E-18</v>
      </c>
      <c r="ED157" s="22">
        <f t="shared" si="178"/>
        <v>0.61249221589866898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207.2913533618397</v>
      </c>
      <c r="EP157" s="59">
        <f t="shared" si="154"/>
        <v>230.81096055024483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0.59395663746206773</v>
      </c>
      <c r="EW157" s="21">
        <f>EXP(-LN(2)/25)*EW156+(1-EXP(-LN(2)/25))/(LN(2)/25)*Calculateur!ER157*Calculateur!ET157*VLOOKUP('Données projet'!$B$15,Paramètres!$A$1:$I$89,3,0)*0.475*44/12</f>
        <v>0.19377284440721562</v>
      </c>
      <c r="EX157" s="21">
        <f>EXP(-LN(2)/2)*EX156+(1-EXP(-LN(2)/2))/(LN(2)/2)*ER157*EU157*VLOOKUP('Données projet'!$B$15,Paramètres!$A$1:$I$89,3,0)*0.475*44/12</f>
        <v>6.3957250818506523E-19</v>
      </c>
      <c r="EY157" s="22">
        <f t="shared" si="181"/>
        <v>0.78772948186928338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319.22903094674564</v>
      </c>
      <c r="T158" s="59">
        <f t="shared" si="142"/>
        <v>254.58690973142848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0.76347594345985892</v>
      </c>
      <c r="AA158" s="21">
        <f>EXP(-LN(2)/25)*AA157+(1-EXP(-LN(2)/25))/(LN(2)/25)*Calculateur!V158*Calculateur!X158*VLOOKUP('Données projet'!$B$9,Paramètres!$A$1:$I$89,3,0)*0.475*44/12</f>
        <v>0.34847875677156054</v>
      </c>
      <c r="AB158" s="21">
        <f>EXP(-LN(2)/2)*AB157+(1-EXP(-LN(2)/2))/(LN(2)/2)*V158*Y158*VLOOKUP('Données projet'!$B$9,Paramètres!$A$1:$I$89,3,0)*0.475*44/12</f>
        <v>1.6932356448817118E-18</v>
      </c>
      <c r="AC158" s="22">
        <f t="shared" si="163"/>
        <v>1.1119547002314194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-1.9065282685915009E-13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544.48194192356823</v>
      </c>
      <c r="AO158" s="59">
        <f t="shared" si="144"/>
        <v>668.20427590250733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0.61754446219235659</v>
      </c>
      <c r="AV158" s="21">
        <f>EXP(-LN(2)/25)*AV157+(1-EXP(-LN(2)/25))/(LN(2)/25)*Calculateur!AQ158*Calculateur!AS158*VLOOKUP('Données projet'!$B$10,Paramètres!$A$1:$I$89,3,0)*0.475*44/12</f>
        <v>1.3316319870173368</v>
      </c>
      <c r="AW158" s="21">
        <f>EXP(-LN(2)/2)*AW157+(1-EXP(-LN(2)/2))/(LN(2)/2)*AQ158*AT158*VLOOKUP('Données projet'!$B$10,Paramètres!$A$1:$I$89,3,0)*0.475*44/12</f>
        <v>2.2106959722691161E-18</v>
      </c>
      <c r="AX158" s="21">
        <f t="shared" si="166"/>
        <v>1.9491764492096935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405.7176439604217</v>
      </c>
      <c r="BJ158" s="59">
        <f t="shared" si="146"/>
        <v>278.21741231699929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0.61477730784018425</v>
      </c>
      <c r="BQ158" s="21">
        <f>EXP(-LN(2)/25)*BQ157+(1-EXP(-LN(2)/25))/(LN(2)/25)*Calculateur!BL158*Calculateur!BN158*VLOOKUP('Données projet'!$B$11,Paramètres!$A$1:$I$89,3,0)*0.475*44/12</f>
        <v>0.2926489414846381</v>
      </c>
      <c r="BR158" s="21">
        <f>EXP(-LN(2)/2)*BR157+(1-EXP(-LN(2)/2))/(LN(2)/2)*BL158*BO158*VLOOKUP('Données projet'!$B$11,Paramètres!$A$1:$I$89,3,0)*0.475*44/12</f>
        <v>1.3086402621726219E-18</v>
      </c>
      <c r="BS158" s="22">
        <f t="shared" si="169"/>
        <v>0.90742624932482241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-1.7053025658242404E-13</v>
      </c>
      <c r="CU158" s="17">
        <f>CT158*VLOOKUP('Données projet'!$B$13,Paramètres!$A$1:$I$89,3,0)*VLOOKUP('Données projet'!$B$13,Paramètres!$A$1:$I$89,5,0)</f>
        <v>-1.3567387213697657E-13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299.10536994156814</v>
      </c>
      <c r="CZ158" s="59">
        <f t="shared" si="150"/>
        <v>292.57799203101769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0.70838761973374986</v>
      </c>
      <c r="DG158" s="21">
        <f>EXP(-LN(2)/25)*DG157+(1-EXP(-LN(2)/25))/(LN(2)/25)*Calculateur!DB158*Calculateur!DD158*VLOOKUP('Données projet'!$B$13,Paramètres!$A$1:$I$89,3,0)*0.475*44/12</f>
        <v>0.33789851339165772</v>
      </c>
      <c r="DH158" s="21">
        <f>EXP(-LN(2)/2)*DH157+(1-EXP(-LN(2)/2))/(LN(2)/2)*DB158*DE158*VLOOKUP('Données projet'!$B$13,Paramètres!$A$1:$I$89,3,0)*0.475*44/12</f>
        <v>1.3757702983859528E-18</v>
      </c>
      <c r="DI158" s="22">
        <f t="shared" si="175"/>
        <v>1.0462861331254076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2.2737367544323206E-13</v>
      </c>
      <c r="DP158" s="17">
        <f>DO158*VLOOKUP('Données projet'!$B$14,Paramètres!$A$1:$I$89,3,0)*VLOOKUP('Données projet'!$B$14,Paramètres!$A$1:$I$89,5,0)</f>
        <v>1.4897523215040565E-13</v>
      </c>
      <c r="DQ158" s="13">
        <f t="shared" si="176"/>
        <v>2.136562777003313E-12</v>
      </c>
      <c r="DR158" s="20">
        <f t="shared" si="177"/>
        <v>3.9806453659427267E-12</v>
      </c>
      <c r="DS158" s="59">
        <f t="shared" si="125"/>
        <v>293.33333333333729</v>
      </c>
      <c r="DT158" s="59">
        <f ca="1">AVERAGE(OFFSET($DS$3,0,0,'Données projet'!$E$14+1,1))-AVERAGE(OFFSET($H$3,0,0,'Données projet'!$E$14+1,1))</f>
        <v>295.92103934364718</v>
      </c>
      <c r="DU158" s="59">
        <f t="shared" si="152"/>
        <v>304.84379909635476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0.37519932815816409</v>
      </c>
      <c r="EB158" s="21">
        <f>EXP(-LN(2)/25)*EB157+(1-EXP(-LN(2)/25))/(LN(2)/25)*Calculateur!DW158*Calculateur!DY158*VLOOKUP('Données projet'!$B$14,Paramètres!$A$1:$I$89,3,0)*0.475*44/12</f>
        <v>0.22350472424923412</v>
      </c>
      <c r="EC158" s="21">
        <f>EXP(-LN(2)/2)*EC157+(1-EXP(-LN(2)/2))/(LN(2)/2)*DW158*DZ158*VLOOKUP('Données projet'!$B$14,Paramètres!$A$1:$I$89,3,0)*0.475*44/12</f>
        <v>8.8236658600012252E-19</v>
      </c>
      <c r="ED158" s="22">
        <f t="shared" si="178"/>
        <v>0.59870405240739821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207.2913533618397</v>
      </c>
      <c r="EP158" s="59">
        <f t="shared" si="154"/>
        <v>230.81096055024483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0.5823095100792135</v>
      </c>
      <c r="EW158" s="21">
        <f>EXP(-LN(2)/25)*EW157+(1-EXP(-LN(2)/25))/(LN(2)/25)*Calculateur!ER158*Calculateur!ET158*VLOOKUP('Données projet'!$B$15,Paramètres!$A$1:$I$89,3,0)*0.475*44/12</f>
        <v>0.18847411578682929</v>
      </c>
      <c r="EX158" s="21">
        <f>EXP(-LN(2)/2)*EX157+(1-EXP(-LN(2)/2))/(LN(2)/2)*ER158*EU158*VLOOKUP('Données projet'!$B$15,Paramètres!$A$1:$I$89,3,0)*0.475*44/12</f>
        <v>4.5224605759814827E-19</v>
      </c>
      <c r="EY158" s="22">
        <f t="shared" si="181"/>
        <v>0.77078362586604277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319.22903094674564</v>
      </c>
      <c r="T159" s="59">
        <f t="shared" si="142"/>
        <v>254.58690973142848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0.74850464588295507</v>
      </c>
      <c r="AA159" s="21">
        <f>EXP(-LN(2)/25)*AA158+(1-EXP(-LN(2)/25))/(LN(2)/25)*Calculateur!V159*Calculateur!X159*VLOOKUP('Données projet'!$B$9,Paramètres!$A$1:$I$89,3,0)*0.475*44/12</f>
        <v>0.33894958684194088</v>
      </c>
      <c r="AB159" s="21">
        <f>EXP(-LN(2)/2)*AB158+(1-EXP(-LN(2)/2))/(LN(2)/2)*V159*Y159*VLOOKUP('Données projet'!$B$9,Paramètres!$A$1:$I$89,3,0)*0.475*44/12</f>
        <v>1.1972984066426353E-18</v>
      </c>
      <c r="AC159" s="22">
        <f t="shared" si="163"/>
        <v>1.0874542327248959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-1.9065282685915009E-13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544.48194192356823</v>
      </c>
      <c r="AO159" s="59">
        <f t="shared" si="144"/>
        <v>668.20427590250733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0.60543479195369387</v>
      </c>
      <c r="AV159" s="21">
        <f>EXP(-LN(2)/25)*AV158+(1-EXP(-LN(2)/25))/(LN(2)/25)*Calculateur!AQ159*Calculateur!AS159*VLOOKUP('Données projet'!$B$10,Paramètres!$A$1:$I$89,3,0)*0.475*44/12</f>
        <v>1.295218440304865</v>
      </c>
      <c r="AW159" s="21">
        <f>EXP(-LN(2)/2)*AW158+(1-EXP(-LN(2)/2))/(LN(2)/2)*AQ159*AT159*VLOOKUP('Données projet'!$B$10,Paramètres!$A$1:$I$89,3,0)*0.475*44/12</f>
        <v>1.5631981131332798E-18</v>
      </c>
      <c r="AX159" s="21">
        <f t="shared" si="166"/>
        <v>1.9006532322585588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405.7176439604217</v>
      </c>
      <c r="BJ159" s="59">
        <f t="shared" si="146"/>
        <v>278.21741231699929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0.60272189981057012</v>
      </c>
      <c r="BQ159" s="21">
        <f>EXP(-LN(2)/25)*BQ158+(1-EXP(-LN(2)/25))/(LN(2)/25)*Calculateur!BL159*Calculateur!BN159*VLOOKUP('Données projet'!$B$11,Paramètres!$A$1:$I$89,3,0)*0.475*44/12</f>
        <v>0.28464644079000168</v>
      </c>
      <c r="BR159" s="21">
        <f>EXP(-LN(2)/2)*BR158+(1-EXP(-LN(2)/2))/(LN(2)/2)*BL159*BO159*VLOOKUP('Données projet'!$B$11,Paramètres!$A$1:$I$89,3,0)*0.475*44/12</f>
        <v>9.2534840351600234E-19</v>
      </c>
      <c r="BS159" s="22">
        <f t="shared" si="169"/>
        <v>0.88736834060057179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-1.7053025658242404E-13</v>
      </c>
      <c r="CU159" s="17">
        <f>CT159*VLOOKUP('Données projet'!$B$13,Paramètres!$A$1:$I$89,3,0)*VLOOKUP('Données projet'!$B$13,Paramètres!$A$1:$I$89,5,0)</f>
        <v>-1.3567387213697657E-13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299.10536994156814</v>
      </c>
      <c r="CZ159" s="59">
        <f t="shared" si="150"/>
        <v>292.57799203101769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0.69449657058455527</v>
      </c>
      <c r="DG159" s="21">
        <f>EXP(-LN(2)/25)*DG158+(1-EXP(-LN(2)/25))/(LN(2)/25)*Calculateur!DB159*Calculateur!DD159*VLOOKUP('Données projet'!$B$13,Paramètres!$A$1:$I$89,3,0)*0.475*44/12</f>
        <v>0.3286586607736523</v>
      </c>
      <c r="DH159" s="21">
        <f>EXP(-LN(2)/2)*DH158+(1-EXP(-LN(2)/2))/(LN(2)/2)*DB159*DE159*VLOOKUP('Données projet'!$B$13,Paramètres!$A$1:$I$89,3,0)*0.475*44/12</f>
        <v>9.7281650734374707E-19</v>
      </c>
      <c r="DI159" s="22">
        <f t="shared" si="175"/>
        <v>1.0231552313582075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2.2737367544323206E-13</v>
      </c>
      <c r="DP159" s="17">
        <f>DO159*VLOOKUP('Données projet'!$B$14,Paramètres!$A$1:$I$89,3,0)*VLOOKUP('Données projet'!$B$14,Paramètres!$A$1:$I$89,5,0)</f>
        <v>1.4897523215040565E-13</v>
      </c>
      <c r="DQ159" s="13">
        <f t="shared" si="176"/>
        <v>2.136562777003313E-12</v>
      </c>
      <c r="DR159" s="20">
        <f t="shared" si="177"/>
        <v>3.9806453659427267E-12</v>
      </c>
      <c r="DS159" s="59">
        <f t="shared" si="125"/>
        <v>293.33333333333729</v>
      </c>
      <c r="DT159" s="59">
        <f ca="1">AVERAGE(OFFSET($DS$3,0,0,'Données projet'!$E$14+1,1))-AVERAGE(OFFSET($H$3,0,0,'Données projet'!$E$14+1,1))</f>
        <v>295.92103934364718</v>
      </c>
      <c r="DU159" s="59">
        <f t="shared" si="152"/>
        <v>304.84379909635476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0.36784189818197571</v>
      </c>
      <c r="EB159" s="21">
        <f>EXP(-LN(2)/25)*EB158+(1-EXP(-LN(2)/25))/(LN(2)/25)*Calculateur!DW159*Calculateur!DY159*VLOOKUP('Données projet'!$B$14,Paramètres!$A$1:$I$89,3,0)*0.475*44/12</f>
        <v>0.2173929758110362</v>
      </c>
      <c r="EC159" s="21">
        <f>EXP(-LN(2)/2)*EC158+(1-EXP(-LN(2)/2))/(LN(2)/2)*DW159*DZ159*VLOOKUP('Données projet'!$B$14,Paramètres!$A$1:$I$89,3,0)*0.475*44/12</f>
        <v>6.2392739645310961E-19</v>
      </c>
      <c r="ED159" s="22">
        <f t="shared" si="178"/>
        <v>0.58523487399301188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207.2913533618397</v>
      </c>
      <c r="EP159" s="59">
        <f t="shared" si="154"/>
        <v>230.81096055024483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0.57089077576029079</v>
      </c>
      <c r="EW159" s="21">
        <f>EXP(-LN(2)/25)*EW158+(1-EXP(-LN(2)/25))/(LN(2)/25)*Calculateur!ER159*Calculateur!ET159*VLOOKUP('Données projet'!$B$15,Paramètres!$A$1:$I$89,3,0)*0.475*44/12</f>
        <v>0.18332028117921545</v>
      </c>
      <c r="EX159" s="21">
        <f>EXP(-LN(2)/2)*EX158+(1-EXP(-LN(2)/2))/(LN(2)/2)*ER159*EU159*VLOOKUP('Données projet'!$B$15,Paramètres!$A$1:$I$89,3,0)*0.475*44/12</f>
        <v>3.1978625409253261E-19</v>
      </c>
      <c r="EY159" s="22">
        <f t="shared" si="181"/>
        <v>0.75421105693950619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319.22903094674564</v>
      </c>
      <c r="T160" s="59">
        <f t="shared" si="142"/>
        <v>254.58690973142848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0.73382692631994451</v>
      </c>
      <c r="AA160" s="21">
        <f>EXP(-LN(2)/25)*AA159+(1-EXP(-LN(2)/25))/(LN(2)/25)*Calculateur!V160*Calculateur!X160*VLOOKUP('Données projet'!$B$9,Paramètres!$A$1:$I$89,3,0)*0.475*44/12</f>
        <v>0.32968099256516392</v>
      </c>
      <c r="AB160" s="21">
        <f>EXP(-LN(2)/2)*AB159+(1-EXP(-LN(2)/2))/(LN(2)/2)*V160*Y160*VLOOKUP('Données projet'!$B$9,Paramètres!$A$1:$I$89,3,0)*0.475*44/12</f>
        <v>8.4661782244085598E-19</v>
      </c>
      <c r="AC160" s="22">
        <f t="shared" si="163"/>
        <v>1.0635079188851084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-1.9065282685915009E-13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544.48194192356823</v>
      </c>
      <c r="AO160" s="59">
        <f t="shared" si="144"/>
        <v>668.20427590250733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0.59356258496224179</v>
      </c>
      <c r="AV160" s="21">
        <f>EXP(-LN(2)/25)*AV159+(1-EXP(-LN(2)/25))/(LN(2)/25)*Calculateur!AQ160*Calculateur!AS160*VLOOKUP('Données projet'!$B$10,Paramètres!$A$1:$I$89,3,0)*0.475*44/12</f>
        <v>1.2598006239421509</v>
      </c>
      <c r="AW160" s="21">
        <f>EXP(-LN(2)/2)*AW159+(1-EXP(-LN(2)/2))/(LN(2)/2)*AQ160*AT160*VLOOKUP('Données projet'!$B$10,Paramètres!$A$1:$I$89,3,0)*0.475*44/12</f>
        <v>1.1053479861345581E-18</v>
      </c>
      <c r="AX160" s="21">
        <f t="shared" si="166"/>
        <v>1.8533632089043928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405.7176439604217</v>
      </c>
      <c r="BJ160" s="59">
        <f t="shared" si="146"/>
        <v>278.21741231699929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0.5909028909793439</v>
      </c>
      <c r="BQ160" s="21">
        <f>EXP(-LN(2)/25)*BQ159+(1-EXP(-LN(2)/25))/(LN(2)/25)*Calculateur!BL160*Calculateur!BN160*VLOOKUP('Données projet'!$B$11,Paramètres!$A$1:$I$89,3,0)*0.475*44/12</f>
        <v>0.27686276889769335</v>
      </c>
      <c r="BR160" s="21">
        <f>EXP(-LN(2)/2)*BR159+(1-EXP(-LN(2)/2))/(LN(2)/2)*BL160*BO160*VLOOKUP('Données projet'!$B$11,Paramètres!$A$1:$I$89,3,0)*0.475*44/12</f>
        <v>6.5432013108631096E-19</v>
      </c>
      <c r="BS160" s="22">
        <f t="shared" si="169"/>
        <v>0.86776565987703724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-1.7053025658242404E-13</v>
      </c>
      <c r="CU160" s="17">
        <f>CT160*VLOOKUP('Données projet'!$B$13,Paramètres!$A$1:$I$89,3,0)*VLOOKUP('Données projet'!$B$13,Paramètres!$A$1:$I$89,5,0)</f>
        <v>-1.3567387213697657E-13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299.10536994156814</v>
      </c>
      <c r="CZ160" s="59">
        <f t="shared" si="150"/>
        <v>292.57799203101769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0.68087791643647311</v>
      </c>
      <c r="DG160" s="21">
        <f>EXP(-LN(2)/25)*DG159+(1-EXP(-LN(2)/25))/(LN(2)/25)*Calculateur!DB160*Calculateur!DD160*VLOOKUP('Données projet'!$B$13,Paramètres!$A$1:$I$89,3,0)*0.475*44/12</f>
        <v>0.31967147241138899</v>
      </c>
      <c r="DH160" s="21">
        <f>EXP(-LN(2)/2)*DH159+(1-EXP(-LN(2)/2))/(LN(2)/2)*DB160*DE160*VLOOKUP('Données projet'!$B$13,Paramètres!$A$1:$I$89,3,0)*0.475*44/12</f>
        <v>6.8788514919297638E-19</v>
      </c>
      <c r="DI160" s="22">
        <f t="shared" si="175"/>
        <v>1.000549388847862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2.2737367544323206E-13</v>
      </c>
      <c r="DP160" s="17">
        <f>DO160*VLOOKUP('Données projet'!$B$14,Paramètres!$A$1:$I$89,3,0)*VLOOKUP('Données projet'!$B$14,Paramètres!$A$1:$I$89,5,0)</f>
        <v>1.4897523215040565E-13</v>
      </c>
      <c r="DQ160" s="13">
        <f t="shared" si="176"/>
        <v>2.136562777003313E-12</v>
      </c>
      <c r="DR160" s="20">
        <f t="shared" si="177"/>
        <v>3.9806453659427267E-12</v>
      </c>
      <c r="DS160" s="59">
        <f t="shared" si="125"/>
        <v>293.33333333333729</v>
      </c>
      <c r="DT160" s="59">
        <f ca="1">AVERAGE(OFFSET($DS$3,0,0,'Données projet'!$E$14+1,1))-AVERAGE(OFFSET($H$3,0,0,'Données projet'!$E$14+1,1))</f>
        <v>295.92103934364718</v>
      </c>
      <c r="DU160" s="59">
        <f t="shared" si="152"/>
        <v>304.84379909635476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0.36062874292003122</v>
      </c>
      <c r="EB160" s="21">
        <f>EXP(-LN(2)/25)*EB159+(1-EXP(-LN(2)/25))/(LN(2)/25)*Calculateur!DW160*Calculateur!DY160*VLOOKUP('Données projet'!$B$14,Paramètres!$A$1:$I$89,3,0)*0.475*44/12</f>
        <v>0.21144835345528368</v>
      </c>
      <c r="EC160" s="21">
        <f>EXP(-LN(2)/2)*EC159+(1-EXP(-LN(2)/2))/(LN(2)/2)*DW160*DZ160*VLOOKUP('Données projet'!$B$14,Paramètres!$A$1:$I$89,3,0)*0.475*44/12</f>
        <v>4.4118329300006126E-19</v>
      </c>
      <c r="ED160" s="22">
        <f t="shared" si="178"/>
        <v>0.5720770963753149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207.2913533618397</v>
      </c>
      <c r="EP160" s="59">
        <f t="shared" si="154"/>
        <v>230.81096055024483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0.55969595585662191</v>
      </c>
      <c r="EW160" s="21">
        <f>EXP(-LN(2)/25)*EW159+(1-EXP(-LN(2)/25))/(LN(2)/25)*Calculateur!ER160*Calculateur!ET160*VLOOKUP('Données projet'!$B$15,Paramètres!$A$1:$I$89,3,0)*0.475*44/12</f>
        <v>0.17830737844997521</v>
      </c>
      <c r="EX160" s="21">
        <f>EXP(-LN(2)/2)*EX159+(1-EXP(-LN(2)/2))/(LN(2)/2)*ER160*EU160*VLOOKUP('Données projet'!$B$15,Paramètres!$A$1:$I$89,3,0)*0.475*44/12</f>
        <v>2.2612302879907414E-19</v>
      </c>
      <c r="EY160" s="22">
        <f t="shared" si="181"/>
        <v>0.73800333430659715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319.22903094674564</v>
      </c>
      <c r="T161" s="59">
        <f t="shared" si="142"/>
        <v>254.58690973142848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0.7194370278850396</v>
      </c>
      <c r="AA161" s="21">
        <f>EXP(-LN(2)/25)*AA160+(1-EXP(-LN(2)/25))/(LN(2)/25)*Calculateur!V161*Calculateur!X161*VLOOKUP('Données projet'!$B$9,Paramètres!$A$1:$I$89,3,0)*0.475*44/12</f>
        <v>0.32066584848629959</v>
      </c>
      <c r="AB161" s="21">
        <f>EXP(-LN(2)/2)*AB160+(1-EXP(-LN(2)/2))/(LN(2)/2)*V161*Y161*VLOOKUP('Données projet'!$B$9,Paramètres!$A$1:$I$89,3,0)*0.475*44/12</f>
        <v>5.9864920332131776E-19</v>
      </c>
      <c r="AC161" s="22">
        <f t="shared" si="163"/>
        <v>1.0401028763713391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-1.9065282685915009E-13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544.48194192356823</v>
      </c>
      <c r="AO161" s="59">
        <f t="shared" si="144"/>
        <v>668.20427590250733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0.58192318470856086</v>
      </c>
      <c r="AV161" s="21">
        <f>EXP(-LN(2)/25)*AV160+(1-EXP(-LN(2)/25))/(LN(2)/25)*Calculateur!AQ161*Calculateur!AS161*VLOOKUP('Données projet'!$B$10,Paramètres!$A$1:$I$89,3,0)*0.475*44/12</f>
        <v>1.2253513096304172</v>
      </c>
      <c r="AW161" s="21">
        <f>EXP(-LN(2)/2)*AW160+(1-EXP(-LN(2)/2))/(LN(2)/2)*AQ161*AT161*VLOOKUP('Données projet'!$B$10,Paramètres!$A$1:$I$89,3,0)*0.475*44/12</f>
        <v>7.8159905656663992E-19</v>
      </c>
      <c r="AX161" s="21">
        <f t="shared" si="166"/>
        <v>1.807274494338978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405.7176439604217</v>
      </c>
      <c r="BJ161" s="59">
        <f t="shared" si="146"/>
        <v>278.21741231699929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0.57931564570241445</v>
      </c>
      <c r="BQ161" s="21">
        <f>EXP(-LN(2)/25)*BQ160+(1-EXP(-LN(2)/25))/(LN(2)/25)*Calculateur!BL161*Calculateur!BN161*VLOOKUP('Données projet'!$B$11,Paramètres!$A$1:$I$89,3,0)*0.475*44/12</f>
        <v>0.26929194192260569</v>
      </c>
      <c r="BR161" s="21">
        <f>EXP(-LN(2)/2)*BR160+(1-EXP(-LN(2)/2))/(LN(2)/2)*BL161*BO161*VLOOKUP('Données projet'!$B$11,Paramètres!$A$1:$I$89,3,0)*0.475*44/12</f>
        <v>4.6267420175800117E-19</v>
      </c>
      <c r="BS161" s="22">
        <f t="shared" si="169"/>
        <v>0.84860758762502009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-1.7053025658242404E-13</v>
      </c>
      <c r="CU161" s="17">
        <f>CT161*VLOOKUP('Données projet'!$B$13,Paramètres!$A$1:$I$89,3,0)*VLOOKUP('Données projet'!$B$13,Paramètres!$A$1:$I$89,5,0)</f>
        <v>-1.3567387213697657E-13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299.10536994156814</v>
      </c>
      <c r="CZ161" s="59">
        <f t="shared" si="150"/>
        <v>292.57799203101769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0.66752631578967592</v>
      </c>
      <c r="DG161" s="21">
        <f>EXP(-LN(2)/25)*DG160+(1-EXP(-LN(2)/25))/(LN(2)/25)*Calculateur!DB161*Calculateur!DD161*VLOOKUP('Données projet'!$B$13,Paramètres!$A$1:$I$89,3,0)*0.475*44/12</f>
        <v>0.31093003918750745</v>
      </c>
      <c r="DH161" s="21">
        <f>EXP(-LN(2)/2)*DH160+(1-EXP(-LN(2)/2))/(LN(2)/2)*DB161*DE161*VLOOKUP('Données projet'!$B$13,Paramètres!$A$1:$I$89,3,0)*0.475*44/12</f>
        <v>4.8640825367187354E-19</v>
      </c>
      <c r="DI161" s="22">
        <f t="shared" si="175"/>
        <v>0.97845635497718342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2.2737367544323206E-13</v>
      </c>
      <c r="DP161" s="17">
        <f>DO161*VLOOKUP('Données projet'!$B$14,Paramètres!$A$1:$I$89,3,0)*VLOOKUP('Données projet'!$B$14,Paramètres!$A$1:$I$89,5,0)</f>
        <v>1.4897523215040565E-13</v>
      </c>
      <c r="DQ161" s="13">
        <f t="shared" si="176"/>
        <v>2.136562777003313E-12</v>
      </c>
      <c r="DR161" s="20">
        <f t="shared" si="177"/>
        <v>3.9806453659427267E-12</v>
      </c>
      <c r="DS161" s="59">
        <f t="shared" si="125"/>
        <v>293.33333333333729</v>
      </c>
      <c r="DT161" s="59">
        <f ca="1">AVERAGE(OFFSET($DS$3,0,0,'Données projet'!$E$14+1,1))-AVERAGE(OFFSET($H$3,0,0,'Données projet'!$E$14+1,1))</f>
        <v>295.92103934364718</v>
      </c>
      <c r="DU161" s="59">
        <f t="shared" si="152"/>
        <v>304.84379909635476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0.35355703323318316</v>
      </c>
      <c r="EB161" s="21">
        <f>EXP(-LN(2)/25)*EB160+(1-EXP(-LN(2)/25))/(LN(2)/25)*Calculateur!DW161*Calculateur!DY161*VLOOKUP('Données projet'!$B$14,Paramètres!$A$1:$I$89,3,0)*0.475*44/12</f>
        <v>0.20566628711046331</v>
      </c>
      <c r="EC161" s="21">
        <f>EXP(-LN(2)/2)*EC160+(1-EXP(-LN(2)/2))/(LN(2)/2)*DW161*DZ161*VLOOKUP('Données projet'!$B$14,Paramètres!$A$1:$I$89,3,0)*0.475*44/12</f>
        <v>3.1196369822655481E-19</v>
      </c>
      <c r="ED161" s="22">
        <f t="shared" si="178"/>
        <v>0.55922332034364652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207.2913533618397</v>
      </c>
      <c r="EP161" s="59">
        <f t="shared" si="154"/>
        <v>230.81096055024483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0.54872065954309812</v>
      </c>
      <c r="EW161" s="21">
        <f>EXP(-LN(2)/25)*EW160+(1-EXP(-LN(2)/25))/(LN(2)/25)*Calculateur!ER161*Calculateur!ET161*VLOOKUP('Données projet'!$B$15,Paramètres!$A$1:$I$89,3,0)*0.475*44/12</f>
        <v>0.17343155380948314</v>
      </c>
      <c r="EX161" s="21">
        <f>EXP(-LN(2)/2)*EX160+(1-EXP(-LN(2)/2))/(LN(2)/2)*ER161*EU161*VLOOKUP('Données projet'!$B$15,Paramètres!$A$1:$I$89,3,0)*0.475*44/12</f>
        <v>1.5989312704626631E-19</v>
      </c>
      <c r="EY161" s="22">
        <f t="shared" si="181"/>
        <v>0.72215221335258128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319.22903094674564</v>
      </c>
      <c r="T162" s="59">
        <f t="shared" si="142"/>
        <v>254.58690973142848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0.70532930658147175</v>
      </c>
      <c r="AA162" s="21">
        <f>EXP(-LN(2)/25)*AA161+(1-EXP(-LN(2)/25))/(LN(2)/25)*Calculateur!V162*Calculateur!X162*VLOOKUP('Données projet'!$B$9,Paramètres!$A$1:$I$89,3,0)*0.475*44/12</f>
        <v>0.31189722399635766</v>
      </c>
      <c r="AB162" s="21">
        <f>EXP(-LN(2)/2)*AB161+(1-EXP(-LN(2)/2))/(LN(2)/2)*V162*Y162*VLOOKUP('Données projet'!$B$9,Paramètres!$A$1:$I$89,3,0)*0.475*44/12</f>
        <v>4.2330891122042809E-19</v>
      </c>
      <c r="AC162" s="22">
        <f t="shared" si="163"/>
        <v>1.0172265305778294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-1.9065282685915009E-13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544.48194192356823</v>
      </c>
      <c r="AO162" s="59">
        <f t="shared" si="144"/>
        <v>668.20427590250733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0.57051202599452144</v>
      </c>
      <c r="AV162" s="21">
        <f>EXP(-LN(2)/25)*AV161+(1-EXP(-LN(2)/25))/(LN(2)/25)*Calculateur!AQ162*Calculateur!AS162*VLOOKUP('Données projet'!$B$10,Paramètres!$A$1:$I$89,3,0)*0.475*44/12</f>
        <v>1.1918440136301487</v>
      </c>
      <c r="AW162" s="21">
        <f>EXP(-LN(2)/2)*AW161+(1-EXP(-LN(2)/2))/(LN(2)/2)*AQ162*AT162*VLOOKUP('Données projet'!$B$10,Paramètres!$A$1:$I$89,3,0)*0.475*44/12</f>
        <v>5.5267399306727903E-19</v>
      </c>
      <c r="AX162" s="21">
        <f t="shared" si="166"/>
        <v>1.7623560396246702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405.7176439604217</v>
      </c>
      <c r="BJ162" s="59">
        <f t="shared" si="146"/>
        <v>278.21741231699929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0.56795561923784377</v>
      </c>
      <c r="BQ162" s="21">
        <f>EXP(-LN(2)/25)*BQ161+(1-EXP(-LN(2)/25))/(LN(2)/25)*Calculateur!BL162*Calculateur!BN162*VLOOKUP('Données projet'!$B$11,Paramètres!$A$1:$I$89,3,0)*0.475*44/12</f>
        <v>0.26192813960928429</v>
      </c>
      <c r="BR162" s="21">
        <f>EXP(-LN(2)/2)*BR161+(1-EXP(-LN(2)/2))/(LN(2)/2)*BL162*BO162*VLOOKUP('Données projet'!$B$11,Paramètres!$A$1:$I$89,3,0)*0.475*44/12</f>
        <v>3.2716006554315548E-19</v>
      </c>
      <c r="BS162" s="22">
        <f t="shared" si="169"/>
        <v>0.82988375884712806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-1.7053025658242404E-13</v>
      </c>
      <c r="CU162" s="17">
        <f>CT162*VLOOKUP('Données projet'!$B$13,Paramètres!$A$1:$I$89,3,0)*VLOOKUP('Données projet'!$B$13,Paramètres!$A$1:$I$89,5,0)</f>
        <v>-1.3567387213697657E-13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299.10536994156814</v>
      </c>
      <c r="CZ162" s="59">
        <f t="shared" si="150"/>
        <v>292.57799203101769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0.65443653188789019</v>
      </c>
      <c r="DG162" s="21">
        <f>EXP(-LN(2)/25)*DG161+(1-EXP(-LN(2)/25))/(LN(2)/25)*Calculateur!DB162*Calculateur!DD162*VLOOKUP('Données projet'!$B$13,Paramètres!$A$1:$I$89,3,0)*0.475*44/12</f>
        <v>0.30242764091482494</v>
      </c>
      <c r="DH162" s="21">
        <f>EXP(-LN(2)/2)*DH161+(1-EXP(-LN(2)/2))/(LN(2)/2)*DB162*DE162*VLOOKUP('Données projet'!$B$13,Paramètres!$A$1:$I$89,3,0)*0.475*44/12</f>
        <v>3.4394257459648819E-19</v>
      </c>
      <c r="DI162" s="22">
        <f t="shared" si="175"/>
        <v>0.95686417280271518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2.2737367544323206E-13</v>
      </c>
      <c r="DP162" s="17">
        <f>DO162*VLOOKUP('Données projet'!$B$14,Paramètres!$A$1:$I$89,3,0)*VLOOKUP('Données projet'!$B$14,Paramètres!$A$1:$I$89,5,0)</f>
        <v>1.4897523215040565E-13</v>
      </c>
      <c r="DQ162" s="13">
        <f t="shared" si="176"/>
        <v>2.136562777003313E-12</v>
      </c>
      <c r="DR162" s="20">
        <f t="shared" si="177"/>
        <v>3.9806453659427267E-12</v>
      </c>
      <c r="DS162" s="59">
        <f t="shared" si="125"/>
        <v>293.33333333333729</v>
      </c>
      <c r="DT162" s="59">
        <f ca="1">AVERAGE(OFFSET($DS$3,0,0,'Données projet'!$E$14+1,1))-AVERAGE(OFFSET($H$3,0,0,'Données projet'!$E$14+1,1))</f>
        <v>295.92103934364718</v>
      </c>
      <c r="DU162" s="59">
        <f t="shared" si="152"/>
        <v>304.84379909635476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0.34662399545997719</v>
      </c>
      <c r="EB162" s="21">
        <f>EXP(-LN(2)/25)*EB161+(1-EXP(-LN(2)/25))/(LN(2)/25)*Calculateur!DW162*Calculateur!DY162*VLOOKUP('Données projet'!$B$14,Paramètres!$A$1:$I$89,3,0)*0.475*44/12</f>
        <v>0.2000423316739077</v>
      </c>
      <c r="EC162" s="21">
        <f>EXP(-LN(2)/2)*EC161+(1-EXP(-LN(2)/2))/(LN(2)/2)*DW162*DZ162*VLOOKUP('Données projet'!$B$14,Paramètres!$A$1:$I$89,3,0)*0.475*44/12</f>
        <v>2.2059164650003063E-19</v>
      </c>
      <c r="ED162" s="22">
        <f t="shared" si="178"/>
        <v>0.54666632713388486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207.2913533618397</v>
      </c>
      <c r="EP162" s="59">
        <f t="shared" si="154"/>
        <v>230.81096055024483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0.53796058209601272</v>
      </c>
      <c r="EW162" s="21">
        <f>EXP(-LN(2)/25)*EW161+(1-EXP(-LN(2)/25))/(LN(2)/25)*Calculateur!ER162*Calculateur!ET162*VLOOKUP('Données projet'!$B$15,Paramètres!$A$1:$I$89,3,0)*0.475*44/12</f>
        <v>0.16868905885019378</v>
      </c>
      <c r="EX162" s="21">
        <f>EXP(-LN(2)/2)*EX161+(1-EXP(-LN(2)/2))/(LN(2)/2)*ER162*EU162*VLOOKUP('Données projet'!$B$15,Paramètres!$A$1:$I$89,3,0)*0.475*44/12</f>
        <v>1.1306151439953707E-19</v>
      </c>
      <c r="EY162" s="22">
        <f t="shared" si="181"/>
        <v>0.70664964094620653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319.22903094674564</v>
      </c>
      <c r="T163" s="59">
        <f t="shared" si="142"/>
        <v>254.58690973142848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0.69149822908780656</v>
      </c>
      <c r="AA163" s="21">
        <f>EXP(-LN(2)/25)*AA162+(1-EXP(-LN(2)/25))/(LN(2)/25)*Calculateur!V163*Calculateur!X163*VLOOKUP('Données projet'!$B$9,Paramètres!$A$1:$I$89,3,0)*0.475*44/12</f>
        <v>0.30336837800421512</v>
      </c>
      <c r="AB163" s="21">
        <f>EXP(-LN(2)/2)*AB162+(1-EXP(-LN(2)/2))/(LN(2)/2)*V163*Y163*VLOOKUP('Données projet'!$B$9,Paramètres!$A$1:$I$89,3,0)*0.475*44/12</f>
        <v>2.9932460166065893E-19</v>
      </c>
      <c r="AC163" s="22">
        <f t="shared" si="163"/>
        <v>0.99486660709202168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-1.9065282685915009E-13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544.48194192356823</v>
      </c>
      <c r="AO163" s="59">
        <f t="shared" si="144"/>
        <v>668.20427590250733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0.55932463314274472</v>
      </c>
      <c r="AV163" s="21">
        <f>EXP(-LN(2)/25)*AV162+(1-EXP(-LN(2)/25))/(LN(2)/25)*Calculateur!AQ163*Calculateur!AS163*VLOOKUP('Données projet'!$B$10,Paramètres!$A$1:$I$89,3,0)*0.475*44/12</f>
        <v>1.1592529764010795</v>
      </c>
      <c r="AW163" s="21">
        <f>EXP(-LN(2)/2)*AW162+(1-EXP(-LN(2)/2))/(LN(2)/2)*AQ163*AT163*VLOOKUP('Données projet'!$B$10,Paramètres!$A$1:$I$89,3,0)*0.475*44/12</f>
        <v>3.9079952828331996E-19</v>
      </c>
      <c r="AX163" s="21">
        <f t="shared" si="166"/>
        <v>1.7185776095438241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405.7176439604217</v>
      </c>
      <c r="BJ163" s="59">
        <f t="shared" si="146"/>
        <v>278.21741231699929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0.55681835596331142</v>
      </c>
      <c r="BQ163" s="21">
        <f>EXP(-LN(2)/25)*BQ162+(1-EXP(-LN(2)/25))/(LN(2)/25)*Calculateur!BL163*Calculateur!BN163*VLOOKUP('Données projet'!$B$11,Paramètres!$A$1:$I$89,3,0)*0.475*44/12</f>
        <v>0.25476570085746619</v>
      </c>
      <c r="BR163" s="21">
        <f>EXP(-LN(2)/2)*BR162+(1-EXP(-LN(2)/2))/(LN(2)/2)*BL163*BO163*VLOOKUP('Données projet'!$B$11,Paramètres!$A$1:$I$89,3,0)*0.475*44/12</f>
        <v>2.3133710087900059E-19</v>
      </c>
      <c r="BS163" s="22">
        <f t="shared" si="169"/>
        <v>0.81158405682077761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-1.7053025658242404E-13</v>
      </c>
      <c r="CU163" s="17">
        <f>CT163*VLOOKUP('Données projet'!$B$13,Paramètres!$A$1:$I$89,3,0)*VLOOKUP('Données projet'!$B$13,Paramètres!$A$1:$I$89,5,0)</f>
        <v>-1.3567387213697657E-13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299.10536994156814</v>
      </c>
      <c r="CZ163" s="59">
        <f t="shared" si="150"/>
        <v>292.57799203101769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0.6416034306644387</v>
      </c>
      <c r="DG163" s="21">
        <f>EXP(-LN(2)/25)*DG162+(1-EXP(-LN(2)/25))/(LN(2)/25)*Calculateur!DB163*Calculateur!DD163*VLOOKUP('Données projet'!$B$13,Paramètres!$A$1:$I$89,3,0)*0.475*44/12</f>
        <v>0.29415774117003063</v>
      </c>
      <c r="DH163" s="21">
        <f>EXP(-LN(2)/2)*DH162+(1-EXP(-LN(2)/2))/(LN(2)/2)*DB163*DE163*VLOOKUP('Données projet'!$B$13,Paramètres!$A$1:$I$89,3,0)*0.475*44/12</f>
        <v>2.4320412683593677E-19</v>
      </c>
      <c r="DI163" s="22">
        <f t="shared" si="175"/>
        <v>0.93576117183446939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2.2737367544323206E-13</v>
      </c>
      <c r="DP163" s="17">
        <f>DO163*VLOOKUP('Données projet'!$B$14,Paramètres!$A$1:$I$89,3,0)*VLOOKUP('Données projet'!$B$14,Paramètres!$A$1:$I$89,5,0)</f>
        <v>1.4897523215040565E-13</v>
      </c>
      <c r="DQ163" s="13">
        <f t="shared" si="176"/>
        <v>2.136562777003313E-12</v>
      </c>
      <c r="DR163" s="20">
        <f t="shared" si="177"/>
        <v>3.9806453659427267E-12</v>
      </c>
      <c r="DS163" s="59">
        <f t="shared" si="125"/>
        <v>293.33333333333729</v>
      </c>
      <c r="DT163" s="59">
        <f ca="1">AVERAGE(OFFSET($DS$3,0,0,'Données projet'!$E$14+1,1))-AVERAGE(OFFSET($H$3,0,0,'Données projet'!$E$14+1,1))</f>
        <v>295.92103934364718</v>
      </c>
      <c r="DU163" s="59">
        <f t="shared" si="152"/>
        <v>304.84379909635476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0.33982691032876827</v>
      </c>
      <c r="EB163" s="21">
        <f>EXP(-LN(2)/25)*EB162+(1-EXP(-LN(2)/25))/(LN(2)/25)*Calculateur!DW163*Calculateur!DY163*VLOOKUP('Données projet'!$B$14,Paramètres!$A$1:$I$89,3,0)*0.475*44/12</f>
        <v>0.19457216359451568</v>
      </c>
      <c r="EC163" s="21">
        <f>EXP(-LN(2)/2)*EC162+(1-EXP(-LN(2)/2))/(LN(2)/2)*DW163*DZ163*VLOOKUP('Données projet'!$B$14,Paramètres!$A$1:$I$89,3,0)*0.475*44/12</f>
        <v>1.559818491132774E-19</v>
      </c>
      <c r="ED163" s="22">
        <f t="shared" si="178"/>
        <v>0.53439907392328401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207.2913533618397</v>
      </c>
      <c r="EP163" s="59">
        <f t="shared" si="154"/>
        <v>230.81096055024483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0.52741150320466545</v>
      </c>
      <c r="EW163" s="21">
        <f>EXP(-LN(2)/25)*EW162+(1-EXP(-LN(2)/25))/(LN(2)/25)*Calculateur!ER163*Calculateur!ET163*VLOOKUP('Données projet'!$B$15,Paramètres!$A$1:$I$89,3,0)*0.475*44/12</f>
        <v>0.16407624766496318</v>
      </c>
      <c r="EX163" s="21">
        <f>EXP(-LN(2)/2)*EX162+(1-EXP(-LN(2)/2))/(LN(2)/2)*ER163*EU163*VLOOKUP('Données projet'!$B$15,Paramètres!$A$1:$I$89,3,0)*0.475*44/12</f>
        <v>7.9946563523133153E-20</v>
      </c>
      <c r="EY163" s="22">
        <f t="shared" si="181"/>
        <v>0.69148775086962866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319.22903094674564</v>
      </c>
      <c r="T164" s="59">
        <f t="shared" si="142"/>
        <v>254.58690973142848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0.67793837058766782</v>
      </c>
      <c r="AA164" s="21">
        <f>EXP(-LN(2)/25)*AA163+(1-EXP(-LN(2)/25))/(LN(2)/25)*Calculateur!V164*Calculateur!X164*VLOOKUP('Données projet'!$B$9,Paramètres!$A$1:$I$89,3,0)*0.475*44/12</f>
        <v>0.29507275375424019</v>
      </c>
      <c r="AB164" s="21">
        <f>EXP(-LN(2)/2)*AB163+(1-EXP(-LN(2)/2))/(LN(2)/2)*V164*Y164*VLOOKUP('Données projet'!$B$9,Paramètres!$A$1:$I$89,3,0)*0.475*44/12</f>
        <v>2.1165445561021407E-19</v>
      </c>
      <c r="AC164" s="22">
        <f t="shared" si="163"/>
        <v>0.97301112434190795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-1.9065282685915009E-13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544.48194192356823</v>
      </c>
      <c r="AO164" s="59">
        <f t="shared" si="144"/>
        <v>668.20427590250733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0.54835661824115556</v>
      </c>
      <c r="AV164" s="21">
        <f>EXP(-LN(2)/25)*AV163+(1-EXP(-LN(2)/25))/(LN(2)/25)*Calculateur!AQ164*Calculateur!AS164*VLOOKUP('Données projet'!$B$10,Paramètres!$A$1:$I$89,3,0)*0.475*44/12</f>
        <v>1.1275531427989274</v>
      </c>
      <c r="AW164" s="21">
        <f>EXP(-LN(2)/2)*AW163+(1-EXP(-LN(2)/2))/(LN(2)/2)*AQ164*AT164*VLOOKUP('Données projet'!$B$10,Paramètres!$A$1:$I$89,3,0)*0.475*44/12</f>
        <v>2.7633699653363951E-19</v>
      </c>
      <c r="AX164" s="21">
        <f t="shared" si="166"/>
        <v>1.6759097610400828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405.7176439604217</v>
      </c>
      <c r="BJ164" s="59">
        <f t="shared" si="146"/>
        <v>278.21741231699929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0.5458994876285328</v>
      </c>
      <c r="BQ164" s="21">
        <f>EXP(-LN(2)/25)*BQ163+(1-EXP(-LN(2)/25))/(LN(2)/25)*Calculateur!BL164*Calculateur!BN164*VLOOKUP('Données projet'!$B$11,Paramètres!$A$1:$I$89,3,0)*0.475*44/12</f>
        <v>0.24779911936997284</v>
      </c>
      <c r="BR164" s="21">
        <f>EXP(-LN(2)/2)*BR163+(1-EXP(-LN(2)/2))/(LN(2)/2)*BL164*BO164*VLOOKUP('Données projet'!$B$11,Paramètres!$A$1:$I$89,3,0)*0.475*44/12</f>
        <v>1.6358003277157774E-19</v>
      </c>
      <c r="BS164" s="22">
        <f t="shared" si="169"/>
        <v>0.7936986069985057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-1.7053025658242404E-13</v>
      </c>
      <c r="CU164" s="17">
        <f>CT164*VLOOKUP('Données projet'!$B$13,Paramètres!$A$1:$I$89,3,0)*VLOOKUP('Données projet'!$B$13,Paramètres!$A$1:$I$89,5,0)</f>
        <v>-1.3567387213697657E-13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299.10536994156814</v>
      </c>
      <c r="CZ164" s="59">
        <f t="shared" si="150"/>
        <v>292.57799203101769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0.62902197872856025</v>
      </c>
      <c r="DG164" s="21">
        <f>EXP(-LN(2)/25)*DG163+(1-EXP(-LN(2)/25))/(LN(2)/25)*Calculateur!DB164*Calculateur!DD164*VLOOKUP('Données projet'!$B$13,Paramètres!$A$1:$I$89,3,0)*0.475*44/12</f>
        <v>0.28611398226865287</v>
      </c>
      <c r="DH164" s="21">
        <f>EXP(-LN(2)/2)*DH163+(1-EXP(-LN(2)/2))/(LN(2)/2)*DB164*DE164*VLOOKUP('Données projet'!$B$13,Paramètres!$A$1:$I$89,3,0)*0.475*44/12</f>
        <v>1.719712872982441E-19</v>
      </c>
      <c r="DI164" s="22">
        <f t="shared" si="175"/>
        <v>0.91513596099721317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2.2737367544323206E-13</v>
      </c>
      <c r="DP164" s="17">
        <f>DO164*VLOOKUP('Données projet'!$B$14,Paramètres!$A$1:$I$89,3,0)*VLOOKUP('Données projet'!$B$14,Paramètres!$A$1:$I$89,5,0)</f>
        <v>1.4897523215040565E-13</v>
      </c>
      <c r="DQ164" s="13">
        <f t="shared" si="176"/>
        <v>2.136562777003313E-12</v>
      </c>
      <c r="DR164" s="20">
        <f t="shared" si="177"/>
        <v>3.9806453659427267E-12</v>
      </c>
      <c r="DS164" s="59">
        <f t="shared" si="125"/>
        <v>293.33333333333729</v>
      </c>
      <c r="DT164" s="59">
        <f ca="1">AVERAGE(OFFSET($DS$3,0,0,'Données projet'!$E$14+1,1))-AVERAGE(OFFSET($H$3,0,0,'Données projet'!$E$14+1,1))</f>
        <v>295.92103934364718</v>
      </c>
      <c r="DU164" s="59">
        <f t="shared" si="152"/>
        <v>304.84379909635476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0.33316311189116982</v>
      </c>
      <c r="EB164" s="21">
        <f>EXP(-LN(2)/25)*EB163+(1-EXP(-LN(2)/25))/(LN(2)/25)*Calculateur!DW164*Calculateur!DY164*VLOOKUP('Données projet'!$B$14,Paramètres!$A$1:$I$89,3,0)*0.475*44/12</f>
        <v>0.18925157754891828</v>
      </c>
      <c r="EC164" s="21">
        <f>EXP(-LN(2)/2)*EC163+(1-EXP(-LN(2)/2))/(LN(2)/2)*DW164*DZ164*VLOOKUP('Données projet'!$B$14,Paramètres!$A$1:$I$89,3,0)*0.475*44/12</f>
        <v>1.1029582325001532E-19</v>
      </c>
      <c r="ED164" s="22">
        <f t="shared" si="178"/>
        <v>0.52241468944008806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207.2913533618397</v>
      </c>
      <c r="EP164" s="59">
        <f t="shared" si="154"/>
        <v>230.81096055024483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0.51706928531607477</v>
      </c>
      <c r="EW164" s="21">
        <f>EXP(-LN(2)/25)*EW163+(1-EXP(-LN(2)/25))/(LN(2)/25)*Calculateur!ER164*Calculateur!ET164*VLOOKUP('Données projet'!$B$15,Paramètres!$A$1:$I$89,3,0)*0.475*44/12</f>
        <v>0.1595895740441699</v>
      </c>
      <c r="EX164" s="21">
        <f>EXP(-LN(2)/2)*EX163+(1-EXP(-LN(2)/2))/(LN(2)/2)*ER164*EU164*VLOOKUP('Données projet'!$B$15,Paramètres!$A$1:$I$89,3,0)*0.475*44/12</f>
        <v>5.6530757199768534E-20</v>
      </c>
      <c r="EY164" s="22">
        <f t="shared" si="181"/>
        <v>0.67665885936024472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319.22903094674564</v>
      </c>
      <c r="T165" s="59">
        <f t="shared" si="142"/>
        <v>254.58690973142848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0.66464441264201979</v>
      </c>
      <c r="AA165" s="21">
        <f>EXP(-LN(2)/25)*AA164+(1-EXP(-LN(2)/25))/(LN(2)/25)*Calculateur!V165*Calculateur!X165*VLOOKUP('Données projet'!$B$9,Paramètres!$A$1:$I$89,3,0)*0.475*44/12</f>
        <v>0.28700397378562875</v>
      </c>
      <c r="AB165" s="21">
        <f>EXP(-LN(2)/2)*AB164+(1-EXP(-LN(2)/2))/(LN(2)/2)*V165*Y165*VLOOKUP('Données projet'!$B$9,Paramètres!$A$1:$I$89,3,0)*0.475*44/12</f>
        <v>1.4966230083032949E-19</v>
      </c>
      <c r="AC165" s="22">
        <f t="shared" si="163"/>
        <v>0.9516483864276486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-1.9065282685915009E-13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544.48194192356823</v>
      </c>
      <c r="AO165" s="59">
        <f t="shared" si="144"/>
        <v>668.20427590250733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0.53760367942195797</v>
      </c>
      <c r="AV165" s="21">
        <f>EXP(-LN(2)/25)*AV164+(1-EXP(-LN(2)/25))/(LN(2)/25)*Calculateur!AQ165*Calculateur!AS165*VLOOKUP('Données projet'!$B$10,Paramètres!$A$1:$I$89,3,0)*0.475*44/12</f>
        <v>1.0967201428136479</v>
      </c>
      <c r="AW165" s="21">
        <f>EXP(-LN(2)/2)*AW164+(1-EXP(-LN(2)/2))/(LN(2)/2)*AQ165*AT165*VLOOKUP('Données projet'!$B$10,Paramètres!$A$1:$I$89,3,0)*0.475*44/12</f>
        <v>1.9539976414165998E-19</v>
      </c>
      <c r="AX165" s="21">
        <f t="shared" si="166"/>
        <v>1.634323822235606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405.7176439604217</v>
      </c>
      <c r="BJ165" s="59">
        <f t="shared" si="146"/>
        <v>278.21741231699929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0.53519473164194709</v>
      </c>
      <c r="BQ165" s="21">
        <f>EXP(-LN(2)/25)*BQ164+(1-EXP(-LN(2)/25))/(LN(2)/25)*Calculateur!BL165*Calculateur!BN165*VLOOKUP('Données projet'!$B$11,Paramètres!$A$1:$I$89,3,0)*0.475*44/12</f>
        <v>0.24102303941961159</v>
      </c>
      <c r="BR165" s="21">
        <f>EXP(-LN(2)/2)*BR164+(1-EXP(-LN(2)/2))/(LN(2)/2)*BL165*BO165*VLOOKUP('Données projet'!$B$11,Paramètres!$A$1:$I$89,3,0)*0.475*44/12</f>
        <v>1.1566855043950029E-19</v>
      </c>
      <c r="BS165" s="22">
        <f t="shared" si="169"/>
        <v>0.77621777106155865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-1.7053025658242404E-13</v>
      </c>
      <c r="CU165" s="17">
        <f>CT165*VLOOKUP('Données projet'!$B$13,Paramètres!$A$1:$I$89,3,0)*VLOOKUP('Données projet'!$B$13,Paramètres!$A$1:$I$89,5,0)</f>
        <v>-1.3567387213697657E-13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299.10536994156814</v>
      </c>
      <c r="CZ165" s="59">
        <f t="shared" si="150"/>
        <v>292.57799203101769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0.61668724139121633</v>
      </c>
      <c r="DG165" s="21">
        <f>EXP(-LN(2)/25)*DG164+(1-EXP(-LN(2)/25))/(LN(2)/25)*Calculateur!DB165*Calculateur!DD165*VLOOKUP('Données projet'!$B$13,Paramètres!$A$1:$I$89,3,0)*0.475*44/12</f>
        <v>0.27829018037743614</v>
      </c>
      <c r="DH165" s="21">
        <f>EXP(-LN(2)/2)*DH164+(1-EXP(-LN(2)/2))/(LN(2)/2)*DB165*DE165*VLOOKUP('Données projet'!$B$13,Paramètres!$A$1:$I$89,3,0)*0.475*44/12</f>
        <v>1.2160206341796838E-19</v>
      </c>
      <c r="DI165" s="22">
        <f t="shared" si="175"/>
        <v>0.89497742176865247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2.2737367544323206E-13</v>
      </c>
      <c r="DP165" s="17">
        <f>DO165*VLOOKUP('Données projet'!$B$14,Paramètres!$A$1:$I$89,3,0)*VLOOKUP('Données projet'!$B$14,Paramètres!$A$1:$I$89,5,0)</f>
        <v>1.4897523215040565E-13</v>
      </c>
      <c r="DQ165" s="13">
        <f t="shared" si="176"/>
        <v>2.136562777003313E-12</v>
      </c>
      <c r="DR165" s="20">
        <f t="shared" si="177"/>
        <v>3.9806453659427267E-12</v>
      </c>
      <c r="DS165" s="59">
        <f t="shared" si="125"/>
        <v>293.33333333333729</v>
      </c>
      <c r="DT165" s="59">
        <f ca="1">AVERAGE(OFFSET($DS$3,0,0,'Données projet'!$E$14+1,1))-AVERAGE(OFFSET($H$3,0,0,'Données projet'!$E$14+1,1))</f>
        <v>295.92103934364718</v>
      </c>
      <c r="DU165" s="59">
        <f t="shared" si="152"/>
        <v>304.84379909635476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0.32662998647641694</v>
      </c>
      <c r="EB165" s="21">
        <f>EXP(-LN(2)/25)*EB164+(1-EXP(-LN(2)/25))/(LN(2)/25)*Calculateur!DW165*Calculateur!DY165*VLOOKUP('Données projet'!$B$14,Paramètres!$A$1:$I$89,3,0)*0.475*44/12</f>
        <v>0.18407648320853517</v>
      </c>
      <c r="EC165" s="21">
        <f>EXP(-LN(2)/2)*EC164+(1-EXP(-LN(2)/2))/(LN(2)/2)*DW165*DZ165*VLOOKUP('Données projet'!$B$14,Paramètres!$A$1:$I$89,3,0)*0.475*44/12</f>
        <v>7.7990924556638702E-20</v>
      </c>
      <c r="ED165" s="22">
        <f t="shared" si="178"/>
        <v>0.51070646968495215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207.2913533618397</v>
      </c>
      <c r="EP165" s="59">
        <f t="shared" si="154"/>
        <v>230.81096055024483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0.50692987201214923</v>
      </c>
      <c r="EW165" s="21">
        <f>EXP(-LN(2)/25)*EW164+(1-EXP(-LN(2)/25))/(LN(2)/25)*Calculateur!ER165*Calculateur!ET165*VLOOKUP('Données projet'!$B$15,Paramètres!$A$1:$I$89,3,0)*0.475*44/12</f>
        <v>0.15522558874948111</v>
      </c>
      <c r="EX165" s="21">
        <f>EXP(-LN(2)/2)*EX164+(1-EXP(-LN(2)/2))/(LN(2)/2)*ER165*EU165*VLOOKUP('Données projet'!$B$15,Paramètres!$A$1:$I$89,3,0)*0.475*44/12</f>
        <v>3.9973281761566577E-20</v>
      </c>
      <c r="EY165" s="22">
        <f t="shared" si="181"/>
        <v>0.66215546076163034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319.22903094674564</v>
      </c>
      <c r="T166" s="59">
        <f t="shared" si="142"/>
        <v>254.58690973142848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0.6516111411031722</v>
      </c>
      <c r="AA166" s="21">
        <f>EXP(-LN(2)/25)*AA165+(1-EXP(-LN(2)/25))/(LN(2)/25)*Calculateur!V166*Calculateur!X166*VLOOKUP('Données projet'!$B$9,Paramètres!$A$1:$I$89,3,0)*0.475*44/12</f>
        <v>0.27915583502957769</v>
      </c>
      <c r="AB166" s="21">
        <f>EXP(-LN(2)/2)*AB165+(1-EXP(-LN(2)/2))/(LN(2)/2)*V166*Y166*VLOOKUP('Données projet'!$B$9,Paramètres!$A$1:$I$89,3,0)*0.475*44/12</f>
        <v>1.0582722780510705E-19</v>
      </c>
      <c r="AC166" s="22">
        <f t="shared" si="163"/>
        <v>0.93076697613274995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-1.9065282685915009E-13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544.48194192356823</v>
      </c>
      <c r="AO166" s="59">
        <f t="shared" si="144"/>
        <v>668.20427590250733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0.5270615991743598</v>
      </c>
      <c r="AV166" s="21">
        <f>EXP(-LN(2)/25)*AV165+(1-EXP(-LN(2)/25))/(LN(2)/25)*Calculateur!AQ166*Calculateur!AS166*VLOOKUP('Données projet'!$B$10,Paramètres!$A$1:$I$89,3,0)*0.475*44/12</f>
        <v>1.066730272834403</v>
      </c>
      <c r="AW166" s="21">
        <f>EXP(-LN(2)/2)*AW165+(1-EXP(-LN(2)/2))/(LN(2)/2)*AQ166*AT166*VLOOKUP('Données projet'!$B$10,Paramètres!$A$1:$I$89,3,0)*0.475*44/12</f>
        <v>1.3816849826681976E-19</v>
      </c>
      <c r="AX166" s="21">
        <f t="shared" si="166"/>
        <v>1.5937918720087629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405.7176439604217</v>
      </c>
      <c r="BJ166" s="59">
        <f t="shared" si="146"/>
        <v>278.21741231699929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0.52469988939100187</v>
      </c>
      <c r="BQ166" s="21">
        <f>EXP(-LN(2)/25)*BQ165+(1-EXP(-LN(2)/25))/(LN(2)/25)*Calculateur!BL166*Calculateur!BN166*VLOOKUP('Données projet'!$B$11,Paramètres!$A$1:$I$89,3,0)*0.475*44/12</f>
        <v>0.23443225173183152</v>
      </c>
      <c r="BR166" s="21">
        <f>EXP(-LN(2)/2)*BR165+(1-EXP(-LN(2)/2))/(LN(2)/2)*BL166*BO166*VLOOKUP('Données projet'!$B$11,Paramètres!$A$1:$I$89,3,0)*0.475*44/12</f>
        <v>8.179001638578887E-20</v>
      </c>
      <c r="BS166" s="22">
        <f t="shared" si="169"/>
        <v>0.75913214112283334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-1.7053025658242404E-13</v>
      </c>
      <c r="CU166" s="17">
        <f>CT166*VLOOKUP('Données projet'!$B$13,Paramètres!$A$1:$I$89,3,0)*VLOOKUP('Données projet'!$B$13,Paramètres!$A$1:$I$89,5,0)</f>
        <v>-1.3567387213697657E-13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299.10536994156814</v>
      </c>
      <c r="CZ166" s="59">
        <f t="shared" si="150"/>
        <v>292.57799203101769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0.60459438072961091</v>
      </c>
      <c r="DG166" s="21">
        <f>EXP(-LN(2)/25)*DG165+(1-EXP(-LN(2)/25))/(LN(2)/25)*Calculateur!DB166*Calculateur!DD166*VLOOKUP('Données projet'!$B$13,Paramètres!$A$1:$I$89,3,0)*0.475*44/12</f>
        <v>0.27068032076037057</v>
      </c>
      <c r="DH166" s="21">
        <f>EXP(-LN(2)/2)*DH165+(1-EXP(-LN(2)/2))/(LN(2)/2)*DB166*DE166*VLOOKUP('Données projet'!$B$13,Paramètres!$A$1:$I$89,3,0)*0.475*44/12</f>
        <v>8.5985643649122048E-20</v>
      </c>
      <c r="DI166" s="22">
        <f t="shared" si="175"/>
        <v>0.87527470148998154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2.2737367544323206E-13</v>
      </c>
      <c r="DP166" s="17">
        <f>DO166*VLOOKUP('Données projet'!$B$14,Paramètres!$A$1:$I$89,3,0)*VLOOKUP('Données projet'!$B$14,Paramètres!$A$1:$I$89,5,0)</f>
        <v>1.4897523215040565E-13</v>
      </c>
      <c r="DQ166" s="13">
        <f t="shared" si="176"/>
        <v>2.136562777003313E-12</v>
      </c>
      <c r="DR166" s="20">
        <f t="shared" si="177"/>
        <v>3.9806453659427267E-12</v>
      </c>
      <c r="DS166" s="59">
        <f t="shared" si="125"/>
        <v>293.33333333333729</v>
      </c>
      <c r="DT166" s="59">
        <f ca="1">AVERAGE(OFFSET($DS$3,0,0,'Données projet'!$E$14+1,1))-AVERAGE(OFFSET($H$3,0,0,'Données projet'!$E$14+1,1))</f>
        <v>295.92103934364718</v>
      </c>
      <c r="DU166" s="59">
        <f t="shared" si="152"/>
        <v>304.84379909635476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0.32022497166623437</v>
      </c>
      <c r="EB166" s="21">
        <f>EXP(-LN(2)/25)*EB165+(1-EXP(-LN(2)/25))/(LN(2)/25)*Calculateur!DW166*Calculateur!DY166*VLOOKUP('Données projet'!$B$14,Paramètres!$A$1:$I$89,3,0)*0.475*44/12</f>
        <v>0.17904290209503623</v>
      </c>
      <c r="EC166" s="21">
        <f>EXP(-LN(2)/2)*EC165+(1-EXP(-LN(2)/2))/(LN(2)/2)*DW166*DZ166*VLOOKUP('Données projet'!$B$14,Paramètres!$A$1:$I$89,3,0)*0.475*44/12</f>
        <v>5.5147911625007658E-20</v>
      </c>
      <c r="ED166" s="22">
        <f t="shared" si="178"/>
        <v>0.49926787376127058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207.2913533618397</v>
      </c>
      <c r="EP166" s="59">
        <f t="shared" si="154"/>
        <v>230.81096055024483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0.49698928641868229</v>
      </c>
      <c r="EW166" s="21">
        <f>EXP(-LN(2)/25)*EW165+(1-EXP(-LN(2)/25))/(LN(2)/25)*Calculateur!ER166*Calculateur!ET166*VLOOKUP('Données projet'!$B$15,Paramètres!$A$1:$I$89,3,0)*0.475*44/12</f>
        <v>0.15098093686216763</v>
      </c>
      <c r="EX166" s="21">
        <f>EXP(-LN(2)/2)*EX165+(1-EXP(-LN(2)/2))/(LN(2)/2)*ER166*EU166*VLOOKUP('Données projet'!$B$15,Paramètres!$A$1:$I$89,3,0)*0.475*44/12</f>
        <v>2.8265378599884267E-20</v>
      </c>
      <c r="EY166" s="22">
        <f t="shared" si="181"/>
        <v>0.64797022328084997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319.22903094674564</v>
      </c>
      <c r="T167" s="59">
        <f t="shared" si="142"/>
        <v>254.58690973142848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0.63883344406969078</v>
      </c>
      <c r="AA167" s="21">
        <f>EXP(-LN(2)/25)*AA166+(1-EXP(-LN(2)/25))/(LN(2)/25)*Calculateur!V167*Calculateur!X167*VLOOKUP('Données projet'!$B$9,Paramètres!$A$1:$I$89,3,0)*0.475*44/12</f>
        <v>0.27152230404052652</v>
      </c>
      <c r="AB167" s="21">
        <f>EXP(-LN(2)/2)*AB166+(1-EXP(-LN(2)/2))/(LN(2)/2)*V167*Y167*VLOOKUP('Données projet'!$B$9,Paramètres!$A$1:$I$89,3,0)*0.475*44/12</f>
        <v>7.4831150415164756E-20</v>
      </c>
      <c r="AC167" s="22">
        <f t="shared" si="163"/>
        <v>0.91035574811021736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-1.9065282685915009E-13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544.48194192356823</v>
      </c>
      <c r="AO167" s="59">
        <f t="shared" si="144"/>
        <v>668.20427590250733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0.51672624269038303</v>
      </c>
      <c r="AV167" s="21">
        <f>EXP(-LN(2)/25)*AV166+(1-EXP(-LN(2)/25))/(LN(2)/25)*Calculateur!AQ167*Calculateur!AS167*VLOOKUP('Données projet'!$B$10,Paramètres!$A$1:$I$89,3,0)*0.475*44/12</f>
        <v>1.0375604774268392</v>
      </c>
      <c r="AW167" s="21">
        <f>EXP(-LN(2)/2)*AW166+(1-EXP(-LN(2)/2))/(LN(2)/2)*AQ167*AT167*VLOOKUP('Données projet'!$B$10,Paramètres!$A$1:$I$89,3,0)*0.475*44/12</f>
        <v>9.769988207082999E-20</v>
      </c>
      <c r="AX167" s="21">
        <f t="shared" si="166"/>
        <v>1.5542867201172221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405.7176439604217</v>
      </c>
      <c r="BJ167" s="59">
        <f t="shared" si="146"/>
        <v>278.21741231699929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0.514410844595376</v>
      </c>
      <c r="BQ167" s="21">
        <f>EXP(-LN(2)/25)*BQ166+(1-EXP(-LN(2)/25))/(LN(2)/25)*Calculateur!BL167*Calculateur!BN167*VLOOKUP('Données projet'!$B$11,Paramètres!$A$1:$I$89,3,0)*0.475*44/12</f>
        <v>0.22802168947996826</v>
      </c>
      <c r="BR167" s="21">
        <f>EXP(-LN(2)/2)*BR166+(1-EXP(-LN(2)/2))/(LN(2)/2)*BL167*BO167*VLOOKUP('Données projet'!$B$11,Paramètres!$A$1:$I$89,3,0)*0.475*44/12</f>
        <v>5.7834275219750146E-20</v>
      </c>
      <c r="BS167" s="22">
        <f t="shared" si="169"/>
        <v>0.74243253407534426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-1.7053025658242404E-13</v>
      </c>
      <c r="CU167" s="17">
        <f>CT167*VLOOKUP('Données projet'!$B$13,Paramètres!$A$1:$I$89,3,0)*VLOOKUP('Données projet'!$B$13,Paramètres!$A$1:$I$89,5,0)</f>
        <v>-1.3567387213697657E-13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299.10536994156814</v>
      </c>
      <c r="CZ167" s="59">
        <f t="shared" si="150"/>
        <v>292.57799203101769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0.59273865368966283</v>
      </c>
      <c r="DG167" s="21">
        <f>EXP(-LN(2)/25)*DG166+(1-EXP(-LN(2)/25))/(LN(2)/25)*Calculateur!DB167*Calculateur!DD167*VLOOKUP('Données projet'!$B$13,Paramètres!$A$1:$I$89,3,0)*0.475*44/12</f>
        <v>0.26327855315471882</v>
      </c>
      <c r="DH167" s="21">
        <f>EXP(-LN(2)/2)*DH166+(1-EXP(-LN(2)/2))/(LN(2)/2)*DB167*DE167*VLOOKUP('Données projet'!$B$13,Paramètres!$A$1:$I$89,3,0)*0.475*44/12</f>
        <v>6.0801031708984192E-20</v>
      </c>
      <c r="DI167" s="22">
        <f t="shared" si="175"/>
        <v>0.85601720684438165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2.2737367544323206E-13</v>
      </c>
      <c r="DP167" s="17">
        <f>DO167*VLOOKUP('Données projet'!$B$14,Paramètres!$A$1:$I$89,3,0)*VLOOKUP('Données projet'!$B$14,Paramètres!$A$1:$I$89,5,0)</f>
        <v>1.4897523215040565E-13</v>
      </c>
      <c r="DQ167" s="13">
        <f t="shared" si="176"/>
        <v>2.136562777003313E-12</v>
      </c>
      <c r="DR167" s="20">
        <f t="shared" si="177"/>
        <v>3.9806453659427267E-12</v>
      </c>
      <c r="DS167" s="59">
        <f t="shared" si="125"/>
        <v>293.33333333333729</v>
      </c>
      <c r="DT167" s="59">
        <f ca="1">AVERAGE(OFFSET($DS$3,0,0,'Données projet'!$E$14+1,1))-AVERAGE(OFFSET($H$3,0,0,'Données projet'!$E$14+1,1))</f>
        <v>295.92103934364718</v>
      </c>
      <c r="DU167" s="59">
        <f t="shared" si="152"/>
        <v>304.84379909635476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0.31394555528980617</v>
      </c>
      <c r="EB167" s="21">
        <f>EXP(-LN(2)/25)*EB166+(1-EXP(-LN(2)/25))/(LN(2)/25)*Calculateur!DW167*Calculateur!DY167*VLOOKUP('Données projet'!$B$14,Paramètres!$A$1:$I$89,3,0)*0.475*44/12</f>
        <v>0.17414696452179046</v>
      </c>
      <c r="EC167" s="21">
        <f>EXP(-LN(2)/2)*EC166+(1-EXP(-LN(2)/2))/(LN(2)/2)*DW167*DZ167*VLOOKUP('Données projet'!$B$14,Paramètres!$A$1:$I$89,3,0)*0.475*44/12</f>
        <v>3.8995462278319351E-20</v>
      </c>
      <c r="ED167" s="22">
        <f t="shared" si="178"/>
        <v>0.48809251981159663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207.2913533618397</v>
      </c>
      <c r="EP167" s="59">
        <f t="shared" si="154"/>
        <v>230.81096055024483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0.48724362964554468</v>
      </c>
      <c r="EW167" s="21">
        <f>EXP(-LN(2)/25)*EW166+(1-EXP(-LN(2)/25))/(LN(2)/25)*Calculateur!ER167*Calculateur!ET167*VLOOKUP('Données projet'!$B$15,Paramètres!$A$1:$I$89,3,0)*0.475*44/12</f>
        <v>0.14685235520392925</v>
      </c>
      <c r="EX167" s="21">
        <f>EXP(-LN(2)/2)*EX166+(1-EXP(-LN(2)/2))/(LN(2)/2)*ER167*EU167*VLOOKUP('Données projet'!$B$15,Paramètres!$A$1:$I$89,3,0)*0.475*44/12</f>
        <v>1.9986640880783288E-20</v>
      </c>
      <c r="EY167" s="22">
        <f t="shared" si="181"/>
        <v>0.63409598484947394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319.22903094674564</v>
      </c>
      <c r="T168" s="59">
        <f t="shared" si="142"/>
        <v>254.58690973142848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0.62630630988141034</v>
      </c>
      <c r="AA168" s="21">
        <f>EXP(-LN(2)/25)*AA167+(1-EXP(-LN(2)/25))/(LN(2)/25)*Calculateur!V168*Calculateur!X168*VLOOKUP('Données projet'!$B$9,Paramètres!$A$1:$I$89,3,0)*0.475*44/12</f>
        <v>0.26409751235780093</v>
      </c>
      <c r="AB168" s="21">
        <f>EXP(-LN(2)/2)*AB167+(1-EXP(-LN(2)/2))/(LN(2)/2)*V168*Y168*VLOOKUP('Données projet'!$B$9,Paramètres!$A$1:$I$89,3,0)*0.475*44/12</f>
        <v>5.2913613902553535E-20</v>
      </c>
      <c r="AC168" s="22">
        <f t="shared" si="163"/>
        <v>0.89040382223921122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-1.9065282685915009E-13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544.48194192356823</v>
      </c>
      <c r="AO168" s="59">
        <f t="shared" si="144"/>
        <v>668.20427590250733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0.50659355624311198</v>
      </c>
      <c r="AV168" s="21">
        <f>EXP(-LN(2)/25)*AV167+(1-EXP(-LN(2)/25))/(LN(2)/25)*Calculateur!AQ168*Calculateur!AS168*VLOOKUP('Données projet'!$B$10,Paramètres!$A$1:$I$89,3,0)*0.475*44/12</f>
        <v>1.0091883316086681</v>
      </c>
      <c r="AW168" s="21">
        <f>EXP(-LN(2)/2)*AW167+(1-EXP(-LN(2)/2))/(LN(2)/2)*AQ168*AT168*VLOOKUP('Données projet'!$B$10,Paramètres!$A$1:$I$89,3,0)*0.475*44/12</f>
        <v>6.9084249133409878E-20</v>
      </c>
      <c r="AX168" s="21">
        <f t="shared" si="166"/>
        <v>1.5157818878517801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405.7176439604217</v>
      </c>
      <c r="BJ168" s="59">
        <f t="shared" si="146"/>
        <v>278.21741231699929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0.5043235616924947</v>
      </c>
      <c r="BQ168" s="21">
        <f>EXP(-LN(2)/25)*BQ167+(1-EXP(-LN(2)/25))/(LN(2)/25)*Calculateur!BL168*Calculateur!BN168*VLOOKUP('Données projet'!$B$11,Paramètres!$A$1:$I$89,3,0)*0.475*44/12</f>
        <v>0.22178642438999902</v>
      </c>
      <c r="BR168" s="21">
        <f>EXP(-LN(2)/2)*BR167+(1-EXP(-LN(2)/2))/(LN(2)/2)*BL168*BO168*VLOOKUP('Données projet'!$B$11,Paramètres!$A$1:$I$89,3,0)*0.475*44/12</f>
        <v>4.0895008192894435E-20</v>
      </c>
      <c r="BS168" s="22">
        <f t="shared" si="169"/>
        <v>0.72610998608249377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-1.7053025658242404E-13</v>
      </c>
      <c r="CU168" s="17">
        <f>CT168*VLOOKUP('Données projet'!$B$13,Paramètres!$A$1:$I$89,3,0)*VLOOKUP('Données projet'!$B$13,Paramètres!$A$1:$I$89,5,0)</f>
        <v>-1.3567387213697657E-13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299.10536994156814</v>
      </c>
      <c r="CZ168" s="59">
        <f t="shared" si="150"/>
        <v>292.57799203101769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0.58111541022568869</v>
      </c>
      <c r="DG168" s="21">
        <f>EXP(-LN(2)/25)*DG167+(1-EXP(-LN(2)/25))/(LN(2)/25)*Calculateur!DB168*Calculateur!DD168*VLOOKUP('Données projet'!$B$13,Paramètres!$A$1:$I$89,3,0)*0.475*44/12</f>
        <v>0.25607918727348566</v>
      </c>
      <c r="DH168" s="21">
        <f>EXP(-LN(2)/2)*DH167+(1-EXP(-LN(2)/2))/(LN(2)/2)*DB168*DE168*VLOOKUP('Données projet'!$B$13,Paramètres!$A$1:$I$89,3,0)*0.475*44/12</f>
        <v>4.2992821824561024E-20</v>
      </c>
      <c r="DI168" s="22">
        <f t="shared" si="175"/>
        <v>0.83719459749917435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2.2737367544323206E-13</v>
      </c>
      <c r="DP168" s="17">
        <f>DO168*VLOOKUP('Données projet'!$B$14,Paramètres!$A$1:$I$89,3,0)*VLOOKUP('Données projet'!$B$14,Paramètres!$A$1:$I$89,5,0)</f>
        <v>1.4897523215040565E-13</v>
      </c>
      <c r="DQ168" s="13">
        <f t="shared" si="176"/>
        <v>2.136562777003313E-12</v>
      </c>
      <c r="DR168" s="20">
        <f t="shared" si="177"/>
        <v>3.9806453659427267E-12</v>
      </c>
      <c r="DS168" s="59">
        <f t="shared" si="125"/>
        <v>293.33333333333729</v>
      </c>
      <c r="DT168" s="59">
        <f ca="1">AVERAGE(OFFSET($DS$3,0,0,'Données projet'!$E$14+1,1))-AVERAGE(OFFSET($H$3,0,0,'Données projet'!$E$14+1,1))</f>
        <v>295.92103934364718</v>
      </c>
      <c r="DU168" s="59">
        <f t="shared" si="152"/>
        <v>304.84379909635476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0.30778927443845394</v>
      </c>
      <c r="EB168" s="21">
        <f>EXP(-LN(2)/25)*EB167+(1-EXP(-LN(2)/25))/(LN(2)/25)*Calculateur!DW168*Calculateur!DY168*VLOOKUP('Données projet'!$B$14,Paramètres!$A$1:$I$89,3,0)*0.475*44/12</f>
        <v>0.16938490661895125</v>
      </c>
      <c r="EC168" s="21">
        <f>EXP(-LN(2)/2)*EC167+(1-EXP(-LN(2)/2))/(LN(2)/2)*DW168*DZ168*VLOOKUP('Données projet'!$B$14,Paramètres!$A$1:$I$89,3,0)*0.475*44/12</f>
        <v>2.7573955812503829E-20</v>
      </c>
      <c r="ED168" s="22">
        <f t="shared" si="178"/>
        <v>0.47717418105740517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207.2913533618397</v>
      </c>
      <c r="EP168" s="59">
        <f t="shared" si="154"/>
        <v>230.81096055024483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0.47768907925746462</v>
      </c>
      <c r="EW168" s="21">
        <f>EXP(-LN(2)/25)*EW167+(1-EXP(-LN(2)/25))/(LN(2)/25)*Calculateur!ER168*Calculateur!ET168*VLOOKUP('Données projet'!$B$15,Paramètres!$A$1:$I$89,3,0)*0.475*44/12</f>
        <v>0.14283666982824808</v>
      </c>
      <c r="EX168" s="21">
        <f>EXP(-LN(2)/2)*EX167+(1-EXP(-LN(2)/2))/(LN(2)/2)*ER168*EU168*VLOOKUP('Données projet'!$B$15,Paramètres!$A$1:$I$89,3,0)*0.475*44/12</f>
        <v>1.4132689299942134E-20</v>
      </c>
      <c r="EY168" s="22">
        <f t="shared" si="181"/>
        <v>0.62052574908571267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319.22903094674564</v>
      </c>
      <c r="T169" s="59">
        <f t="shared" si="142"/>
        <v>254.58690973142848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0.61402482515376466</v>
      </c>
      <c r="AA169" s="21">
        <f>EXP(-LN(2)/25)*AA168+(1-EXP(-LN(2)/25))/(LN(2)/25)*Calculateur!V169*Calculateur!X169*VLOOKUP('Données projet'!$B$9,Paramètres!$A$1:$I$89,3,0)*0.475*44/12</f>
        <v>0.25687575199409229</v>
      </c>
      <c r="AB169" s="21">
        <f>EXP(-LN(2)/2)*AB168+(1-EXP(-LN(2)/2))/(LN(2)/2)*V169*Y169*VLOOKUP('Données projet'!$B$9,Paramètres!$A$1:$I$89,3,0)*0.475*44/12</f>
        <v>3.7415575207582384E-20</v>
      </c>
      <c r="AC169" s="22">
        <f t="shared" si="163"/>
        <v>0.87090057714785696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-1.9065282685915009E-13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544.48194192356823</v>
      </c>
      <c r="AO169" s="59">
        <f t="shared" si="144"/>
        <v>668.20427590250733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0.49665956559674346</v>
      </c>
      <c r="AV169" s="21">
        <f>EXP(-LN(2)/25)*AV168+(1-EXP(-LN(2)/25))/(LN(2)/25)*Calculateur!AQ169*Calculateur!AS169*VLOOKUP('Données projet'!$B$10,Paramètres!$A$1:$I$89,3,0)*0.475*44/12</f>
        <v>0.98159202360992115</v>
      </c>
      <c r="AW169" s="21">
        <f>EXP(-LN(2)/2)*AW168+(1-EXP(-LN(2)/2))/(LN(2)/2)*AQ169*AT169*VLOOKUP('Données projet'!$B$10,Paramètres!$A$1:$I$89,3,0)*0.475*44/12</f>
        <v>4.8849941035414995E-20</v>
      </c>
      <c r="AX169" s="21">
        <f t="shared" si="166"/>
        <v>1.4782515892066646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405.7176439604217</v>
      </c>
      <c r="BJ169" s="59">
        <f t="shared" si="146"/>
        <v>278.21741231699929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0.49443408425470387</v>
      </c>
      <c r="BQ169" s="21">
        <f>EXP(-LN(2)/25)*BQ168+(1-EXP(-LN(2)/25))/(LN(2)/25)*Calculateur!BL169*Calculateur!BN169*VLOOKUP('Données projet'!$B$11,Paramètres!$A$1:$I$89,3,0)*0.475*44/12</f>
        <v>0.21572166295181333</v>
      </c>
      <c r="BR169" s="21">
        <f>EXP(-LN(2)/2)*BR168+(1-EXP(-LN(2)/2))/(LN(2)/2)*BL169*BO169*VLOOKUP('Données projet'!$B$11,Paramètres!$A$1:$I$89,3,0)*0.475*44/12</f>
        <v>2.8917137609875073E-20</v>
      </c>
      <c r="BS169" s="22">
        <f t="shared" si="169"/>
        <v>0.7101557472065172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-1.7053025658242404E-13</v>
      </c>
      <c r="CU169" s="17">
        <f>CT169*VLOOKUP('Données projet'!$B$13,Paramètres!$A$1:$I$89,3,0)*VLOOKUP('Données projet'!$B$13,Paramètres!$A$1:$I$89,5,0)</f>
        <v>-1.3567387213697657E-13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299.10536994156814</v>
      </c>
      <c r="CZ169" s="59">
        <f t="shared" si="150"/>
        <v>292.57799203101769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0.56972009147656455</v>
      </c>
      <c r="DG169" s="21">
        <f>EXP(-LN(2)/25)*DG168+(1-EXP(-LN(2)/25))/(LN(2)/25)*Calculateur!DB169*Calculateur!DD169*VLOOKUP('Données projet'!$B$13,Paramètres!$A$1:$I$89,3,0)*0.475*44/12</f>
        <v>0.24907668843087302</v>
      </c>
      <c r="DH169" s="21">
        <f>EXP(-LN(2)/2)*DH168+(1-EXP(-LN(2)/2))/(LN(2)/2)*DB169*DE169*VLOOKUP('Données projet'!$B$13,Paramètres!$A$1:$I$89,3,0)*0.475*44/12</f>
        <v>3.0400515854492096E-20</v>
      </c>
      <c r="DI169" s="22">
        <f t="shared" si="175"/>
        <v>0.8187967799074376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2.2737367544323206E-13</v>
      </c>
      <c r="DP169" s="17">
        <f>DO169*VLOOKUP('Données projet'!$B$14,Paramètres!$A$1:$I$89,3,0)*VLOOKUP('Données projet'!$B$14,Paramètres!$A$1:$I$89,5,0)</f>
        <v>1.4897523215040565E-13</v>
      </c>
      <c r="DQ169" s="13">
        <f t="shared" si="176"/>
        <v>2.136562777003313E-12</v>
      </c>
      <c r="DR169" s="20">
        <f t="shared" si="177"/>
        <v>3.9806453659427267E-12</v>
      </c>
      <c r="DS169" s="59">
        <f t="shared" si="125"/>
        <v>293.33333333333729</v>
      </c>
      <c r="DT169" s="59">
        <f ca="1">AVERAGE(OFFSET($DS$3,0,0,'Données projet'!$E$14+1,1))-AVERAGE(OFFSET($H$3,0,0,'Données projet'!$E$14+1,1))</f>
        <v>295.92103934364718</v>
      </c>
      <c r="DU169" s="59">
        <f t="shared" si="152"/>
        <v>304.84379909635476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0.30175371449963617</v>
      </c>
      <c r="EB169" s="21">
        <f>EXP(-LN(2)/25)*EB168+(1-EXP(-LN(2)/25))/(LN(2)/25)*Calculateur!DW169*Calculateur!DY169*VLOOKUP('Données projet'!$B$14,Paramètres!$A$1:$I$89,3,0)*0.475*44/12</f>
        <v>0.16475306743989093</v>
      </c>
      <c r="EC169" s="21">
        <f>EXP(-LN(2)/2)*EC168+(1-EXP(-LN(2)/2))/(LN(2)/2)*DW169*DZ169*VLOOKUP('Données projet'!$B$14,Paramètres!$A$1:$I$89,3,0)*0.475*44/12</f>
        <v>1.9497731139159675E-20</v>
      </c>
      <c r="ED169" s="22">
        <f t="shared" si="178"/>
        <v>0.4665067819395271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207.2913533618397</v>
      </c>
      <c r="EP169" s="59">
        <f t="shared" si="154"/>
        <v>230.81096055024483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0.4683218877747945</v>
      </c>
      <c r="EW169" s="21">
        <f>EXP(-LN(2)/25)*EW168+(1-EXP(-LN(2)/25))/(LN(2)/25)*Calculateur!ER169*Calculateur!ET169*VLOOKUP('Données projet'!$B$15,Paramètres!$A$1:$I$89,3,0)*0.475*44/12</f>
        <v>0.13893079358034063</v>
      </c>
      <c r="EX169" s="21">
        <f>EXP(-LN(2)/2)*EX168+(1-EXP(-LN(2)/2))/(LN(2)/2)*ER169*EU169*VLOOKUP('Données projet'!$B$15,Paramètres!$A$1:$I$89,3,0)*0.475*44/12</f>
        <v>9.9933204403916441E-21</v>
      </c>
      <c r="EY169" s="22">
        <f t="shared" si="181"/>
        <v>0.6072526813551351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319.22903094674564</v>
      </c>
      <c r="T170" s="59">
        <f t="shared" si="142"/>
        <v>254.58690973142848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0.60198417285066208</v>
      </c>
      <c r="AA170" s="21">
        <f>EXP(-LN(2)/25)*AA169+(1-EXP(-LN(2)/25))/(LN(2)/25)*Calculateur!V170*Calculateur!X170*VLOOKUP('Données projet'!$B$9,Paramètres!$A$1:$I$89,3,0)*0.475*44/12</f>
        <v>0.24985147104730515</v>
      </c>
      <c r="AB170" s="21">
        <f>EXP(-LN(2)/2)*AB169+(1-EXP(-LN(2)/2))/(LN(2)/2)*V170*Y170*VLOOKUP('Données projet'!$B$9,Paramètres!$A$1:$I$89,3,0)*0.475*44/12</f>
        <v>2.645680695127677E-20</v>
      </c>
      <c r="AC170" s="22">
        <f t="shared" si="163"/>
        <v>0.85183564389796729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-1.9065282685915009E-13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544.48194192356823</v>
      </c>
      <c r="AO170" s="59">
        <f t="shared" si="144"/>
        <v>668.20427590250733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0.48692037444781422</v>
      </c>
      <c r="AV170" s="21">
        <f>EXP(-LN(2)/25)*AV169+(1-EXP(-LN(2)/25))/(LN(2)/25)*Calculateur!AQ170*Calculateur!AS170*VLOOKUP('Données projet'!$B$10,Paramètres!$A$1:$I$89,3,0)*0.475*44/12</f>
        <v>0.95475033810462684</v>
      </c>
      <c r="AW170" s="21">
        <f>EXP(-LN(2)/2)*AW169+(1-EXP(-LN(2)/2))/(LN(2)/2)*AQ170*AT170*VLOOKUP('Données projet'!$B$10,Paramètres!$A$1:$I$89,3,0)*0.475*44/12</f>
        <v>3.4542124566704939E-20</v>
      </c>
      <c r="AX170" s="21">
        <f t="shared" si="166"/>
        <v>1.4416707125524411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405.7176439604217</v>
      </c>
      <c r="BJ170" s="59">
        <f t="shared" si="146"/>
        <v>278.21741231699929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0.48473853343748247</v>
      </c>
      <c r="BQ170" s="21">
        <f>EXP(-LN(2)/25)*BQ169+(1-EXP(-LN(2)/25))/(LN(2)/25)*Calculateur!BL170*Calculateur!BN170*VLOOKUP('Données projet'!$B$11,Paramètres!$A$1:$I$89,3,0)*0.475*44/12</f>
        <v>0.20982274273408677</v>
      </c>
      <c r="BR170" s="21">
        <f>EXP(-LN(2)/2)*BR169+(1-EXP(-LN(2)/2))/(LN(2)/2)*BL170*BO170*VLOOKUP('Données projet'!$B$11,Paramètres!$A$1:$I$89,3,0)*0.475*44/12</f>
        <v>2.0447504096447217E-20</v>
      </c>
      <c r="BS170" s="22">
        <f t="shared" si="169"/>
        <v>0.69456127617156926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-1.7053025658242404E-13</v>
      </c>
      <c r="CU170" s="17">
        <f>CT170*VLOOKUP('Données projet'!$B$13,Paramètres!$A$1:$I$89,3,0)*VLOOKUP('Données projet'!$B$13,Paramètres!$A$1:$I$89,5,0)</f>
        <v>-1.3567387213697657E-13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299.10536994156814</v>
      </c>
      <c r="CZ170" s="59">
        <f t="shared" si="150"/>
        <v>292.57799203101769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0.55854822797765269</v>
      </c>
      <c r="DG170" s="21">
        <f>EXP(-LN(2)/25)*DG169+(1-EXP(-LN(2)/25))/(LN(2)/25)*Calculateur!DB170*Calculateur!DD170*VLOOKUP('Données projet'!$B$13,Paramètres!$A$1:$I$89,3,0)*0.475*44/12</f>
        <v>0.24226567328735701</v>
      </c>
      <c r="DH170" s="21">
        <f>EXP(-LN(2)/2)*DH169+(1-EXP(-LN(2)/2))/(LN(2)/2)*DB170*DE170*VLOOKUP('Données projet'!$B$13,Paramètres!$A$1:$I$89,3,0)*0.475*44/12</f>
        <v>2.1496410912280512E-20</v>
      </c>
      <c r="DI170" s="22">
        <f t="shared" si="175"/>
        <v>0.80081390126500973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2.2737367544323206E-13</v>
      </c>
      <c r="DP170" s="17">
        <f>DO170*VLOOKUP('Données projet'!$B$14,Paramètres!$A$1:$I$89,3,0)*VLOOKUP('Données projet'!$B$14,Paramètres!$A$1:$I$89,5,0)</f>
        <v>1.4897523215040565E-13</v>
      </c>
      <c r="DQ170" s="13">
        <f t="shared" si="176"/>
        <v>2.136562777003313E-12</v>
      </c>
      <c r="DR170" s="20">
        <f t="shared" si="177"/>
        <v>3.9806453659427267E-12</v>
      </c>
      <c r="DS170" s="59">
        <f t="shared" si="125"/>
        <v>293.33333333333729</v>
      </c>
      <c r="DT170" s="59">
        <f ca="1">AVERAGE(OFFSET($DS$3,0,0,'Données projet'!$E$14+1,1))-AVERAGE(OFFSET($H$3,0,0,'Données projet'!$E$14+1,1))</f>
        <v>295.92103934364718</v>
      </c>
      <c r="DU170" s="59">
        <f t="shared" si="152"/>
        <v>304.84379909635476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0.29583650820989055</v>
      </c>
      <c r="EB170" s="21">
        <f>EXP(-LN(2)/25)*EB169+(1-EXP(-LN(2)/25))/(LN(2)/25)*Calculateur!DW170*Calculateur!DY170*VLOOKUP('Données projet'!$B$14,Paramètres!$A$1:$I$89,3,0)*0.475*44/12</f>
        <v>0.16024788614675983</v>
      </c>
      <c r="EC170" s="21">
        <f>EXP(-LN(2)/2)*EC169+(1-EXP(-LN(2)/2))/(LN(2)/2)*DW170*DZ170*VLOOKUP('Données projet'!$B$14,Paramètres!$A$1:$I$89,3,0)*0.475*44/12</f>
        <v>1.3786977906251914E-20</v>
      </c>
      <c r="ED170" s="22">
        <f t="shared" si="178"/>
        <v>0.45608439435665038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207.2913533618397</v>
      </c>
      <c r="EP170" s="59">
        <f t="shared" si="154"/>
        <v>230.81096055024483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0.45913838120367689</v>
      </c>
      <c r="EW170" s="21">
        <f>EXP(-LN(2)/25)*EW169+(1-EXP(-LN(2)/25))/(LN(2)/25)*Calculateur!ER170*Calculateur!ET170*VLOOKUP('Données projet'!$B$15,Paramètres!$A$1:$I$89,3,0)*0.475*44/12</f>
        <v>0.13513172372383331</v>
      </c>
      <c r="EX170" s="21">
        <f>EXP(-LN(2)/2)*EX169+(1-EXP(-LN(2)/2))/(LN(2)/2)*ER170*EU170*VLOOKUP('Données projet'!$B$15,Paramètres!$A$1:$I$89,3,0)*0.475*44/12</f>
        <v>7.0663446499710668E-21</v>
      </c>
      <c r="EY170" s="22">
        <f t="shared" si="181"/>
        <v>0.5942701049275102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319.22903094674564</v>
      </c>
      <c r="T171" s="59">
        <f t="shared" si="142"/>
        <v>254.58690973142848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0.59017963039515065</v>
      </c>
      <c r="AA171" s="21">
        <f>EXP(-LN(2)/25)*AA170+(1-EXP(-LN(2)/25))/(LN(2)/25)*Calculateur!V171*Calculateur!X171*VLOOKUP('Données projet'!$B$9,Paramètres!$A$1:$I$89,3,0)*0.475*44/12</f>
        <v>0.24301926943239877</v>
      </c>
      <c r="AB171" s="21">
        <f>EXP(-LN(2)/2)*AB170+(1-EXP(-LN(2)/2))/(LN(2)/2)*V171*Y171*VLOOKUP('Données projet'!$B$9,Paramètres!$A$1:$I$89,3,0)*0.475*44/12</f>
        <v>1.8707787603791195E-20</v>
      </c>
      <c r="AC171" s="22">
        <f t="shared" si="163"/>
        <v>0.83319889982754947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-1.9065282685915009E-13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544.48194192356823</v>
      </c>
      <c r="AO171" s="59">
        <f t="shared" si="144"/>
        <v>668.20427590250733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0.47737216289699547</v>
      </c>
      <c r="AV171" s="21">
        <f>EXP(-LN(2)/25)*AV170+(1-EXP(-LN(2)/25))/(LN(2)/25)*Calculateur!AQ171*Calculateur!AS171*VLOOKUP('Données projet'!$B$10,Paramètres!$A$1:$I$89,3,0)*0.475*44/12</f>
        <v>0.9286426399010177</v>
      </c>
      <c r="AW171" s="21">
        <f>EXP(-LN(2)/2)*AW170+(1-EXP(-LN(2)/2))/(LN(2)/2)*AQ171*AT171*VLOOKUP('Données projet'!$B$10,Paramètres!$A$1:$I$89,3,0)*0.475*44/12</f>
        <v>2.4424970517707498E-20</v>
      </c>
      <c r="AX171" s="21">
        <f t="shared" si="166"/>
        <v>1.4060148027980133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405.7176439604217</v>
      </c>
      <c r="BJ171" s="59">
        <f t="shared" si="146"/>
        <v>278.21741231699929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0.4752331064580847</v>
      </c>
      <c r="BQ171" s="21">
        <f>EXP(-LN(2)/25)*BQ170+(1-EXP(-LN(2)/25))/(LN(2)/25)*Calculateur!BL171*Calculateur!BN171*VLOOKUP('Données projet'!$B$11,Paramètres!$A$1:$I$89,3,0)*0.475*44/12</f>
        <v>0.20408512879992469</v>
      </c>
      <c r="BR171" s="21">
        <f>EXP(-LN(2)/2)*BR170+(1-EXP(-LN(2)/2))/(LN(2)/2)*BL171*BO171*VLOOKUP('Données projet'!$B$11,Paramètres!$A$1:$I$89,3,0)*0.475*44/12</f>
        <v>1.4458568804937537E-20</v>
      </c>
      <c r="BS171" s="22">
        <f t="shared" si="169"/>
        <v>0.67931823525800938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-1.7053025658242404E-13</v>
      </c>
      <c r="CU171" s="17">
        <f>CT171*VLOOKUP('Données projet'!$B$13,Paramètres!$A$1:$I$89,3,0)*VLOOKUP('Données projet'!$B$13,Paramètres!$A$1:$I$89,5,0)</f>
        <v>-1.3567387213697657E-13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299.10536994156814</v>
      </c>
      <c r="CZ171" s="59">
        <f t="shared" si="150"/>
        <v>292.57799203101769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0.54759543790779053</v>
      </c>
      <c r="DG171" s="21">
        <f>EXP(-LN(2)/25)*DG170+(1-EXP(-LN(2)/25))/(LN(2)/25)*Calculateur!DB171*Calculateur!DD171*VLOOKUP('Données projet'!$B$13,Paramètres!$A$1:$I$89,3,0)*0.475*44/12</f>
        <v>0.23564090571111618</v>
      </c>
      <c r="DH171" s="21">
        <f>EXP(-LN(2)/2)*DH170+(1-EXP(-LN(2)/2))/(LN(2)/2)*DB171*DE171*VLOOKUP('Données projet'!$B$13,Paramètres!$A$1:$I$89,3,0)*0.475*44/12</f>
        <v>1.5200257927246048E-20</v>
      </c>
      <c r="DI171" s="22">
        <f t="shared" si="175"/>
        <v>0.78323634361890671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2.2737367544323206E-13</v>
      </c>
      <c r="DP171" s="17">
        <f>DO171*VLOOKUP('Données projet'!$B$14,Paramètres!$A$1:$I$89,3,0)*VLOOKUP('Données projet'!$B$14,Paramètres!$A$1:$I$89,5,0)</f>
        <v>1.4897523215040565E-13</v>
      </c>
      <c r="DQ171" s="13">
        <f t="shared" si="176"/>
        <v>2.136562777003313E-12</v>
      </c>
      <c r="DR171" s="20">
        <f t="shared" si="177"/>
        <v>3.9806453659427267E-12</v>
      </c>
      <c r="DS171" s="59">
        <f t="shared" si="125"/>
        <v>293.33333333333729</v>
      </c>
      <c r="DT171" s="59">
        <f ca="1">AVERAGE(OFFSET($DS$3,0,0,'Données projet'!$E$14+1,1))-AVERAGE(OFFSET($H$3,0,0,'Données projet'!$E$14+1,1))</f>
        <v>295.92103934364718</v>
      </c>
      <c r="DU171" s="59">
        <f t="shared" si="152"/>
        <v>304.84379909635476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0.2900353347263474</v>
      </c>
      <c r="EB171" s="21">
        <f>EXP(-LN(2)/25)*EB170+(1-EXP(-LN(2)/25))/(LN(2)/25)*Calculateur!DW171*Calculateur!DY171*VLOOKUP('Données projet'!$B$14,Paramètres!$A$1:$I$89,3,0)*0.475*44/12</f>
        <v>0.15586589927300659</v>
      </c>
      <c r="EC171" s="21">
        <f>EXP(-LN(2)/2)*EC170+(1-EXP(-LN(2)/2))/(LN(2)/2)*DW171*DZ171*VLOOKUP('Données projet'!$B$14,Paramètres!$A$1:$I$89,3,0)*0.475*44/12</f>
        <v>9.7488655695798377E-21</v>
      </c>
      <c r="ED171" s="22">
        <f t="shared" si="178"/>
        <v>0.445901233999354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207.2913533618397</v>
      </c>
      <c r="EP171" s="59">
        <f t="shared" si="154"/>
        <v>230.81096055024483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0.45013495759503303</v>
      </c>
      <c r="EW171" s="21">
        <f>EXP(-LN(2)/25)*EW170+(1-EXP(-LN(2)/25))/(LN(2)/25)*Calculateur!ER171*Calculateur!ET171*VLOOKUP('Données projet'!$B$15,Paramètres!$A$1:$I$89,3,0)*0.475*44/12</f>
        <v>0.13143653963233659</v>
      </c>
      <c r="EX171" s="21">
        <f>EXP(-LN(2)/2)*EX170+(1-EXP(-LN(2)/2))/(LN(2)/2)*ER171*EU171*VLOOKUP('Données projet'!$B$15,Paramètres!$A$1:$I$89,3,0)*0.475*44/12</f>
        <v>4.9966602201958221E-21</v>
      </c>
      <c r="EY171" s="22">
        <f t="shared" si="181"/>
        <v>0.58157149722736956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319.22903094674564</v>
      </c>
      <c r="T172" s="59">
        <f t="shared" si="142"/>
        <v>254.58690973142848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0.57860656781713182</v>
      </c>
      <c r="AA172" s="21">
        <f>EXP(-LN(2)/25)*AA171+(1-EXP(-LN(2)/25))/(LN(2)/25)*Calculateur!V172*Calculateur!X172*VLOOKUP('Données projet'!$B$9,Paramètres!$A$1:$I$89,3,0)*0.475*44/12</f>
        <v>0.23637389472994186</v>
      </c>
      <c r="AB172" s="21">
        <f>EXP(-LN(2)/2)*AB171+(1-EXP(-LN(2)/2))/(LN(2)/2)*V172*Y172*VLOOKUP('Données projet'!$B$9,Paramètres!$A$1:$I$89,3,0)*0.475*44/12</f>
        <v>1.3228403475638388E-20</v>
      </c>
      <c r="AC172" s="22">
        <f t="shared" si="163"/>
        <v>0.81498046254707368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-1.9065282685915009E-13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544.48194192356823</v>
      </c>
      <c r="AO172" s="59">
        <f t="shared" si="144"/>
        <v>668.20427590250733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0.46801118595085428</v>
      </c>
      <c r="AV172" s="21">
        <f>EXP(-LN(2)/25)*AV171+(1-EXP(-LN(2)/25))/(LN(2)/25)*Calculateur!AQ172*Calculateur!AS172*VLOOKUP('Données projet'!$B$10,Paramètres!$A$1:$I$89,3,0)*0.475*44/12</f>
        <v>0.90324885807773037</v>
      </c>
      <c r="AW172" s="21">
        <f>EXP(-LN(2)/2)*AW171+(1-EXP(-LN(2)/2))/(LN(2)/2)*AQ172*AT172*VLOOKUP('Données projet'!$B$10,Paramètres!$A$1:$I$89,3,0)*0.475*44/12</f>
        <v>1.727106228335247E-20</v>
      </c>
      <c r="AX172" s="21">
        <f t="shared" si="166"/>
        <v>1.3712600440285847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405.7176439604217</v>
      </c>
      <c r="BJ172" s="59">
        <f t="shared" si="146"/>
        <v>278.21741231699929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0.46591407510401495</v>
      </c>
      <c r="BQ172" s="21">
        <f>EXP(-LN(2)/25)*BQ171+(1-EXP(-LN(2)/25))/(LN(2)/25)*Calculateur!BL172*Calculateur!BN172*VLOOKUP('Données projet'!$B$11,Paramètres!$A$1:$I$89,3,0)*0.475*44/12</f>
        <v>0.19850441022052026</v>
      </c>
      <c r="BR172" s="21">
        <f>EXP(-LN(2)/2)*BR171+(1-EXP(-LN(2)/2))/(LN(2)/2)*BL172*BO172*VLOOKUP('Données projet'!$B$11,Paramètres!$A$1:$I$89,3,0)*0.475*44/12</f>
        <v>1.0223752048223609E-20</v>
      </c>
      <c r="BS172" s="22">
        <f t="shared" si="169"/>
        <v>0.66441848532453518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-1.7053025658242404E-13</v>
      </c>
      <c r="CU172" s="17">
        <f>CT172*VLOOKUP('Données projet'!$B$13,Paramètres!$A$1:$I$89,3,0)*VLOOKUP('Données projet'!$B$13,Paramètres!$A$1:$I$89,5,0)</f>
        <v>-1.3567387213697657E-13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299.10536994156814</v>
      </c>
      <c r="CZ172" s="59">
        <f t="shared" si="150"/>
        <v>292.57799203101769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0.53685742537065606</v>
      </c>
      <c r="DG172" s="21">
        <f>EXP(-LN(2)/25)*DG171+(1-EXP(-LN(2)/25))/(LN(2)/25)*Calculateur!DB172*Calculateur!DD172*VLOOKUP('Données projet'!$B$13,Paramètres!$A$1:$I$89,3,0)*0.475*44/12</f>
        <v>0.22919729275262904</v>
      </c>
      <c r="DH172" s="21">
        <f>EXP(-LN(2)/2)*DH171+(1-EXP(-LN(2)/2))/(LN(2)/2)*DB172*DE172*VLOOKUP('Données projet'!$B$13,Paramètres!$A$1:$I$89,3,0)*0.475*44/12</f>
        <v>1.0748205456140256E-20</v>
      </c>
      <c r="DI172" s="22">
        <f t="shared" si="175"/>
        <v>0.76605471812328507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2.2737367544323206E-13</v>
      </c>
      <c r="DP172" s="17">
        <f>DO172*VLOOKUP('Données projet'!$B$14,Paramètres!$A$1:$I$89,3,0)*VLOOKUP('Données projet'!$B$14,Paramètres!$A$1:$I$89,5,0)</f>
        <v>1.4897523215040565E-13</v>
      </c>
      <c r="DQ172" s="13">
        <f t="shared" si="176"/>
        <v>2.136562777003313E-12</v>
      </c>
      <c r="DR172" s="20">
        <f t="shared" si="177"/>
        <v>3.9806453659427267E-12</v>
      </c>
      <c r="DS172" s="59">
        <f t="shared" si="125"/>
        <v>293.33333333333729</v>
      </c>
      <c r="DT172" s="59">
        <f ca="1">AVERAGE(OFFSET($DS$3,0,0,'Données projet'!$E$14+1,1))-AVERAGE(OFFSET($H$3,0,0,'Données projet'!$E$14+1,1))</f>
        <v>295.92103934364718</v>
      </c>
      <c r="DU172" s="59">
        <f t="shared" si="152"/>
        <v>304.84379909635476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0.2843479187164501</v>
      </c>
      <c r="EB172" s="21">
        <f>EXP(-LN(2)/25)*EB171+(1-EXP(-LN(2)/25))/(LN(2)/25)*Calculateur!DW172*Calculateur!DY172*VLOOKUP('Données projet'!$B$14,Paramètres!$A$1:$I$89,3,0)*0.475*44/12</f>
        <v>0.15160373806075483</v>
      </c>
      <c r="EC172" s="21">
        <f>EXP(-LN(2)/2)*EC171+(1-EXP(-LN(2)/2))/(LN(2)/2)*DW172*DZ172*VLOOKUP('Données projet'!$B$14,Paramètres!$A$1:$I$89,3,0)*0.475*44/12</f>
        <v>6.8934889531259572E-21</v>
      </c>
      <c r="ED172" s="22">
        <f t="shared" si="178"/>
        <v>0.43595165677720493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207.2913533618397</v>
      </c>
      <c r="EP172" s="59">
        <f t="shared" si="154"/>
        <v>230.81096055024483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0.44130808563180851</v>
      </c>
      <c r="EW172" s="21">
        <f>EXP(-LN(2)/25)*EW171+(1-EXP(-LN(2)/25))/(LN(2)/25)*Calculateur!ER172*Calculateur!ET172*VLOOKUP('Données projet'!$B$15,Paramètres!$A$1:$I$89,3,0)*0.475*44/12</f>
        <v>0.12784240054414314</v>
      </c>
      <c r="EX172" s="21">
        <f>EXP(-LN(2)/2)*EX171+(1-EXP(-LN(2)/2))/(LN(2)/2)*ER172*EU172*VLOOKUP('Données projet'!$B$15,Paramètres!$A$1:$I$89,3,0)*0.475*44/12</f>
        <v>3.5331723249855334E-21</v>
      </c>
      <c r="EY172" s="22">
        <f t="shared" si="181"/>
        <v>0.56915048617595165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319.22903094674564</v>
      </c>
      <c r="T173" s="59">
        <f t="shared" si="142"/>
        <v>254.58690973142848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0.56726044593739677</v>
      </c>
      <c r="AA173" s="21">
        <f>EXP(-LN(2)/25)*AA172+(1-EXP(-LN(2)/25))/(LN(2)/25)*Calculateur!V173*Calculateur!X173*VLOOKUP('Données projet'!$B$9,Paramètres!$A$1:$I$89,3,0)*0.475*44/12</f>
        <v>0.2299102381481887</v>
      </c>
      <c r="AB173" s="21">
        <f>EXP(-LN(2)/2)*AB172+(1-EXP(-LN(2)/2))/(LN(2)/2)*V173*Y173*VLOOKUP('Données projet'!$B$9,Paramètres!$A$1:$I$89,3,0)*0.475*44/12</f>
        <v>9.353893801895599E-21</v>
      </c>
      <c r="AC173" s="22">
        <f t="shared" si="163"/>
        <v>0.79717068408558545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-1.9065282685915009E-13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544.48194192356823</v>
      </c>
      <c r="AO173" s="59">
        <f t="shared" si="144"/>
        <v>668.20427590250733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0.45883377205299475</v>
      </c>
      <c r="AV173" s="21">
        <f>EXP(-LN(2)/25)*AV172+(1-EXP(-LN(2)/25))/(LN(2)/25)*Calculateur!AQ173*Calculateur!AS173*VLOOKUP('Données projet'!$B$10,Paramètres!$A$1:$I$89,3,0)*0.475*44/12</f>
        <v>0.87854947055380184</v>
      </c>
      <c r="AW173" s="21">
        <f>EXP(-LN(2)/2)*AW172+(1-EXP(-LN(2)/2))/(LN(2)/2)*AQ173*AT173*VLOOKUP('Données projet'!$B$10,Paramètres!$A$1:$I$89,3,0)*0.475*44/12</f>
        <v>1.2212485258853749E-20</v>
      </c>
      <c r="AX173" s="21">
        <f t="shared" si="166"/>
        <v>1.3373832426067966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405.7176439604217</v>
      </c>
      <c r="BJ173" s="59">
        <f t="shared" si="146"/>
        <v>278.21741231699929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0.45677778427075061</v>
      </c>
      <c r="BQ173" s="21">
        <f>EXP(-LN(2)/25)*BQ172+(1-EXP(-LN(2)/25))/(LN(2)/25)*Calculateur!BL173*Calculateur!BN173*VLOOKUP('Données projet'!$B$11,Paramètres!$A$1:$I$89,3,0)*0.475*44/12</f>
        <v>0.19307629668414689</v>
      </c>
      <c r="BR173" s="21">
        <f>EXP(-LN(2)/2)*BR172+(1-EXP(-LN(2)/2))/(LN(2)/2)*BL173*BO173*VLOOKUP('Données projet'!$B$11,Paramètres!$A$1:$I$89,3,0)*0.475*44/12</f>
        <v>7.2292844024687683E-21</v>
      </c>
      <c r="BS173" s="22">
        <f t="shared" si="169"/>
        <v>0.6498540809548975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-1.7053025658242404E-13</v>
      </c>
      <c r="CU173" s="17">
        <f>CT173*VLOOKUP('Données projet'!$B$13,Paramètres!$A$1:$I$89,3,0)*VLOOKUP('Données projet'!$B$13,Paramètres!$A$1:$I$89,5,0)</f>
        <v>-1.3567387213697657E-13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299.10536994156814</v>
      </c>
      <c r="CZ173" s="59">
        <f t="shared" si="150"/>
        <v>292.57799203101769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0.52632997870983389</v>
      </c>
      <c r="DG173" s="21">
        <f>EXP(-LN(2)/25)*DG172+(1-EXP(-LN(2)/25))/(LN(2)/25)*Calculateur!DB173*Calculateur!DD173*VLOOKUP('Données projet'!$B$13,Paramètres!$A$1:$I$89,3,0)*0.475*44/12</f>
        <v>0.22292988072934661</v>
      </c>
      <c r="DH173" s="21">
        <f>EXP(-LN(2)/2)*DH172+(1-EXP(-LN(2)/2))/(LN(2)/2)*DB173*DE173*VLOOKUP('Données projet'!$B$13,Paramètres!$A$1:$I$89,3,0)*0.475*44/12</f>
        <v>7.600128963623024E-21</v>
      </c>
      <c r="DI173" s="22">
        <f t="shared" si="175"/>
        <v>0.7492598594391805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2.2737367544323206E-13</v>
      </c>
      <c r="DP173" s="17">
        <f>DO173*VLOOKUP('Données projet'!$B$14,Paramètres!$A$1:$I$89,3,0)*VLOOKUP('Données projet'!$B$14,Paramètres!$A$1:$I$89,5,0)</f>
        <v>1.4897523215040565E-13</v>
      </c>
      <c r="DQ173" s="13">
        <f t="shared" si="176"/>
        <v>2.136562777003313E-12</v>
      </c>
      <c r="DR173" s="20">
        <f t="shared" si="177"/>
        <v>3.9806453659427267E-12</v>
      </c>
      <c r="DS173" s="59">
        <f t="shared" si="125"/>
        <v>293.33333333333729</v>
      </c>
      <c r="DT173" s="59">
        <f ca="1">AVERAGE(OFFSET($DS$3,0,0,'Données projet'!$E$14+1,1))-AVERAGE(OFFSET($H$3,0,0,'Données projet'!$E$14+1,1))</f>
        <v>295.92103934364718</v>
      </c>
      <c r="DU173" s="59">
        <f t="shared" si="152"/>
        <v>304.84379909635476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0.27877202946552565</v>
      </c>
      <c r="EB173" s="21">
        <f>EXP(-LN(2)/25)*EB172+(1-EXP(-LN(2)/25))/(LN(2)/25)*Calculateur!DW173*Calculateur!DY173*VLOOKUP('Données projet'!$B$14,Paramètres!$A$1:$I$89,3,0)*0.475*44/12</f>
        <v>0.14745812587098941</v>
      </c>
      <c r="EC173" s="21">
        <f>EXP(-LN(2)/2)*EC172+(1-EXP(-LN(2)/2))/(LN(2)/2)*DW173*DZ173*VLOOKUP('Données projet'!$B$14,Paramètres!$A$1:$I$89,3,0)*0.475*44/12</f>
        <v>4.8744327847899189E-21</v>
      </c>
      <c r="ED173" s="22">
        <f t="shared" si="178"/>
        <v>0.42623015533651509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207.2913533618397</v>
      </c>
      <c r="EP173" s="59">
        <f t="shared" si="154"/>
        <v>230.81096055024483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0.43265430324392251</v>
      </c>
      <c r="EW173" s="21">
        <f>EXP(-LN(2)/25)*EW172+(1-EXP(-LN(2)/25))/(LN(2)/25)*Calculateur!ER173*Calculateur!ET173*VLOOKUP('Données projet'!$B$15,Paramètres!$A$1:$I$89,3,0)*0.475*44/12</f>
        <v>0.12434654337832389</v>
      </c>
      <c r="EX173" s="21">
        <f>EXP(-LN(2)/2)*EX172+(1-EXP(-LN(2)/2))/(LN(2)/2)*ER173*EU173*VLOOKUP('Données projet'!$B$15,Paramètres!$A$1:$I$89,3,0)*0.475*44/12</f>
        <v>2.498330110097911E-21</v>
      </c>
      <c r="EY173" s="22">
        <f t="shared" si="181"/>
        <v>0.55700084662224636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319.22903094674564</v>
      </c>
      <c r="T174" s="59">
        <f t="shared" si="142"/>
        <v>254.58690973142848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0.55613681458727227</v>
      </c>
      <c r="AA174" s="21">
        <f>EXP(-LN(2)/25)*AA173+(1-EXP(-LN(2)/25))/(LN(2)/25)*Calculateur!V174*Calculateur!X174*VLOOKUP('Données projet'!$B$9,Paramètres!$A$1:$I$89,3,0)*0.475*44/12</f>
        <v>0.22362333059557252</v>
      </c>
      <c r="AB174" s="21">
        <f>EXP(-LN(2)/2)*AB173+(1-EXP(-LN(2)/2))/(LN(2)/2)*V174*Y174*VLOOKUP('Données projet'!$B$9,Paramètres!$A$1:$I$89,3,0)*0.475*44/12</f>
        <v>6.6142017378191949E-21</v>
      </c>
      <c r="AC174" s="22">
        <f t="shared" si="163"/>
        <v>0.77976014518284475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-1.9065282685915009E-13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544.48194192356823</v>
      </c>
      <c r="AO174" s="59">
        <f t="shared" si="144"/>
        <v>668.20427590250733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0.4498363216440025</v>
      </c>
      <c r="AV174" s="21">
        <f>EXP(-LN(2)/25)*AV173+(1-EXP(-LN(2)/25))/(LN(2)/25)*Calculateur!AQ174*Calculateur!AS174*VLOOKUP('Données projet'!$B$10,Paramètres!$A$1:$I$89,3,0)*0.475*44/12</f>
        <v>0.85452548908059944</v>
      </c>
      <c r="AW174" s="21">
        <f>EXP(-LN(2)/2)*AW173+(1-EXP(-LN(2)/2))/(LN(2)/2)*AQ174*AT174*VLOOKUP('Données projet'!$B$10,Paramètres!$A$1:$I$89,3,0)*0.475*44/12</f>
        <v>8.6355311416762348E-21</v>
      </c>
      <c r="AX174" s="21">
        <f t="shared" si="166"/>
        <v>1.304361810724602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405.7176439604217</v>
      </c>
      <c r="BJ174" s="59">
        <f t="shared" si="146"/>
        <v>278.21741231699929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0.44782065052813946</v>
      </c>
      <c r="BQ174" s="21">
        <f>EXP(-LN(2)/25)*BQ173+(1-EXP(-LN(2)/25))/(LN(2)/25)*Calculateur!BL174*Calculateur!BN174*VLOOKUP('Données projet'!$B$11,Paramètres!$A$1:$I$89,3,0)*0.475*44/12</f>
        <v>0.18779661519787774</v>
      </c>
      <c r="BR174" s="21">
        <f>EXP(-LN(2)/2)*BR173+(1-EXP(-LN(2)/2))/(LN(2)/2)*BL174*BO174*VLOOKUP('Données projet'!$B$11,Paramètres!$A$1:$I$89,3,0)*0.475*44/12</f>
        <v>5.1118760241118044E-21</v>
      </c>
      <c r="BS174" s="22">
        <f t="shared" si="169"/>
        <v>0.63561726572601718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-1.7053025658242404E-13</v>
      </c>
      <c r="CU174" s="17">
        <f>CT174*VLOOKUP('Données projet'!$B$13,Paramètres!$A$1:$I$89,3,0)*VLOOKUP('Données projet'!$B$13,Paramètres!$A$1:$I$89,5,0)</f>
        <v>-1.3567387213697657E-13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299.10536994156814</v>
      </c>
      <c r="CZ174" s="59">
        <f t="shared" si="150"/>
        <v>292.57799203101769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0.51600896885692205</v>
      </c>
      <c r="DG174" s="21">
        <f>EXP(-LN(2)/25)*DG173+(1-EXP(-LN(2)/25))/(LN(2)/25)*Calculateur!DB174*Calculateur!DD174*VLOOKUP('Données projet'!$B$13,Paramètres!$A$1:$I$89,3,0)*0.475*44/12</f>
        <v>0.21683385141742972</v>
      </c>
      <c r="DH174" s="21">
        <f>EXP(-LN(2)/2)*DH173+(1-EXP(-LN(2)/2))/(LN(2)/2)*DB174*DE174*VLOOKUP('Données projet'!$B$13,Paramètres!$A$1:$I$89,3,0)*0.475*44/12</f>
        <v>5.374102728070128E-21</v>
      </c>
      <c r="DI174" s="22">
        <f t="shared" si="175"/>
        <v>0.73284282027435177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2.2737367544323206E-13</v>
      </c>
      <c r="DP174" s="17">
        <f>DO174*VLOOKUP('Données projet'!$B$14,Paramètres!$A$1:$I$89,3,0)*VLOOKUP('Données projet'!$B$14,Paramètres!$A$1:$I$89,5,0)</f>
        <v>1.4897523215040565E-13</v>
      </c>
      <c r="DQ174" s="13">
        <f t="shared" si="176"/>
        <v>2.136562777003313E-12</v>
      </c>
      <c r="DR174" s="20">
        <f t="shared" si="177"/>
        <v>3.9806453659427267E-12</v>
      </c>
      <c r="DS174" s="59">
        <f t="shared" si="125"/>
        <v>293.33333333333729</v>
      </c>
      <c r="DT174" s="59">
        <f ca="1">AVERAGE(OFFSET($DS$3,0,0,'Données projet'!$E$14+1,1))-AVERAGE(OFFSET($H$3,0,0,'Données projet'!$E$14+1,1))</f>
        <v>295.92103934364718</v>
      </c>
      <c r="DU174" s="59">
        <f t="shared" si="152"/>
        <v>304.84379909635476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0.27330548000185517</v>
      </c>
      <c r="EB174" s="21">
        <f>EXP(-LN(2)/25)*EB173+(1-EXP(-LN(2)/25))/(LN(2)/25)*Calculateur!DW174*Calculateur!DY174*VLOOKUP('Données projet'!$B$14,Paramètres!$A$1:$I$89,3,0)*0.475*44/12</f>
        <v>0.14342587566456139</v>
      </c>
      <c r="EC174" s="21">
        <f>EXP(-LN(2)/2)*EC173+(1-EXP(-LN(2)/2))/(LN(2)/2)*DW174*DZ174*VLOOKUP('Données projet'!$B$14,Paramètres!$A$1:$I$89,3,0)*0.475*44/12</f>
        <v>3.4467444765629786E-21</v>
      </c>
      <c r="ED174" s="22">
        <f t="shared" si="178"/>
        <v>0.41673135566641656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207.2913533618397</v>
      </c>
      <c r="EP174" s="59">
        <f t="shared" si="154"/>
        <v>230.81096055024483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0.42417021625037687</v>
      </c>
      <c r="EW174" s="21">
        <f>EXP(-LN(2)/25)*EW173+(1-EXP(-LN(2)/25))/(LN(2)/25)*Calculateur!ER174*Calculateur!ET174*VLOOKUP('Données projet'!$B$15,Paramètres!$A$1:$I$89,3,0)*0.475*44/12</f>
        <v>0.12094628061054311</v>
      </c>
      <c r="EX174" s="21">
        <f>EXP(-LN(2)/2)*EX173+(1-EXP(-LN(2)/2))/(LN(2)/2)*ER174*EU174*VLOOKUP('Données projet'!$B$15,Paramètres!$A$1:$I$89,3,0)*0.475*44/12</f>
        <v>1.7665861624927667E-21</v>
      </c>
      <c r="EY174" s="22">
        <f t="shared" si="181"/>
        <v>0.54511649686092001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319.22903094674564</v>
      </c>
      <c r="T175" s="59">
        <f t="shared" si="142"/>
        <v>254.58690973142848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0.54523131086317855</v>
      </c>
      <c r="AA175" s="21">
        <f>EXP(-LN(2)/25)*AA174+(1-EXP(-LN(2)/25))/(LN(2)/25)*Calculateur!V175*Calculateur!X175*VLOOKUP('Données projet'!$B$9,Paramètres!$A$1:$I$89,3,0)*0.475*44/12</f>
        <v>0.21750833886059673</v>
      </c>
      <c r="AB175" s="21">
        <f>EXP(-LN(2)/2)*AB174+(1-EXP(-LN(2)/2))/(LN(2)/2)*V175*Y175*VLOOKUP('Données projet'!$B$9,Paramètres!$A$1:$I$89,3,0)*0.475*44/12</f>
        <v>4.6769469009478003E-21</v>
      </c>
      <c r="AC175" s="22">
        <f t="shared" si="163"/>
        <v>0.76273964972377528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-1.9065282685915009E-13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544.48194192356823</v>
      </c>
      <c r="AO175" s="59">
        <f t="shared" si="144"/>
        <v>668.20427590250733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0.44101530574962772</v>
      </c>
      <c r="AV175" s="21">
        <f>EXP(-LN(2)/25)*AV174+(1-EXP(-LN(2)/25))/(LN(2)/25)*Calculateur!AQ175*Calculateur!AS175*VLOOKUP('Données projet'!$B$10,Paramètres!$A$1:$I$89,3,0)*0.475*44/12</f>
        <v>0.83115844464414801</v>
      </c>
      <c r="AW175" s="21">
        <f>EXP(-LN(2)/2)*AW174+(1-EXP(-LN(2)/2))/(LN(2)/2)*AQ175*AT175*VLOOKUP('Données projet'!$B$10,Paramètres!$A$1:$I$89,3,0)*0.475*44/12</f>
        <v>6.1062426294268744E-21</v>
      </c>
      <c r="AX175" s="21">
        <f t="shared" si="166"/>
        <v>1.2721737503937758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405.7176439604217</v>
      </c>
      <c r="BJ175" s="59">
        <f t="shared" si="146"/>
        <v>278.21741231699929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0.43903916071490878</v>
      </c>
      <c r="BQ175" s="21">
        <f>EXP(-LN(2)/25)*BQ174+(1-EXP(-LN(2)/25))/(LN(2)/25)*Calculateur!BL175*Calculateur!BN175*VLOOKUP('Données projet'!$B$11,Paramètres!$A$1:$I$89,3,0)*0.475*44/12</f>
        <v>0.182661306879497</v>
      </c>
      <c r="BR175" s="21">
        <f>EXP(-LN(2)/2)*BR174+(1-EXP(-LN(2)/2))/(LN(2)/2)*BL175*BO175*VLOOKUP('Données projet'!$B$11,Paramètres!$A$1:$I$89,3,0)*0.475*44/12</f>
        <v>3.6146422012343841E-21</v>
      </c>
      <c r="BS175" s="22">
        <f t="shared" si="169"/>
        <v>0.62170046759440578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-1.7053025658242404E-13</v>
      </c>
      <c r="CU175" s="17">
        <f>CT175*VLOOKUP('Données projet'!$B$13,Paramètres!$A$1:$I$89,3,0)*VLOOKUP('Données projet'!$B$13,Paramètres!$A$1:$I$89,5,0)</f>
        <v>-1.3567387213697657E-13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299.10536994156814</v>
      </c>
      <c r="CZ175" s="59">
        <f t="shared" si="150"/>
        <v>292.57799203101769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0.50589034771203134</v>
      </c>
      <c r="DG175" s="21">
        <f>EXP(-LN(2)/25)*DG174+(1-EXP(-LN(2)/25))/(LN(2)/25)*Calculateur!DB175*Calculateur!DD175*VLOOKUP('Données projet'!$B$13,Paramètres!$A$1:$I$89,3,0)*0.475*44/12</f>
        <v>0.21090451834762344</v>
      </c>
      <c r="DH175" s="21">
        <f>EXP(-LN(2)/2)*DH174+(1-EXP(-LN(2)/2))/(LN(2)/2)*DB175*DE175*VLOOKUP('Données projet'!$B$13,Paramètres!$A$1:$I$89,3,0)*0.475*44/12</f>
        <v>3.800064481811512E-21</v>
      </c>
      <c r="DI175" s="22">
        <f t="shared" si="175"/>
        <v>0.71679486605965481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2.2737367544323206E-13</v>
      </c>
      <c r="DP175" s="17">
        <f>DO175*VLOOKUP('Données projet'!$B$14,Paramètres!$A$1:$I$89,3,0)*VLOOKUP('Données projet'!$B$14,Paramètres!$A$1:$I$89,5,0)</f>
        <v>1.4897523215040565E-13</v>
      </c>
      <c r="DQ175" s="13">
        <f t="shared" si="176"/>
        <v>2.136562777003313E-12</v>
      </c>
      <c r="DR175" s="20">
        <f t="shared" si="177"/>
        <v>3.9806453659427267E-12</v>
      </c>
      <c r="DS175" s="59">
        <f t="shared" si="125"/>
        <v>293.33333333333729</v>
      </c>
      <c r="DT175" s="59">
        <f ca="1">AVERAGE(OFFSET($DS$3,0,0,'Données projet'!$E$14+1,1))-AVERAGE(OFFSET($H$3,0,0,'Données projet'!$E$14+1,1))</f>
        <v>295.92103934364718</v>
      </c>
      <c r="DU175" s="59">
        <f t="shared" si="152"/>
        <v>304.84379909635476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0.26794612623890135</v>
      </c>
      <c r="EB175" s="21">
        <f>EXP(-LN(2)/25)*EB174+(1-EXP(-LN(2)/25))/(LN(2)/25)*Calculateur!DW175*Calculateur!DY175*VLOOKUP('Données projet'!$B$14,Paramètres!$A$1:$I$89,3,0)*0.475*44/12</f>
        <v>0.13950388755207496</v>
      </c>
      <c r="EC175" s="21">
        <f>EXP(-LN(2)/2)*EC174+(1-EXP(-LN(2)/2))/(LN(2)/2)*DW175*DZ175*VLOOKUP('Données projet'!$B$14,Paramètres!$A$1:$I$89,3,0)*0.475*44/12</f>
        <v>2.4372163923949594E-21</v>
      </c>
      <c r="ED175" s="22">
        <f t="shared" si="178"/>
        <v>0.40745001379097634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207.2913533618397</v>
      </c>
      <c r="EP175" s="59">
        <f t="shared" si="154"/>
        <v>230.81096055024483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0.4158524970279926</v>
      </c>
      <c r="EW175" s="21">
        <f>EXP(-LN(2)/25)*EW174+(1-EXP(-LN(2)/25))/(LN(2)/25)*Calculateur!ER175*Calculateur!ET175*VLOOKUP('Données projet'!$B$15,Paramètres!$A$1:$I$89,3,0)*0.475*44/12</f>
        <v>0.11763899820695933</v>
      </c>
      <c r="EX175" s="21">
        <f>EXP(-LN(2)/2)*EX174+(1-EXP(-LN(2)/2))/(LN(2)/2)*ER175*EU175*VLOOKUP('Données projet'!$B$15,Paramètres!$A$1:$I$89,3,0)*0.475*44/12</f>
        <v>1.2491650550489555E-21</v>
      </c>
      <c r="EY175" s="22">
        <f t="shared" si="181"/>
        <v>0.53349149523495187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319.22903094674564</v>
      </c>
      <c r="T176" s="59">
        <f t="shared" si="142"/>
        <v>254.58690973142848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0.53453965741541387</v>
      </c>
      <c r="AA176" s="21">
        <f>EXP(-LN(2)/25)*AA175+(1-EXP(-LN(2)/25))/(LN(2)/25)*Calculateur!V176*Calculateur!X176*VLOOKUP('Données projet'!$B$9,Paramètres!$A$1:$I$89,3,0)*0.475*44/12</f>
        <v>0.2115605618961873</v>
      </c>
      <c r="AB176" s="21">
        <f>EXP(-LN(2)/2)*AB175+(1-EXP(-LN(2)/2))/(LN(2)/2)*V176*Y176*VLOOKUP('Données projet'!$B$9,Paramètres!$A$1:$I$89,3,0)*0.475*44/12</f>
        <v>3.3071008689095978E-21</v>
      </c>
      <c r="AC176" s="22">
        <f t="shared" si="163"/>
        <v>0.7461002193116012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-1.9065282685915009E-13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544.48194192356823</v>
      </c>
      <c r="AO176" s="59">
        <f t="shared" si="144"/>
        <v>668.20427590250733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0.4323672645966532</v>
      </c>
      <c r="AV176" s="21">
        <f>EXP(-LN(2)/25)*AV175+(1-EXP(-LN(2)/25))/(LN(2)/25)*Calculateur!AQ176*Calculateur!AS176*VLOOKUP('Données projet'!$B$10,Paramètres!$A$1:$I$89,3,0)*0.475*44/12</f>
        <v>0.80843037326663081</v>
      </c>
      <c r="AW176" s="21">
        <f>EXP(-LN(2)/2)*AW175+(1-EXP(-LN(2)/2))/(LN(2)/2)*AQ176*AT176*VLOOKUP('Données projet'!$B$10,Paramètres!$A$1:$I$89,3,0)*0.475*44/12</f>
        <v>4.3177655708381174E-21</v>
      </c>
      <c r="AX176" s="21">
        <f t="shared" si="166"/>
        <v>1.2407976378632841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405.7176439604217</v>
      </c>
      <c r="BJ176" s="59">
        <f t="shared" si="146"/>
        <v>278.21741231699929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0.43042987056073562</v>
      </c>
      <c r="BQ176" s="21">
        <f>EXP(-LN(2)/25)*BQ175+(1-EXP(-LN(2)/25))/(LN(2)/25)*Calculateur!BL176*Calculateur!BN176*VLOOKUP('Données projet'!$B$11,Paramètres!$A$1:$I$89,3,0)*0.475*44/12</f>
        <v>0.17766642383713649</v>
      </c>
      <c r="BR176" s="21">
        <f>EXP(-LN(2)/2)*BR175+(1-EXP(-LN(2)/2))/(LN(2)/2)*BL176*BO176*VLOOKUP('Données projet'!$B$11,Paramètres!$A$1:$I$89,3,0)*0.475*44/12</f>
        <v>2.5559380120559022E-21</v>
      </c>
      <c r="BS176" s="22">
        <f t="shared" si="169"/>
        <v>0.60809629439787205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-1.7053025658242404E-13</v>
      </c>
      <c r="CU176" s="17">
        <f>CT176*VLOOKUP('Données projet'!$B$13,Paramètres!$A$1:$I$89,3,0)*VLOOKUP('Données projet'!$B$13,Paramètres!$A$1:$I$89,5,0)</f>
        <v>-1.3567387213697657E-13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299.10536994156814</v>
      </c>
      <c r="CZ176" s="59">
        <f t="shared" si="150"/>
        <v>292.57799203101769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0.49597014655604249</v>
      </c>
      <c r="DG176" s="21">
        <f>EXP(-LN(2)/25)*DG175+(1-EXP(-LN(2)/25))/(LN(2)/25)*Calculateur!DB176*Calculateur!DD176*VLOOKUP('Données projet'!$B$13,Paramètres!$A$1:$I$89,3,0)*0.475*44/12</f>
        <v>0.20513732320242109</v>
      </c>
      <c r="DH176" s="21">
        <f>EXP(-LN(2)/2)*DH175+(1-EXP(-LN(2)/2))/(LN(2)/2)*DB176*DE176*VLOOKUP('Données projet'!$B$13,Paramètres!$A$1:$I$89,3,0)*0.475*44/12</f>
        <v>2.687051364035064E-21</v>
      </c>
      <c r="DI176" s="22">
        <f t="shared" si="175"/>
        <v>0.70110746975846361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2.2737367544323206E-13</v>
      </c>
      <c r="DP176" s="17">
        <f>DO176*VLOOKUP('Données projet'!$B$14,Paramètres!$A$1:$I$89,3,0)*VLOOKUP('Données projet'!$B$14,Paramètres!$A$1:$I$89,5,0)</f>
        <v>1.4897523215040565E-13</v>
      </c>
      <c r="DQ176" s="13">
        <f t="shared" si="176"/>
        <v>2.136562777003313E-12</v>
      </c>
      <c r="DR176" s="20">
        <f t="shared" si="177"/>
        <v>3.9806453659427267E-12</v>
      </c>
      <c r="DS176" s="59">
        <f t="shared" si="125"/>
        <v>293.33333333333729</v>
      </c>
      <c r="DT176" s="59">
        <f ca="1">AVERAGE(OFFSET($DS$3,0,0,'Données projet'!$E$14+1,1))-AVERAGE(OFFSET($H$3,0,0,'Données projet'!$E$14+1,1))</f>
        <v>295.92103934364718</v>
      </c>
      <c r="DU176" s="59">
        <f t="shared" si="152"/>
        <v>304.84379909635476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0.26269186613435602</v>
      </c>
      <c r="EB176" s="21">
        <f>EXP(-LN(2)/25)*EB175+(1-EXP(-LN(2)/25))/(LN(2)/25)*Calculateur!DW176*Calculateur!DY176*VLOOKUP('Données projet'!$B$14,Paramètres!$A$1:$I$89,3,0)*0.475*44/12</f>
        <v>0.13568914641077287</v>
      </c>
      <c r="EC176" s="21">
        <f>EXP(-LN(2)/2)*EC175+(1-EXP(-LN(2)/2))/(LN(2)/2)*DW176*DZ176*VLOOKUP('Données projet'!$B$14,Paramètres!$A$1:$I$89,3,0)*0.475*44/12</f>
        <v>1.7233722382814893E-21</v>
      </c>
      <c r="ED176" s="22">
        <f t="shared" si="178"/>
        <v>0.39838101254512892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207.2913533618397</v>
      </c>
      <c r="EP176" s="59">
        <f t="shared" si="154"/>
        <v>230.81096055024483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0.4076978832062515</v>
      </c>
      <c r="EW176" s="21">
        <f>EXP(-LN(2)/25)*EW175+(1-EXP(-LN(2)/25))/(LN(2)/25)*Calculateur!ER176*Calculateur!ET176*VLOOKUP('Données projet'!$B$15,Paramètres!$A$1:$I$89,3,0)*0.475*44/12</f>
        <v>0.11442215361462398</v>
      </c>
      <c r="EX176" s="21">
        <f>EXP(-LN(2)/2)*EX175+(1-EXP(-LN(2)/2))/(LN(2)/2)*ER176*EU176*VLOOKUP('Données projet'!$B$15,Paramètres!$A$1:$I$89,3,0)*0.475*44/12</f>
        <v>8.8329308124638335E-22</v>
      </c>
      <c r="EY176" s="22">
        <f t="shared" si="181"/>
        <v>0.52212003682087549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319.22903094674564</v>
      </c>
      <c r="T177" s="59">
        <f t="shared" si="142"/>
        <v>254.58690973142848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0.5240576607704952</v>
      </c>
      <c r="AA177" s="21">
        <f>EXP(-LN(2)/25)*AA176+(1-EXP(-LN(2)/25))/(LN(2)/25)*Calculateur!V177*Calculateur!X177*VLOOKUP('Données projet'!$B$9,Paramètres!$A$1:$I$89,3,0)*0.475*44/12</f>
        <v>0.20577542720564965</v>
      </c>
      <c r="AB177" s="21">
        <f>EXP(-LN(2)/2)*AB176+(1-EXP(-LN(2)/2))/(LN(2)/2)*V177*Y177*VLOOKUP('Données projet'!$B$9,Paramètres!$A$1:$I$89,3,0)*0.475*44/12</f>
        <v>2.3384734504739005E-21</v>
      </c>
      <c r="AC177" s="22">
        <f t="shared" si="163"/>
        <v>0.72983308797614488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-1.9065282685915009E-13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544.48194192356823</v>
      </c>
      <c r="AO177" s="59">
        <f t="shared" si="144"/>
        <v>668.20427590250733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0.42388880625590425</v>
      </c>
      <c r="AV177" s="21">
        <f>EXP(-LN(2)/25)*AV176+(1-EXP(-LN(2)/25))/(LN(2)/25)*Calculateur!AQ177*Calculateur!AS177*VLOOKUP('Données projet'!$B$10,Paramètres!$A$1:$I$89,3,0)*0.475*44/12</f>
        <v>0.78632380219614917</v>
      </c>
      <c r="AW177" s="21">
        <f>EXP(-LN(2)/2)*AW176+(1-EXP(-LN(2)/2))/(LN(2)/2)*AQ177*AT177*VLOOKUP('Données projet'!$B$10,Paramètres!$A$1:$I$89,3,0)*0.475*44/12</f>
        <v>3.0531213147134372E-21</v>
      </c>
      <c r="AX177" s="21">
        <f t="shared" si="166"/>
        <v>1.2102126084520535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405.7176439604217</v>
      </c>
      <c r="BJ177" s="59">
        <f t="shared" si="146"/>
        <v>278.21741231699929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0.42198940333533735</v>
      </c>
      <c r="BQ177" s="21">
        <f>EXP(-LN(2)/25)*BQ176+(1-EXP(-LN(2)/25))/(LN(2)/25)*Calculateur!BL177*Calculateur!BN177*VLOOKUP('Données projet'!$B$11,Paramètres!$A$1:$I$89,3,0)*0.475*44/12</f>
        <v>0.17280812613423882</v>
      </c>
      <c r="BR177" s="21">
        <f>EXP(-LN(2)/2)*BR176+(1-EXP(-LN(2)/2))/(LN(2)/2)*BL177*BO177*VLOOKUP('Données projet'!$B$11,Paramètres!$A$1:$I$89,3,0)*0.475*44/12</f>
        <v>1.8073211006171921E-21</v>
      </c>
      <c r="BS177" s="22">
        <f t="shared" si="169"/>
        <v>0.5947975294695762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-1.7053025658242404E-13</v>
      </c>
      <c r="CU177" s="17">
        <f>CT177*VLOOKUP('Données projet'!$B$13,Paramètres!$A$1:$I$89,3,0)*VLOOKUP('Données projet'!$B$13,Paramètres!$A$1:$I$89,5,0)</f>
        <v>-1.3567387213697657E-13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299.10536994156814</v>
      </c>
      <c r="CZ177" s="59">
        <f t="shared" si="150"/>
        <v>292.57799203101769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0.48624447449399733</v>
      </c>
      <c r="DG177" s="21">
        <f>EXP(-LN(2)/25)*DG176+(1-EXP(-LN(2)/25))/(LN(2)/25)*Calculateur!DB177*Calculateur!DD177*VLOOKUP('Données projet'!$B$13,Paramètres!$A$1:$I$89,3,0)*0.475*44/12</f>
        <v>0.19952783231174789</v>
      </c>
      <c r="DH177" s="21">
        <f>EXP(-LN(2)/2)*DH176+(1-EXP(-LN(2)/2))/(LN(2)/2)*DB177*DE177*VLOOKUP('Données projet'!$B$13,Paramètres!$A$1:$I$89,3,0)*0.475*44/12</f>
        <v>1.900032240905756E-21</v>
      </c>
      <c r="DI177" s="22">
        <f t="shared" si="175"/>
        <v>0.68577230680574519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2.2737367544323206E-13</v>
      </c>
      <c r="DP177" s="17">
        <f>DO177*VLOOKUP('Données projet'!$B$14,Paramètres!$A$1:$I$89,3,0)*VLOOKUP('Données projet'!$B$14,Paramètres!$A$1:$I$89,5,0)</f>
        <v>1.4897523215040565E-13</v>
      </c>
      <c r="DQ177" s="13">
        <f t="shared" si="176"/>
        <v>2.136562777003313E-12</v>
      </c>
      <c r="DR177" s="20">
        <f t="shared" si="177"/>
        <v>3.9806453659427267E-12</v>
      </c>
      <c r="DS177" s="59">
        <f t="shared" si="125"/>
        <v>293.33333333333729</v>
      </c>
      <c r="DT177" s="59">
        <f ca="1">AVERAGE(OFFSET($DS$3,0,0,'Données projet'!$E$14+1,1))-AVERAGE(OFFSET($H$3,0,0,'Données projet'!$E$14+1,1))</f>
        <v>295.92103934364718</v>
      </c>
      <c r="DU177" s="59">
        <f t="shared" si="152"/>
        <v>304.84379909635476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0.25754063886567863</v>
      </c>
      <c r="EB177" s="21">
        <f>EXP(-LN(2)/25)*EB176+(1-EXP(-LN(2)/25))/(LN(2)/25)*Calculateur!DW177*Calculateur!DY177*VLOOKUP('Données projet'!$B$14,Paramètres!$A$1:$I$89,3,0)*0.475*44/12</f>
        <v>0.13197871956658819</v>
      </c>
      <c r="EC177" s="21">
        <f>EXP(-LN(2)/2)*EC176+(1-EXP(-LN(2)/2))/(LN(2)/2)*DW177*DZ177*VLOOKUP('Données projet'!$B$14,Paramètres!$A$1:$I$89,3,0)*0.475*44/12</f>
        <v>1.2186081961974797E-21</v>
      </c>
      <c r="ED177" s="22">
        <f t="shared" si="178"/>
        <v>0.38951935843226682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207.2913533618397</v>
      </c>
      <c r="EP177" s="59">
        <f t="shared" si="154"/>
        <v>230.81096055024483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0.39970317638773145</v>
      </c>
      <c r="EW177" s="21">
        <f>EXP(-LN(2)/25)*EW176+(1-EXP(-LN(2)/25))/(LN(2)/25)*Calculateur!ER177*Calculateur!ET177*VLOOKUP('Données projet'!$B$15,Paramètres!$A$1:$I$89,3,0)*0.475*44/12</f>
        <v>0.11129327380683254</v>
      </c>
      <c r="EX177" s="21">
        <f>EXP(-LN(2)/2)*EX176+(1-EXP(-LN(2)/2))/(LN(2)/2)*ER177*EU177*VLOOKUP('Données projet'!$B$15,Paramètres!$A$1:$I$89,3,0)*0.475*44/12</f>
        <v>6.2458252752447776E-22</v>
      </c>
      <c r="EY177" s="22">
        <f t="shared" si="181"/>
        <v>0.51099645019456397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319.22903094674564</v>
      </c>
      <c r="T178" s="59">
        <f t="shared" si="142"/>
        <v>254.58690973142848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0.51378120968639662</v>
      </c>
      <c r="AA178" s="21">
        <f>EXP(-LN(2)/25)*AA177+(1-EXP(-LN(2)/25))/(LN(2)/25)*Calculateur!V178*Calculateur!X178*VLOOKUP('Données projet'!$B$9,Paramètres!$A$1:$I$89,3,0)*0.475*44/12</f>
        <v>0.20014848732745175</v>
      </c>
      <c r="AB178" s="21">
        <f>EXP(-LN(2)/2)*AB177+(1-EXP(-LN(2)/2))/(LN(2)/2)*V178*Y178*VLOOKUP('Données projet'!$B$9,Paramètres!$A$1:$I$89,3,0)*0.475*44/12</f>
        <v>1.6535504344547993E-21</v>
      </c>
      <c r="AC178" s="22">
        <f t="shared" si="163"/>
        <v>0.71392969701384834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-1.9065282685915009E-13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544.48194192356823</v>
      </c>
      <c r="AO178" s="59">
        <f t="shared" si="144"/>
        <v>668.20427590250733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0.41557660531186841</v>
      </c>
      <c r="AV178" s="21">
        <f>EXP(-LN(2)/25)*AV177+(1-EXP(-LN(2)/25))/(LN(2)/25)*Calculateur!AQ178*Calculateur!AS178*VLOOKUP('Données projet'!$B$10,Paramètres!$A$1:$I$89,3,0)*0.475*44/12</f>
        <v>0.76482173647412388</v>
      </c>
      <c r="AW178" s="21">
        <f>EXP(-LN(2)/2)*AW177+(1-EXP(-LN(2)/2))/(LN(2)/2)*AQ178*AT178*VLOOKUP('Données projet'!$B$10,Paramètres!$A$1:$I$89,3,0)*0.475*44/12</f>
        <v>2.1588827854190587E-21</v>
      </c>
      <c r="AX178" s="21">
        <f t="shared" si="166"/>
        <v>1.1803983417859922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405.7176439604217</v>
      </c>
      <c r="BJ178" s="59">
        <f t="shared" si="146"/>
        <v>278.21741231699929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0.41371444852405248</v>
      </c>
      <c r="BQ178" s="21">
        <f>EXP(-LN(2)/25)*BQ177+(1-EXP(-LN(2)/25))/(LN(2)/25)*Calculateur!BL178*Calculateur!BN178*VLOOKUP('Données projet'!$B$11,Paramètres!$A$1:$I$89,3,0)*0.475*44/12</f>
        <v>0.16808267883751365</v>
      </c>
      <c r="BR178" s="21">
        <f>EXP(-LN(2)/2)*BR177+(1-EXP(-LN(2)/2))/(LN(2)/2)*BL178*BO178*VLOOKUP('Données projet'!$B$11,Paramètres!$A$1:$I$89,3,0)*0.475*44/12</f>
        <v>1.2779690060279511E-21</v>
      </c>
      <c r="BS178" s="22">
        <f t="shared" si="169"/>
        <v>0.58179712736156608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-1.7053025658242404E-13</v>
      </c>
      <c r="CU178" s="17">
        <f>CT178*VLOOKUP('Données projet'!$B$13,Paramètres!$A$1:$I$89,3,0)*VLOOKUP('Données projet'!$B$13,Paramètres!$A$1:$I$89,5,0)</f>
        <v>-1.3567387213697657E-13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299.10536994156814</v>
      </c>
      <c r="CZ178" s="59">
        <f t="shared" si="150"/>
        <v>292.57799203101769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0.47670951692901464</v>
      </c>
      <c r="DG178" s="21">
        <f>EXP(-LN(2)/25)*DG177+(1-EXP(-LN(2)/25))/(LN(2)/25)*Calculateur!DB178*Calculateur!DD178*VLOOKUP('Données projet'!$B$13,Paramètres!$A$1:$I$89,3,0)*0.475*44/12</f>
        <v>0.19407173324447047</v>
      </c>
      <c r="DH178" s="21">
        <f>EXP(-LN(2)/2)*DH177+(1-EXP(-LN(2)/2))/(LN(2)/2)*DB178*DE178*VLOOKUP('Données projet'!$B$13,Paramètres!$A$1:$I$89,3,0)*0.475*44/12</f>
        <v>1.343525682017532E-21</v>
      </c>
      <c r="DI178" s="22">
        <f t="shared" si="175"/>
        <v>0.67078125017348511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2.2737367544323206E-13</v>
      </c>
      <c r="DP178" s="17">
        <f>DO178*VLOOKUP('Données projet'!$B$14,Paramètres!$A$1:$I$89,3,0)*VLOOKUP('Données projet'!$B$14,Paramètres!$A$1:$I$89,5,0)</f>
        <v>1.4897523215040565E-13</v>
      </c>
      <c r="DQ178" s="13">
        <f t="shared" si="176"/>
        <v>2.136562777003313E-12</v>
      </c>
      <c r="DR178" s="20">
        <f t="shared" si="177"/>
        <v>3.9806453659427267E-12</v>
      </c>
      <c r="DS178" s="59">
        <f t="shared" si="125"/>
        <v>293.33333333333729</v>
      </c>
      <c r="DT178" s="59">
        <f ca="1">AVERAGE(OFFSET($DS$3,0,0,'Données projet'!$E$14+1,1))-AVERAGE(OFFSET($H$3,0,0,'Données projet'!$E$14+1,1))</f>
        <v>295.92103934364718</v>
      </c>
      <c r="DU178" s="59">
        <f t="shared" si="152"/>
        <v>304.84379909635476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0.25249042402180161</v>
      </c>
      <c r="EB178" s="21">
        <f>EXP(-LN(2)/25)*EB177+(1-EXP(-LN(2)/25))/(LN(2)/25)*Calculateur!DW178*Calculateur!DY178*VLOOKUP('Données projet'!$B$14,Paramètres!$A$1:$I$89,3,0)*0.475*44/12</f>
        <v>0.12836975453958061</v>
      </c>
      <c r="EC178" s="21">
        <f>EXP(-LN(2)/2)*EC177+(1-EXP(-LN(2)/2))/(LN(2)/2)*DW178*DZ178*VLOOKUP('Données projet'!$B$14,Paramètres!$A$1:$I$89,3,0)*0.475*44/12</f>
        <v>8.6168611914074465E-22</v>
      </c>
      <c r="ED178" s="22">
        <f t="shared" si="178"/>
        <v>0.38086017856138221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207.2913533618397</v>
      </c>
      <c r="EP178" s="59">
        <f t="shared" si="154"/>
        <v>230.81096055024483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0.39186524089363289</v>
      </c>
      <c r="EW178" s="21">
        <f>EXP(-LN(2)/25)*EW177+(1-EXP(-LN(2)/25))/(LN(2)/25)*Calculateur!ER178*Calculateur!ET178*VLOOKUP('Données projet'!$B$15,Paramètres!$A$1:$I$89,3,0)*0.475*44/12</f>
        <v>0.10824995338192581</v>
      </c>
      <c r="EX178" s="21">
        <f>EXP(-LN(2)/2)*EX177+(1-EXP(-LN(2)/2))/(LN(2)/2)*ER178*EU178*VLOOKUP('Données projet'!$B$15,Paramètres!$A$1:$I$89,3,0)*0.475*44/12</f>
        <v>4.4164654062319167E-22</v>
      </c>
      <c r="EY178" s="22">
        <f t="shared" si="181"/>
        <v>0.50011519427555873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319.22903094674564</v>
      </c>
      <c r="T179" s="59">
        <f t="shared" si="142"/>
        <v>254.58690973142848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0.50370627354004105</v>
      </c>
      <c r="AA179" s="21">
        <f>EXP(-LN(2)/25)*AA178+(1-EXP(-LN(2)/25))/(LN(2)/25)*Calculateur!V179*Calculateur!X179*VLOOKUP('Données projet'!$B$9,Paramètres!$A$1:$I$89,3,0)*0.475*44/12</f>
        <v>0.19467541641613106</v>
      </c>
      <c r="AB179" s="21">
        <f>EXP(-LN(2)/2)*AB178+(1-EXP(-LN(2)/2))/(LN(2)/2)*V179*Y179*VLOOKUP('Données projet'!$B$9,Paramètres!$A$1:$I$89,3,0)*0.475*44/12</f>
        <v>1.1692367252369504E-21</v>
      </c>
      <c r="AC179" s="22">
        <f t="shared" si="163"/>
        <v>0.69838168995617211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-1.9065282685915009E-13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544.48194192356823</v>
      </c>
      <c r="AO179" s="59">
        <f t="shared" si="144"/>
        <v>668.20427590250733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0.40742740155840318</v>
      </c>
      <c r="AV179" s="21">
        <f>EXP(-LN(2)/25)*AV178+(1-EXP(-LN(2)/25))/(LN(2)/25)*Calculateur!AQ179*Calculateur!AS179*VLOOKUP('Données projet'!$B$10,Paramètres!$A$1:$I$89,3,0)*0.475*44/12</f>
        <v>0.7439076458700119</v>
      </c>
      <c r="AW179" s="21">
        <f>EXP(-LN(2)/2)*AW178+(1-EXP(-LN(2)/2))/(LN(2)/2)*AQ179*AT179*VLOOKUP('Données projet'!$B$10,Paramètres!$A$1:$I$89,3,0)*0.475*44/12</f>
        <v>1.5265606573567186E-21</v>
      </c>
      <c r="AX179" s="21">
        <f t="shared" si="166"/>
        <v>1.151335047428415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405.7176439604217</v>
      </c>
      <c r="BJ179" s="59">
        <f t="shared" si="146"/>
        <v>278.21741231699929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0.40560176052939284</v>
      </c>
      <c r="BQ179" s="21">
        <f>EXP(-LN(2)/25)*BQ178+(1-EXP(-LN(2)/25))/(LN(2)/25)*Calculateur!BL179*Calculateur!BN179*VLOOKUP('Données projet'!$B$11,Paramètres!$A$1:$I$89,3,0)*0.475*44/12</f>
        <v>0.16348644914561791</v>
      </c>
      <c r="BR179" s="21">
        <f>EXP(-LN(2)/2)*BR178+(1-EXP(-LN(2)/2))/(LN(2)/2)*BL179*BO179*VLOOKUP('Données projet'!$B$11,Paramètres!$A$1:$I$89,3,0)*0.475*44/12</f>
        <v>9.0366055030859604E-22</v>
      </c>
      <c r="BS179" s="22">
        <f t="shared" si="169"/>
        <v>0.56908820967501073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-1.7053025658242404E-13</v>
      </c>
      <c r="CU179" s="17">
        <f>CT179*VLOOKUP('Données projet'!$B$13,Paramètres!$A$1:$I$89,3,0)*VLOOKUP('Données projet'!$B$13,Paramètres!$A$1:$I$89,5,0)</f>
        <v>-1.3567387213697657E-13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299.10536994156814</v>
      </c>
      <c r="CZ179" s="59">
        <f t="shared" si="150"/>
        <v>292.57799203101769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0.4673615340661314</v>
      </c>
      <c r="DG179" s="21">
        <f>EXP(-LN(2)/25)*DG178+(1-EXP(-LN(2)/25))/(LN(2)/25)*Calculateur!DB179*Calculateur!DD179*VLOOKUP('Données projet'!$B$13,Paramètres!$A$1:$I$89,3,0)*0.475*44/12</f>
        <v>0.18876483149311152</v>
      </c>
      <c r="DH179" s="21">
        <f>EXP(-LN(2)/2)*DH178+(1-EXP(-LN(2)/2))/(LN(2)/2)*DB179*DE179*VLOOKUP('Données projet'!$B$13,Paramètres!$A$1:$I$89,3,0)*0.475*44/12</f>
        <v>9.50016120452878E-22</v>
      </c>
      <c r="DI179" s="22">
        <f t="shared" si="175"/>
        <v>0.65612636555924286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2.2737367544323206E-13</v>
      </c>
      <c r="DP179" s="17">
        <f>DO179*VLOOKUP('Données projet'!$B$14,Paramètres!$A$1:$I$89,3,0)*VLOOKUP('Données projet'!$B$14,Paramètres!$A$1:$I$89,5,0)</f>
        <v>1.4897523215040565E-13</v>
      </c>
      <c r="DQ179" s="13">
        <f t="shared" si="176"/>
        <v>2.136562777003313E-12</v>
      </c>
      <c r="DR179" s="20">
        <f t="shared" si="177"/>
        <v>3.9806453659427267E-12</v>
      </c>
      <c r="DS179" s="59">
        <f t="shared" si="125"/>
        <v>293.33333333333729</v>
      </c>
      <c r="DT179" s="59">
        <f ca="1">AVERAGE(OFFSET($DS$3,0,0,'Données projet'!$E$14+1,1))-AVERAGE(OFFSET($H$3,0,0,'Données projet'!$E$14+1,1))</f>
        <v>295.92103934364718</v>
      </c>
      <c r="DU179" s="59">
        <f t="shared" si="152"/>
        <v>304.84379909635476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0.2475392408106861</v>
      </c>
      <c r="EB179" s="21">
        <f>EXP(-LN(2)/25)*EB178+(1-EXP(-LN(2)/25))/(LN(2)/25)*Calculateur!DW179*Calculateur!DY179*VLOOKUP('Données projet'!$B$14,Paramètres!$A$1:$I$89,3,0)*0.475*44/12</f>
        <v>0.12485947685102378</v>
      </c>
      <c r="EC179" s="21">
        <f>EXP(-LN(2)/2)*EC178+(1-EXP(-LN(2)/2))/(LN(2)/2)*DW179*DZ179*VLOOKUP('Données projet'!$B$14,Paramètres!$A$1:$I$89,3,0)*0.475*44/12</f>
        <v>6.0930409809873986E-22</v>
      </c>
      <c r="ED179" s="22">
        <f t="shared" si="178"/>
        <v>0.37239871766170984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207.2913533618397</v>
      </c>
      <c r="EP179" s="59">
        <f t="shared" si="154"/>
        <v>230.81096055024483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0.38418100253390502</v>
      </c>
      <c r="EW179" s="21">
        <f>EXP(-LN(2)/25)*EW178+(1-EXP(-LN(2)/25))/(LN(2)/25)*Calculateur!ER179*Calculateur!ET179*VLOOKUP('Données projet'!$B$15,Paramètres!$A$1:$I$89,3,0)*0.475*44/12</f>
        <v>0.10528985271407941</v>
      </c>
      <c r="EX179" s="21">
        <f>EXP(-LN(2)/2)*EX178+(1-EXP(-LN(2)/2))/(LN(2)/2)*ER179*EU179*VLOOKUP('Données projet'!$B$15,Paramètres!$A$1:$I$89,3,0)*0.475*44/12</f>
        <v>3.1229126376223888E-22</v>
      </c>
      <c r="EY179" s="22">
        <f t="shared" si="181"/>
        <v>0.48947085524798445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319.22903094674564</v>
      </c>
      <c r="T180" s="59">
        <f t="shared" si="142"/>
        <v>254.58690973142848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0.49382890074641123</v>
      </c>
      <c r="AA180" s="21">
        <f>EXP(-LN(2)/25)*AA179+(1-EXP(-LN(2)/25))/(LN(2)/25)*Calculateur!V180*Calculateur!X180*VLOOKUP('Données projet'!$B$9,Paramètres!$A$1:$I$89,3,0)*0.475*44/12</f>
        <v>0.18935200691669674</v>
      </c>
      <c r="AB180" s="21">
        <f>EXP(-LN(2)/2)*AB179+(1-EXP(-LN(2)/2))/(LN(2)/2)*V180*Y180*VLOOKUP('Données projet'!$B$9,Paramètres!$A$1:$I$89,3,0)*0.475*44/12</f>
        <v>8.2677521722739973E-22</v>
      </c>
      <c r="AC180" s="22">
        <f t="shared" si="163"/>
        <v>0.68318090766310791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-1.9065282685915009E-13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544.48194192356823</v>
      </c>
      <c r="AO180" s="59">
        <f t="shared" si="144"/>
        <v>668.20427590250733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0.39943799872001989</v>
      </c>
      <c r="AV180" s="21">
        <f>EXP(-LN(2)/25)*AV179+(1-EXP(-LN(2)/25))/(LN(2)/25)*Calculateur!AQ180*Calculateur!AS180*VLOOKUP('Données projet'!$B$10,Paramètres!$A$1:$I$89,3,0)*0.475*44/12</f>
        <v>0.7235654521732936</v>
      </c>
      <c r="AW180" s="21">
        <f>EXP(-LN(2)/2)*AW179+(1-EXP(-LN(2)/2))/(LN(2)/2)*AQ180*AT180*VLOOKUP('Données projet'!$B$10,Paramètres!$A$1:$I$89,3,0)*0.475*44/12</f>
        <v>1.0794413927095294E-21</v>
      </c>
      <c r="AX180" s="21">
        <f t="shared" si="166"/>
        <v>1.1230034508933135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405.7176439604217</v>
      </c>
      <c r="BJ180" s="59">
        <f t="shared" si="146"/>
        <v>278.21741231699929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0.39764815739805737</v>
      </c>
      <c r="BQ180" s="21">
        <f>EXP(-LN(2)/25)*BQ179+(1-EXP(-LN(2)/25))/(LN(2)/25)*Calculateur!BL180*Calculateur!BN180*VLOOKUP('Données projet'!$B$11,Paramètres!$A$1:$I$89,3,0)*0.475*44/12</f>
        <v>0.15901590359635229</v>
      </c>
      <c r="BR180" s="21">
        <f>EXP(-LN(2)/2)*BR179+(1-EXP(-LN(2)/2))/(LN(2)/2)*BL180*BO180*VLOOKUP('Données projet'!$B$11,Paramètres!$A$1:$I$89,3,0)*0.475*44/12</f>
        <v>6.3898450301397555E-22</v>
      </c>
      <c r="BS180" s="22">
        <f t="shared" si="169"/>
        <v>0.55666406099440968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-1.7053025658242404E-13</v>
      </c>
      <c r="CU180" s="17">
        <f>CT180*VLOOKUP('Données projet'!$B$13,Paramètres!$A$1:$I$89,3,0)*VLOOKUP('Données projet'!$B$13,Paramètres!$A$1:$I$89,5,0)</f>
        <v>-1.3567387213697657E-13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299.10536994156814</v>
      </c>
      <c r="CZ180" s="59">
        <f t="shared" si="150"/>
        <v>292.57799203101769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0.45819685944548277</v>
      </c>
      <c r="DG180" s="21">
        <f>EXP(-LN(2)/25)*DG179+(1-EXP(-LN(2)/25))/(LN(2)/25)*Calculateur!DB180*Calculateur!DD180*VLOOKUP('Données projet'!$B$13,Paramètres!$A$1:$I$89,3,0)*0.475*44/12</f>
        <v>0.18360304724922133</v>
      </c>
      <c r="DH180" s="21">
        <f>EXP(-LN(2)/2)*DH179+(1-EXP(-LN(2)/2))/(LN(2)/2)*DB180*DE180*VLOOKUP('Données projet'!$B$13,Paramètres!$A$1:$I$89,3,0)*0.475*44/12</f>
        <v>6.71762841008766E-22</v>
      </c>
      <c r="DI180" s="22">
        <f t="shared" si="175"/>
        <v>0.6417999066947041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2.2737367544323206E-13</v>
      </c>
      <c r="DP180" s="17">
        <f>DO180*VLOOKUP('Données projet'!$B$14,Paramètres!$A$1:$I$89,3,0)*VLOOKUP('Données projet'!$B$14,Paramètres!$A$1:$I$89,5,0)</f>
        <v>1.4897523215040565E-13</v>
      </c>
      <c r="DQ180" s="13">
        <f t="shared" si="176"/>
        <v>2.136562777003313E-12</v>
      </c>
      <c r="DR180" s="20">
        <f t="shared" si="177"/>
        <v>3.9806453659427267E-12</v>
      </c>
      <c r="DS180" s="59">
        <f t="shared" si="125"/>
        <v>293.33333333333729</v>
      </c>
      <c r="DT180" s="59">
        <f ca="1">AVERAGE(OFFSET($DS$3,0,0,'Données projet'!$E$14+1,1))-AVERAGE(OFFSET($H$3,0,0,'Données projet'!$E$14+1,1))</f>
        <v>295.92103934364718</v>
      </c>
      <c r="DU180" s="59">
        <f t="shared" si="152"/>
        <v>304.84379909635476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0.242685147282417</v>
      </c>
      <c r="EB180" s="21">
        <f>EXP(-LN(2)/25)*EB179+(1-EXP(-LN(2)/25))/(LN(2)/25)*Calculateur!DW180*Calculateur!DY180*VLOOKUP('Données projet'!$B$14,Paramètres!$A$1:$I$89,3,0)*0.475*44/12</f>
        <v>0.12144518789045801</v>
      </c>
      <c r="EC180" s="21">
        <f>EXP(-LN(2)/2)*EC179+(1-EXP(-LN(2)/2))/(LN(2)/2)*DW180*DZ180*VLOOKUP('Données projet'!$B$14,Paramètres!$A$1:$I$89,3,0)*0.475*44/12</f>
        <v>4.3084305957037233E-22</v>
      </c>
      <c r="ED180" s="22">
        <f t="shared" si="178"/>
        <v>0.36413033517287502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207.2913533618397</v>
      </c>
      <c r="EP180" s="59">
        <f t="shared" si="154"/>
        <v>230.81096055024483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0.37664744740148881</v>
      </c>
      <c r="EW180" s="21">
        <f>EXP(-LN(2)/25)*EW179+(1-EXP(-LN(2)/25))/(LN(2)/25)*Calculateur!ER180*Calculateur!ET180*VLOOKUP('Données projet'!$B$15,Paramètres!$A$1:$I$89,3,0)*0.475*44/12</f>
        <v>0.1024106961546602</v>
      </c>
      <c r="EX180" s="21">
        <f>EXP(-LN(2)/2)*EX179+(1-EXP(-LN(2)/2))/(LN(2)/2)*ER180*EU180*VLOOKUP('Données projet'!$B$15,Paramètres!$A$1:$I$89,3,0)*0.475*44/12</f>
        <v>2.2082327031159584E-22</v>
      </c>
      <c r="EY180" s="22">
        <f t="shared" si="181"/>
        <v>0.47905814355614901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319.22903094674564</v>
      </c>
      <c r="T181" s="59">
        <f t="shared" si="142"/>
        <v>254.58690973142848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0.48414521720866194</v>
      </c>
      <c r="AA181" s="21">
        <f>EXP(-LN(2)/25)*AA180+(1-EXP(-LN(2)/25))/(LN(2)/25)*Calculateur!V181*Calculateur!X181*VLOOKUP('Données projet'!$B$9,Paramètres!$A$1:$I$89,3,0)*0.475*44/12</f>
        <v>0.18417416632997038</v>
      </c>
      <c r="AB181" s="21">
        <f>EXP(-LN(2)/2)*AB180+(1-EXP(-LN(2)/2))/(LN(2)/2)*V181*Y181*VLOOKUP('Données projet'!$B$9,Paramètres!$A$1:$I$89,3,0)*0.475*44/12</f>
        <v>5.8461836261847531E-22</v>
      </c>
      <c r="AC181" s="22">
        <f t="shared" si="163"/>
        <v>0.66831938353863229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-1.9065282685915009E-13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544.48194192356823</v>
      </c>
      <c r="AO181" s="59">
        <f t="shared" si="144"/>
        <v>668.20427590250733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0.39160526319824274</v>
      </c>
      <c r="AV181" s="21">
        <f>EXP(-LN(2)/25)*AV180+(1-EXP(-LN(2)/25))/(LN(2)/25)*Calculateur!AQ181*Calculateur!AS181*VLOOKUP('Données projet'!$B$10,Paramètres!$A$1:$I$89,3,0)*0.475*44/12</f>
        <v>0.70377951683296147</v>
      </c>
      <c r="AW181" s="21">
        <f>EXP(-LN(2)/2)*AW180+(1-EXP(-LN(2)/2))/(LN(2)/2)*AQ181*AT181*VLOOKUP('Données projet'!$B$10,Paramètres!$A$1:$I$89,3,0)*0.475*44/12</f>
        <v>7.632803286783593E-22</v>
      </c>
      <c r="AX181" s="21">
        <f t="shared" si="166"/>
        <v>1.0953847800312042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405.7176439604217</v>
      </c>
      <c r="BJ181" s="59">
        <f t="shared" si="146"/>
        <v>278.21741231699929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0.3898505195729085</v>
      </c>
      <c r="BQ181" s="21">
        <f>EXP(-LN(2)/25)*BQ180+(1-EXP(-LN(2)/25))/(LN(2)/25)*Calculateur!BL181*Calculateur!BN181*VLOOKUP('Données projet'!$B$11,Paramètres!$A$1:$I$89,3,0)*0.475*44/12</f>
        <v>0.15466760535022711</v>
      </c>
      <c r="BR181" s="21">
        <f>EXP(-LN(2)/2)*BR180+(1-EXP(-LN(2)/2))/(LN(2)/2)*BL181*BO181*VLOOKUP('Données projet'!$B$11,Paramètres!$A$1:$I$89,3,0)*0.475*44/12</f>
        <v>4.5183027515429802E-22</v>
      </c>
      <c r="BS181" s="22">
        <f t="shared" si="169"/>
        <v>0.54451812492313567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-1.7053025658242404E-13</v>
      </c>
      <c r="CU181" s="17">
        <f>CT181*VLOOKUP('Données projet'!$B$13,Paramètres!$A$1:$I$89,3,0)*VLOOKUP('Données projet'!$B$13,Paramètres!$A$1:$I$89,5,0)</f>
        <v>-1.3567387213697657E-13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299.10536994156814</v>
      </c>
      <c r="CZ181" s="59">
        <f t="shared" si="150"/>
        <v>292.57799203101769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0.44921189850424548</v>
      </c>
      <c r="DG181" s="21">
        <f>EXP(-LN(2)/25)*DG180+(1-EXP(-LN(2)/25))/(LN(2)/25)*Calculateur!DB181*Calculateur!DD181*VLOOKUP('Données projet'!$B$13,Paramètres!$A$1:$I$89,3,0)*0.475*44/12</f>
        <v>0.17858241226692675</v>
      </c>
      <c r="DH181" s="21">
        <f>EXP(-LN(2)/2)*DH180+(1-EXP(-LN(2)/2))/(LN(2)/2)*DB181*DE181*VLOOKUP('Données projet'!$B$13,Paramètres!$A$1:$I$89,3,0)*0.475*44/12</f>
        <v>4.75008060226439E-22</v>
      </c>
      <c r="DI181" s="22">
        <f t="shared" si="175"/>
        <v>0.6277943107711722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2.2737367544323206E-13</v>
      </c>
      <c r="DP181" s="17">
        <f>DO181*VLOOKUP('Données projet'!$B$14,Paramètres!$A$1:$I$89,3,0)*VLOOKUP('Données projet'!$B$14,Paramètres!$A$1:$I$89,5,0)</f>
        <v>1.4897523215040565E-13</v>
      </c>
      <c r="DQ181" s="13">
        <f t="shared" si="176"/>
        <v>2.136562777003313E-12</v>
      </c>
      <c r="DR181" s="20">
        <f t="shared" si="177"/>
        <v>3.9806453659427267E-12</v>
      </c>
      <c r="DS181" s="59">
        <f t="shared" si="125"/>
        <v>293.33333333333729</v>
      </c>
      <c r="DT181" s="59">
        <f ca="1">AVERAGE(OFFSET($DS$3,0,0,'Données projet'!$E$14+1,1))-AVERAGE(OFFSET($H$3,0,0,'Données projet'!$E$14+1,1))</f>
        <v>295.92103934364718</v>
      </c>
      <c r="DU181" s="59">
        <f t="shared" si="152"/>
        <v>304.84379909635476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0.23792623956753256</v>
      </c>
      <c r="EB181" s="21">
        <f>EXP(-LN(2)/25)*EB180+(1-EXP(-LN(2)/25))/(LN(2)/25)*Calculateur!DW181*Calculateur!DY181*VLOOKUP('Données projet'!$B$14,Paramètres!$A$1:$I$89,3,0)*0.475*44/12</f>
        <v>0.11812426284106857</v>
      </c>
      <c r="EC181" s="21">
        <f>EXP(-LN(2)/2)*EC180+(1-EXP(-LN(2)/2))/(LN(2)/2)*DW181*DZ181*VLOOKUP('Données projet'!$B$14,Paramètres!$A$1:$I$89,3,0)*0.475*44/12</f>
        <v>3.0465204904936993E-22</v>
      </c>
      <c r="ED181" s="22">
        <f t="shared" si="178"/>
        <v>0.35605050240860114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207.2913533618397</v>
      </c>
      <c r="EP181" s="59">
        <f t="shared" si="154"/>
        <v>230.81096055024483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0.36926162069020435</v>
      </c>
      <c r="EW181" s="21">
        <f>EXP(-LN(2)/25)*EW180+(1-EXP(-LN(2)/25))/(LN(2)/25)*Calculateur!ER181*Calculateur!ET181*VLOOKUP('Données projet'!$B$15,Paramètres!$A$1:$I$89,3,0)*0.475*44/12</f>
        <v>9.9610270282766561E-2</v>
      </c>
      <c r="EX181" s="21">
        <f>EXP(-LN(2)/2)*EX180+(1-EXP(-LN(2)/2))/(LN(2)/2)*ER181*EU181*VLOOKUP('Données projet'!$B$15,Paramètres!$A$1:$I$89,3,0)*0.475*44/12</f>
        <v>1.5614563188111944E-22</v>
      </c>
      <c r="EY181" s="22">
        <f t="shared" si="181"/>
        <v>0.46887189097297088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319.22903094674564</v>
      </c>
      <c r="T182" s="59">
        <f t="shared" si="142"/>
        <v>254.58690973142848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0.47465142479862416</v>
      </c>
      <c r="AA182" s="21">
        <f>EXP(-LN(2)/25)*AA181+(1-EXP(-LN(2)/25))/(LN(2)/25)*Calculateur!V182*Calculateur!X182*VLOOKUP('Données projet'!$B$9,Paramètres!$A$1:$I$89,3,0)*0.475*44/12</f>
        <v>0.17913791406637888</v>
      </c>
      <c r="AB182" s="21">
        <f>EXP(-LN(2)/2)*AB181+(1-EXP(-LN(2)/2))/(LN(2)/2)*V182*Y182*VLOOKUP('Données projet'!$B$9,Paramètres!$A$1:$I$89,3,0)*0.475*44/12</f>
        <v>4.1338760861369996E-22</v>
      </c>
      <c r="AC182" s="22">
        <f t="shared" si="163"/>
        <v>0.65378933886500301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-1.9065282685915009E-13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544.48194192356823</v>
      </c>
      <c r="AO182" s="59">
        <f t="shared" si="144"/>
        <v>668.20427590250733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0.38392612284255073</v>
      </c>
      <c r="AV182" s="21">
        <f>EXP(-LN(2)/25)*AV181+(1-EXP(-LN(2)/25))/(LN(2)/25)*Calculateur!AQ182*Calculateur!AS182*VLOOKUP('Données projet'!$B$10,Paramètres!$A$1:$I$89,3,0)*0.475*44/12</f>
        <v>0.68453462893500783</v>
      </c>
      <c r="AW182" s="21">
        <f>EXP(-LN(2)/2)*AW181+(1-EXP(-LN(2)/2))/(LN(2)/2)*AQ182*AT182*VLOOKUP('Données projet'!$B$10,Paramètres!$A$1:$I$89,3,0)*0.475*44/12</f>
        <v>5.3972069635476468E-22</v>
      </c>
      <c r="AX182" s="21">
        <f t="shared" si="166"/>
        <v>1.0684607517775586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405.7176439604217</v>
      </c>
      <c r="BJ182" s="59">
        <f t="shared" si="146"/>
        <v>278.21741231699929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0.38220578866942134</v>
      </c>
      <c r="BQ182" s="21">
        <f>EXP(-LN(2)/25)*BQ181+(1-EXP(-LN(2)/25))/(LN(2)/25)*Calculateur!BL182*Calculateur!BN182*VLOOKUP('Données projet'!$B$11,Paramètres!$A$1:$I$89,3,0)*0.475*44/12</f>
        <v>0.15043821154830928</v>
      </c>
      <c r="BR182" s="21">
        <f>EXP(-LN(2)/2)*BR181+(1-EXP(-LN(2)/2))/(LN(2)/2)*BL182*BO182*VLOOKUP('Données projet'!$B$11,Paramètres!$A$1:$I$89,3,0)*0.475*44/12</f>
        <v>3.1949225150698777E-22</v>
      </c>
      <c r="BS182" s="22">
        <f t="shared" si="169"/>
        <v>0.53264400021773062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-1.7053025658242404E-13</v>
      </c>
      <c r="CU182" s="17">
        <f>CT182*VLOOKUP('Données projet'!$B$13,Paramètres!$A$1:$I$89,3,0)*VLOOKUP('Données projet'!$B$13,Paramètres!$A$1:$I$89,5,0)</f>
        <v>-1.3567387213697657E-13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299.10536994156814</v>
      </c>
      <c r="CZ182" s="59">
        <f t="shared" si="150"/>
        <v>292.57799203101769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0.44040312716678082</v>
      </c>
      <c r="DG182" s="21">
        <f>EXP(-LN(2)/25)*DG181+(1-EXP(-LN(2)/25))/(LN(2)/25)*Calculateur!DB182*Calculateur!DD182*VLOOKUP('Données projet'!$B$13,Paramètres!$A$1:$I$89,3,0)*0.475*44/12</f>
        <v>0.17369906681224673</v>
      </c>
      <c r="DH182" s="21">
        <f>EXP(-LN(2)/2)*DH181+(1-EXP(-LN(2)/2))/(LN(2)/2)*DB182*DE182*VLOOKUP('Données projet'!$B$13,Paramètres!$A$1:$I$89,3,0)*0.475*44/12</f>
        <v>3.35881420504383E-22</v>
      </c>
      <c r="DI182" s="22">
        <f t="shared" si="175"/>
        <v>0.61410219397902754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2.2737367544323206E-13</v>
      </c>
      <c r="DP182" s="17">
        <f>DO182*VLOOKUP('Données projet'!$B$14,Paramètres!$A$1:$I$89,3,0)*VLOOKUP('Données projet'!$B$14,Paramètres!$A$1:$I$89,5,0)</f>
        <v>1.4897523215040565E-13</v>
      </c>
      <c r="DQ182" s="13">
        <f t="shared" si="176"/>
        <v>2.136562777003313E-12</v>
      </c>
      <c r="DR182" s="20">
        <f t="shared" si="177"/>
        <v>3.9806453659427267E-12</v>
      </c>
      <c r="DS182" s="59">
        <f t="shared" si="125"/>
        <v>293.33333333333729</v>
      </c>
      <c r="DT182" s="59">
        <f ca="1">AVERAGE(OFFSET($DS$3,0,0,'Données projet'!$E$14+1,1))-AVERAGE(OFFSET($H$3,0,0,'Données projet'!$E$14+1,1))</f>
        <v>295.92103934364718</v>
      </c>
      <c r="DU182" s="59">
        <f t="shared" si="152"/>
        <v>304.84379909635476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0.2332606511302899</v>
      </c>
      <c r="EB182" s="21">
        <f>EXP(-LN(2)/25)*EB181+(1-EXP(-LN(2)/25))/(LN(2)/25)*Calculateur!DW182*Calculateur!DY182*VLOOKUP('Données projet'!$B$14,Paramètres!$A$1:$I$89,3,0)*0.475*44/12</f>
        <v>0.11489414866179454</v>
      </c>
      <c r="EC182" s="21">
        <f>EXP(-LN(2)/2)*EC181+(1-EXP(-LN(2)/2))/(LN(2)/2)*DW182*DZ182*VLOOKUP('Données projet'!$B$14,Paramètres!$A$1:$I$89,3,0)*0.475*44/12</f>
        <v>2.1542152978518616E-22</v>
      </c>
      <c r="ED182" s="22">
        <f t="shared" si="178"/>
        <v>0.34815479979208441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207.2913533618397</v>
      </c>
      <c r="EP182" s="59">
        <f t="shared" si="154"/>
        <v>230.81096055024483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0.36202062553581871</v>
      </c>
      <c r="EW182" s="21">
        <f>EXP(-LN(2)/25)*EW181+(1-EXP(-LN(2)/25))/(LN(2)/25)*Calculateur!ER182*Calculateur!ET182*VLOOKUP('Données projet'!$B$15,Paramètres!$A$1:$I$89,3,0)*0.475*44/12</f>
        <v>9.6886422203607853E-2</v>
      </c>
      <c r="EX182" s="21">
        <f>EXP(-LN(2)/2)*EX181+(1-EXP(-LN(2)/2))/(LN(2)/2)*ER182*EU182*VLOOKUP('Données projet'!$B$15,Paramètres!$A$1:$I$89,3,0)*0.475*44/12</f>
        <v>1.1041163515579792E-22</v>
      </c>
      <c r="EY182" s="22">
        <f t="shared" si="181"/>
        <v>0.45890704773942659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319.22903094674564</v>
      </c>
      <c r="T183" s="59">
        <f t="shared" si="142"/>
        <v>254.58690973142848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0.46534379986710567</v>
      </c>
      <c r="AA183" s="21">
        <f>EXP(-LN(2)/25)*AA182+(1-EXP(-LN(2)/25))/(LN(2)/25)*Calculateur!V183*Calculateur!X183*VLOOKUP('Données projet'!$B$9,Paramètres!$A$1:$I$89,3,0)*0.475*44/12</f>
        <v>0.17423937838578027</v>
      </c>
      <c r="AB183" s="21">
        <f>EXP(-LN(2)/2)*AB182+(1-EXP(-LN(2)/2))/(LN(2)/2)*V183*Y183*VLOOKUP('Données projet'!$B$9,Paramètres!$A$1:$I$89,3,0)*0.475*44/12</f>
        <v>2.923091813092377E-22</v>
      </c>
      <c r="AC183" s="22">
        <f t="shared" si="163"/>
        <v>0.63958317825288591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-1.9065282685915009E-13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544.48194192356823</v>
      </c>
      <c r="AO183" s="59">
        <f t="shared" si="144"/>
        <v>668.20427590250733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0.37639756574542071</v>
      </c>
      <c r="AV183" s="21">
        <f>EXP(-LN(2)/25)*AV182+(1-EXP(-LN(2)/25))/(LN(2)/25)*Calculateur!AQ183*Calculateur!AS183*VLOOKUP('Données projet'!$B$10,Paramètres!$A$1:$I$89,3,0)*0.475*44/12</f>
        <v>0.66581599350866838</v>
      </c>
      <c r="AW183" s="21">
        <f>EXP(-LN(2)/2)*AW182+(1-EXP(-LN(2)/2))/(LN(2)/2)*AQ183*AT183*VLOOKUP('Données projet'!$B$10,Paramètres!$A$1:$I$89,3,0)*0.475*44/12</f>
        <v>3.8164016433917965E-22</v>
      </c>
      <c r="AX183" s="21">
        <f t="shared" si="166"/>
        <v>1.0422135592540891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405.7176439604217</v>
      </c>
      <c r="BJ183" s="59">
        <f t="shared" si="146"/>
        <v>278.21741231699929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0.37471096627612616</v>
      </c>
      <c r="BQ183" s="21">
        <f>EXP(-LN(2)/25)*BQ182+(1-EXP(-LN(2)/25))/(LN(2)/25)*Calculateur!BL183*Calculateur!BN183*VLOOKUP('Données projet'!$B$11,Paramètres!$A$1:$I$89,3,0)*0.475*44/12</f>
        <v>0.14632447074231905</v>
      </c>
      <c r="BR183" s="21">
        <f>EXP(-LN(2)/2)*BR182+(1-EXP(-LN(2)/2))/(LN(2)/2)*BL183*BO183*VLOOKUP('Données projet'!$B$11,Paramètres!$A$1:$I$89,3,0)*0.475*44/12</f>
        <v>2.2591513757714901E-22</v>
      </c>
      <c r="BS183" s="22">
        <f t="shared" si="169"/>
        <v>0.52103543701844524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-1.7053025658242404E-13</v>
      </c>
      <c r="CU183" s="17">
        <f>CT183*VLOOKUP('Données projet'!$B$13,Paramètres!$A$1:$I$89,3,0)*VLOOKUP('Données projet'!$B$13,Paramètres!$A$1:$I$89,5,0)</f>
        <v>-1.3567387213697657E-13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299.10536994156814</v>
      </c>
      <c r="CZ183" s="59">
        <f t="shared" si="150"/>
        <v>292.57799203101769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0.43176709046242384</v>
      </c>
      <c r="DG183" s="21">
        <f>EXP(-LN(2)/25)*DG182+(1-EXP(-LN(2)/25))/(LN(2)/25)*Calculateur!DB183*Calculateur!DD183*VLOOKUP('Données projet'!$B$13,Paramètres!$A$1:$I$89,3,0)*0.475*44/12</f>
        <v>0.16894925669582891</v>
      </c>
      <c r="DH183" s="21">
        <f>EXP(-LN(2)/2)*DH182+(1-EXP(-LN(2)/2))/(LN(2)/2)*DB183*DE183*VLOOKUP('Données projet'!$B$13,Paramètres!$A$1:$I$89,3,0)*0.475*44/12</f>
        <v>2.375040301132195E-22</v>
      </c>
      <c r="DI183" s="22">
        <f t="shared" si="175"/>
        <v>0.60071634715825273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2.2737367544323206E-13</v>
      </c>
      <c r="DP183" s="17">
        <f>DO183*VLOOKUP('Données projet'!$B$14,Paramètres!$A$1:$I$89,3,0)*VLOOKUP('Données projet'!$B$14,Paramètres!$A$1:$I$89,5,0)</f>
        <v>1.4897523215040565E-13</v>
      </c>
      <c r="DQ183" s="13">
        <f t="shared" si="176"/>
        <v>2.136562777003313E-12</v>
      </c>
      <c r="DR183" s="20">
        <f t="shared" si="177"/>
        <v>3.9806453659427267E-12</v>
      </c>
      <c r="DS183" s="59">
        <f t="shared" si="125"/>
        <v>293.33333333333729</v>
      </c>
      <c r="DT183" s="59">
        <f ca="1">AVERAGE(OFFSET($DS$3,0,0,'Données projet'!$E$14+1,1))-AVERAGE(OFFSET($H$3,0,0,'Données projet'!$E$14+1,1))</f>
        <v>295.92103934364718</v>
      </c>
      <c r="DU183" s="59">
        <f t="shared" si="152"/>
        <v>304.84379909635476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0.22868655203657362</v>
      </c>
      <c r="EB183" s="21">
        <f>EXP(-LN(2)/25)*EB182+(1-EXP(-LN(2)/25))/(LN(2)/25)*Calculateur!DW183*Calculateur!DY183*VLOOKUP('Données projet'!$B$14,Paramètres!$A$1:$I$89,3,0)*0.475*44/12</f>
        <v>0.11175236212461709</v>
      </c>
      <c r="EC183" s="21">
        <f>EXP(-LN(2)/2)*EC182+(1-EXP(-LN(2)/2))/(LN(2)/2)*DW183*DZ183*VLOOKUP('Données projet'!$B$14,Paramètres!$A$1:$I$89,3,0)*0.475*44/12</f>
        <v>1.5232602452468496E-22</v>
      </c>
      <c r="ED183" s="22">
        <f t="shared" si="178"/>
        <v>0.34043891416119071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207.2913533618397</v>
      </c>
      <c r="EP183" s="59">
        <f t="shared" si="154"/>
        <v>230.81096055024483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0.35492162187983961</v>
      </c>
      <c r="EW183" s="21">
        <f>EXP(-LN(2)/25)*EW182+(1-EXP(-LN(2)/25))/(LN(2)/25)*Calculateur!ER183*Calculateur!ET183*VLOOKUP('Données projet'!$B$15,Paramètres!$A$1:$I$89,3,0)*0.475*44/12</f>
        <v>9.4237057893414689E-2</v>
      </c>
      <c r="EX183" s="21">
        <f>EXP(-LN(2)/2)*EX182+(1-EXP(-LN(2)/2))/(LN(2)/2)*ER183*EU183*VLOOKUP('Données projet'!$B$15,Paramètres!$A$1:$I$89,3,0)*0.475*44/12</f>
        <v>7.807281594055972E-23</v>
      </c>
      <c r="EY183" s="22">
        <f t="shared" si="181"/>
        <v>0.4491586797732543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319.22903094674564</v>
      </c>
      <c r="T184" s="59">
        <f t="shared" si="142"/>
        <v>254.58690973142848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0.45621869178340357</v>
      </c>
      <c r="AA184" s="21">
        <f>EXP(-LN(2)/25)*AA183+(1-EXP(-LN(2)/25))/(LN(2)/25)*Calculateur!V184*Calculateur!X184*VLOOKUP('Données projet'!$B$9,Paramètres!$A$1:$I$89,3,0)*0.475*44/12</f>
        <v>0.16947479342097044</v>
      </c>
      <c r="AB184" s="21">
        <f>EXP(-LN(2)/2)*AB183+(1-EXP(-LN(2)/2))/(LN(2)/2)*V184*Y184*VLOOKUP('Données projet'!$B$9,Paramètres!$A$1:$I$89,3,0)*0.475*44/12</f>
        <v>2.0669380430685E-22</v>
      </c>
      <c r="AC184" s="22">
        <f t="shared" si="163"/>
        <v>0.62569348520437407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-1.9065282685915009E-13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544.48194192356823</v>
      </c>
      <c r="AO184" s="59">
        <f t="shared" si="144"/>
        <v>668.20427590250733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0.36901663906099902</v>
      </c>
      <c r="AV184" s="21">
        <f>EXP(-LN(2)/25)*AV183+(1-EXP(-LN(2)/25))/(LN(2)/25)*Calculateur!AQ184*Calculateur!AS184*VLOOKUP('Données projet'!$B$10,Paramètres!$A$1:$I$89,3,0)*0.475*44/12</f>
        <v>0.6476092201524325</v>
      </c>
      <c r="AW184" s="21">
        <f>EXP(-LN(2)/2)*AW183+(1-EXP(-LN(2)/2))/(LN(2)/2)*AQ184*AT184*VLOOKUP('Données projet'!$B$10,Paramètres!$A$1:$I$89,3,0)*0.475*44/12</f>
        <v>2.6986034817738234E-22</v>
      </c>
      <c r="AX184" s="21">
        <f t="shared" si="166"/>
        <v>1.0166258592134314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405.7176439604217</v>
      </c>
      <c r="BJ184" s="59">
        <f t="shared" si="146"/>
        <v>278.21741231699929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0.3673631127785732</v>
      </c>
      <c r="BQ184" s="21">
        <f>EXP(-LN(2)/25)*BQ183+(1-EXP(-LN(2)/25))/(LN(2)/25)*Calculateur!BL184*Calculateur!BN184*VLOOKUP('Données projet'!$B$11,Paramètres!$A$1:$I$89,3,0)*0.475*44/12</f>
        <v>0.14232322039500084</v>
      </c>
      <c r="BR184" s="21">
        <f>EXP(-LN(2)/2)*BR183+(1-EXP(-LN(2)/2))/(LN(2)/2)*BL184*BO184*VLOOKUP('Données projet'!$B$11,Paramètres!$A$1:$I$89,3,0)*0.475*44/12</f>
        <v>1.5974612575349389E-22</v>
      </c>
      <c r="BS184" s="22">
        <f t="shared" si="169"/>
        <v>0.50968633317357404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-1.7053025658242404E-13</v>
      </c>
      <c r="CU184" s="17">
        <f>CT184*VLOOKUP('Données projet'!$B$13,Paramètres!$A$1:$I$89,3,0)*VLOOKUP('Données projet'!$B$13,Paramètres!$A$1:$I$89,5,0)</f>
        <v>-1.3567387213697657E-13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299.10536994156814</v>
      </c>
      <c r="CZ184" s="59">
        <f t="shared" si="150"/>
        <v>292.57799203101769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0.42330040117037704</v>
      </c>
      <c r="DG184" s="21">
        <f>EXP(-LN(2)/25)*DG183+(1-EXP(-LN(2)/25))/(LN(2)/25)*Calculateur!DB184*Calculateur!DD184*VLOOKUP('Données projet'!$B$13,Paramètres!$A$1:$I$89,3,0)*0.475*44/12</f>
        <v>0.16432933038682621</v>
      </c>
      <c r="DH184" s="21">
        <f>EXP(-LN(2)/2)*DH183+(1-EXP(-LN(2)/2))/(LN(2)/2)*DB184*DE184*VLOOKUP('Données projet'!$B$13,Paramètres!$A$1:$I$89,3,0)*0.475*44/12</f>
        <v>1.679407102521915E-22</v>
      </c>
      <c r="DI184" s="22">
        <f t="shared" si="175"/>
        <v>0.58762973155720322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2.2737367544323206E-13</v>
      </c>
      <c r="DP184" s="17">
        <f>DO184*VLOOKUP('Données projet'!$B$14,Paramètres!$A$1:$I$89,3,0)*VLOOKUP('Données projet'!$B$14,Paramètres!$A$1:$I$89,5,0)</f>
        <v>1.4897523215040565E-13</v>
      </c>
      <c r="DQ184" s="13">
        <f t="shared" si="176"/>
        <v>2.136562777003313E-12</v>
      </c>
      <c r="DR184" s="20">
        <f t="shared" si="177"/>
        <v>3.9806453659427267E-12</v>
      </c>
      <c r="DS184" s="59">
        <f t="shared" si="125"/>
        <v>293.33333333333729</v>
      </c>
      <c r="DT184" s="59">
        <f ca="1">AVERAGE(OFFSET($DS$3,0,0,'Données projet'!$E$14+1,1))-AVERAGE(OFFSET($H$3,0,0,'Données projet'!$E$14+1,1))</f>
        <v>295.92103934364718</v>
      </c>
      <c r="DU184" s="59">
        <f t="shared" si="152"/>
        <v>304.84379909635476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0.22420214823616016</v>
      </c>
      <c r="EB184" s="21">
        <f>EXP(-LN(2)/25)*EB183+(1-EXP(-LN(2)/25))/(LN(2)/25)*Calculateur!DW184*Calculateur!DY184*VLOOKUP('Données projet'!$B$14,Paramètres!$A$1:$I$89,3,0)*0.475*44/12</f>
        <v>0.10869648790551813</v>
      </c>
      <c r="EC184" s="21">
        <f>EXP(-LN(2)/2)*EC183+(1-EXP(-LN(2)/2))/(LN(2)/2)*DW184*DZ184*VLOOKUP('Données projet'!$B$14,Paramètres!$A$1:$I$89,3,0)*0.475*44/12</f>
        <v>1.0771076489259308E-22</v>
      </c>
      <c r="ED184" s="22">
        <f t="shared" si="178"/>
        <v>0.33289863614167831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207.2913533618397</v>
      </c>
      <c r="EP184" s="59">
        <f t="shared" si="154"/>
        <v>230.81096055024483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0.34796182535558962</v>
      </c>
      <c r="EW184" s="21">
        <f>EXP(-LN(2)/25)*EW183+(1-EXP(-LN(2)/25))/(LN(2)/25)*Calculateur!ER184*Calculateur!ET184*VLOOKUP('Données projet'!$B$15,Paramètres!$A$1:$I$89,3,0)*0.475*44/12</f>
        <v>9.1660140589607766E-2</v>
      </c>
      <c r="EX184" s="21">
        <f>EXP(-LN(2)/2)*EX183+(1-EXP(-LN(2)/2))/(LN(2)/2)*ER184*EU184*VLOOKUP('Données projet'!$B$15,Paramètres!$A$1:$I$89,3,0)*0.475*44/12</f>
        <v>5.5205817577898959E-23</v>
      </c>
      <c r="EY184" s="22">
        <f t="shared" si="181"/>
        <v>0.43962196594519737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319.22903094674564</v>
      </c>
      <c r="T185" s="59">
        <f t="shared" si="142"/>
        <v>254.58690973142848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0.44727252150345653</v>
      </c>
      <c r="AA185" s="21">
        <f>EXP(-LN(2)/25)*AA184+(1-EXP(-LN(2)/25))/(LN(2)/25)*Calculateur!V185*Calculateur!X185*VLOOKUP('Données projet'!$B$9,Paramètres!$A$1:$I$89,3,0)*0.475*44/12</f>
        <v>0.16484049628258196</v>
      </c>
      <c r="AB185" s="21">
        <f>EXP(-LN(2)/2)*AB184+(1-EXP(-LN(2)/2))/(LN(2)/2)*V185*Y185*VLOOKUP('Données projet'!$B$9,Paramètres!$A$1:$I$89,3,0)*0.475*44/12</f>
        <v>1.4615459065461888E-22</v>
      </c>
      <c r="AC185" s="22">
        <f t="shared" si="163"/>
        <v>0.61211301778603855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-1.9065282685915009E-13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544.48194192356823</v>
      </c>
      <c r="AO185" s="59">
        <f t="shared" si="144"/>
        <v>668.20427590250733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0.36178044784693808</v>
      </c>
      <c r="AV185" s="21">
        <f>EXP(-LN(2)/25)*AV184+(1-EXP(-LN(2)/25))/(LN(2)/25)*Calculateur!AQ185*Calculateur!AS185*VLOOKUP('Données projet'!$B$10,Paramètres!$A$1:$I$89,3,0)*0.475*44/12</f>
        <v>0.62990031197107543</v>
      </c>
      <c r="AW185" s="21">
        <f>EXP(-LN(2)/2)*AW184+(1-EXP(-LN(2)/2))/(LN(2)/2)*AQ185*AT185*VLOOKUP('Données projet'!$B$10,Paramètres!$A$1:$I$89,3,0)*0.475*44/12</f>
        <v>1.9082008216958982E-22</v>
      </c>
      <c r="AX185" s="21">
        <f t="shared" si="166"/>
        <v>0.99168075981801351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405.7176439604217</v>
      </c>
      <c r="BJ185" s="59">
        <f t="shared" si="146"/>
        <v>278.21741231699929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0.36015934620635914</v>
      </c>
      <c r="BQ185" s="21">
        <f>EXP(-LN(2)/25)*BQ184+(1-EXP(-LN(2)/25))/(LN(2)/25)*Calculateur!BL185*Calculateur!BN185*VLOOKUP('Données projet'!$B$11,Paramètres!$A$1:$I$89,3,0)*0.475*44/12</f>
        <v>0.13843138444884667</v>
      </c>
      <c r="BR185" s="21">
        <f>EXP(-LN(2)/2)*BR184+(1-EXP(-LN(2)/2))/(LN(2)/2)*BL185*BO185*VLOOKUP('Données projet'!$B$11,Paramètres!$A$1:$I$89,3,0)*0.475*44/12</f>
        <v>1.129575687885745E-22</v>
      </c>
      <c r="BS185" s="22">
        <f t="shared" si="169"/>
        <v>0.49859073065520582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-1.7053025658242404E-13</v>
      </c>
      <c r="CU185" s="17">
        <f>CT185*VLOOKUP('Données projet'!$B$13,Paramètres!$A$1:$I$89,3,0)*VLOOKUP('Données projet'!$B$13,Paramètres!$A$1:$I$89,5,0)</f>
        <v>-1.3567387213697657E-13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299.10536994156814</v>
      </c>
      <c r="CZ185" s="59">
        <f t="shared" si="150"/>
        <v>292.57799203101769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0.41499973849117672</v>
      </c>
      <c r="DG185" s="21">
        <f>EXP(-LN(2)/25)*DG184+(1-EXP(-LN(2)/25))/(LN(2)/25)*Calculateur!DB185*Calculateur!DD185*VLOOKUP('Données projet'!$B$13,Paramètres!$A$1:$I$89,3,0)*0.475*44/12</f>
        <v>0.15983573620569455</v>
      </c>
      <c r="DH185" s="21">
        <f>EXP(-LN(2)/2)*DH184+(1-EXP(-LN(2)/2))/(LN(2)/2)*DB185*DE185*VLOOKUP('Données projet'!$B$13,Paramètres!$A$1:$I$89,3,0)*0.475*44/12</f>
        <v>1.1875201505660975E-22</v>
      </c>
      <c r="DI185" s="22">
        <f t="shared" si="175"/>
        <v>0.57483547469687124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2.2737367544323206E-13</v>
      </c>
      <c r="DP185" s="17">
        <f>DO185*VLOOKUP('Données projet'!$B$14,Paramètres!$A$1:$I$89,3,0)*VLOOKUP('Données projet'!$B$14,Paramètres!$A$1:$I$89,5,0)</f>
        <v>1.4897523215040565E-13</v>
      </c>
      <c r="DQ185" s="13">
        <f t="shared" si="176"/>
        <v>2.136562777003313E-12</v>
      </c>
      <c r="DR185" s="20">
        <f t="shared" si="177"/>
        <v>3.9806453659427267E-12</v>
      </c>
      <c r="DS185" s="59">
        <f t="shared" si="125"/>
        <v>293.33333333333729</v>
      </c>
      <c r="DT185" s="59">
        <f ca="1">AVERAGE(OFFSET($DS$3,0,0,'Données projet'!$E$14+1,1))-AVERAGE(OFFSET($H$3,0,0,'Données projet'!$E$14+1,1))</f>
        <v>295.92103934364718</v>
      </c>
      <c r="DU185" s="59">
        <f t="shared" si="152"/>
        <v>304.84379909635476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0.21980568085905658</v>
      </c>
      <c r="EB185" s="21">
        <f>EXP(-LN(2)/25)*EB184+(1-EXP(-LN(2)/25))/(LN(2)/25)*Calculateur!DW185*Calculateur!DY185*VLOOKUP('Données projet'!$B$14,Paramètres!$A$1:$I$89,3,0)*0.475*44/12</f>
        <v>0.10572417672764187</v>
      </c>
      <c r="EC185" s="21">
        <f>EXP(-LN(2)/2)*EC184+(1-EXP(-LN(2)/2))/(LN(2)/2)*DW185*DZ185*VLOOKUP('Données projet'!$B$14,Paramètres!$A$1:$I$89,3,0)*0.475*44/12</f>
        <v>7.6163012262342482E-23</v>
      </c>
      <c r="ED185" s="22">
        <f t="shared" si="178"/>
        <v>0.32552985758669845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207.2913533618397</v>
      </c>
      <c r="EP185" s="59">
        <f t="shared" si="154"/>
        <v>230.81096055024483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0.3411385061961234</v>
      </c>
      <c r="EW185" s="21">
        <f>EXP(-LN(2)/25)*EW184+(1-EXP(-LN(2)/25))/(LN(2)/25)*Calculateur!ER185*Calculateur!ET185*VLOOKUP('Données projet'!$B$15,Paramètres!$A$1:$I$89,3,0)*0.475*44/12</f>
        <v>8.9153689224987634E-2</v>
      </c>
      <c r="EX185" s="21">
        <f>EXP(-LN(2)/2)*EX184+(1-EXP(-LN(2)/2))/(LN(2)/2)*ER185*EU185*VLOOKUP('Données projet'!$B$15,Paramètres!$A$1:$I$89,3,0)*0.475*44/12</f>
        <v>3.903640797027986E-23</v>
      </c>
      <c r="EY185" s="22">
        <f t="shared" si="181"/>
        <v>0.43029219542111102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319.22903094674564</v>
      </c>
      <c r="T186" s="59">
        <f t="shared" si="142"/>
        <v>254.58690973142848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0.43850178016607416</v>
      </c>
      <c r="AA186" s="21">
        <f>EXP(-LN(2)/25)*AA185+(1-EXP(-LN(2)/25))/(LN(2)/25)*Calculateur!V186*Calculateur!X186*VLOOKUP('Données projet'!$B$9,Paramètres!$A$1:$I$89,3,0)*0.475*44/12</f>
        <v>0.16033292424314979</v>
      </c>
      <c r="AB186" s="21">
        <f>EXP(-LN(2)/2)*AB185+(1-EXP(-LN(2)/2))/(LN(2)/2)*V186*Y186*VLOOKUP('Données projet'!$B$9,Paramètres!$A$1:$I$89,3,0)*0.475*44/12</f>
        <v>1.0334690215342503E-22</v>
      </c>
      <c r="AC186" s="22">
        <f t="shared" si="163"/>
        <v>0.59883470440922393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-1.9065282685915009E-13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544.48194192356823</v>
      </c>
      <c r="AO186" s="59">
        <f t="shared" si="144"/>
        <v>668.20427590250733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0.35468615392894404</v>
      </c>
      <c r="AV186" s="21">
        <f>EXP(-LN(2)/25)*AV185+(1-EXP(-LN(2)/25))/(LN(2)/25)*Calculateur!AQ186*Calculateur!AS186*VLOOKUP('Données projet'!$B$10,Paramètres!$A$1:$I$89,3,0)*0.475*44/12</f>
        <v>0.61267565481520858</v>
      </c>
      <c r="AW186" s="21">
        <f>EXP(-LN(2)/2)*AW185+(1-EXP(-LN(2)/2))/(LN(2)/2)*AQ186*AT186*VLOOKUP('Données projet'!$B$10,Paramètres!$A$1:$I$89,3,0)*0.475*44/12</f>
        <v>1.3493017408869117E-22</v>
      </c>
      <c r="AX186" s="21">
        <f t="shared" si="166"/>
        <v>0.96736180874415267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405.7176439604217</v>
      </c>
      <c r="BJ186" s="59">
        <f t="shared" si="146"/>
        <v>278.21741231699929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0.35309684110276246</v>
      </c>
      <c r="BQ186" s="21">
        <f>EXP(-LN(2)/25)*BQ185+(1-EXP(-LN(2)/25))/(LN(2)/25)*Calculateur!BL186*Calculateur!BN186*VLOOKUP('Données projet'!$B$11,Paramètres!$A$1:$I$89,3,0)*0.475*44/12</f>
        <v>0.13464597096130285</v>
      </c>
      <c r="BR186" s="21">
        <f>EXP(-LN(2)/2)*BR185+(1-EXP(-LN(2)/2))/(LN(2)/2)*BL186*BO186*VLOOKUP('Données projet'!$B$11,Paramètres!$A$1:$I$89,3,0)*0.475*44/12</f>
        <v>7.9873062876746943E-23</v>
      </c>
      <c r="BS186" s="22">
        <f t="shared" si="169"/>
        <v>0.48774281206406533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-1.7053025658242404E-13</v>
      </c>
      <c r="CU186" s="17">
        <f>CT186*VLOOKUP('Données projet'!$B$13,Paramètres!$A$1:$I$89,3,0)*VLOOKUP('Données projet'!$B$13,Paramètres!$A$1:$I$89,5,0)</f>
        <v>-1.3567387213697657E-13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299.10536994156814</v>
      </c>
      <c r="CZ186" s="59">
        <f t="shared" si="150"/>
        <v>292.57799203101769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0.40686184674421122</v>
      </c>
      <c r="DG186" s="21">
        <f>EXP(-LN(2)/25)*DG185+(1-EXP(-LN(2)/25))/(LN(2)/25)*Calculateur!DB186*Calculateur!DD186*VLOOKUP('Données projet'!$B$13,Paramètres!$A$1:$I$89,3,0)*0.475*44/12</f>
        <v>0.15546501959375378</v>
      </c>
      <c r="DH186" s="21">
        <f>EXP(-LN(2)/2)*DH185+(1-EXP(-LN(2)/2))/(LN(2)/2)*DB186*DE186*VLOOKUP('Données projet'!$B$13,Paramètres!$A$1:$I$89,3,0)*0.475*44/12</f>
        <v>8.397035512609575E-23</v>
      </c>
      <c r="DI186" s="22">
        <f t="shared" si="175"/>
        <v>0.56232686633796503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2.2737367544323206E-13</v>
      </c>
      <c r="DP186" s="17">
        <f>DO186*VLOOKUP('Données projet'!$B$14,Paramètres!$A$1:$I$89,3,0)*VLOOKUP('Données projet'!$B$14,Paramètres!$A$1:$I$89,5,0)</f>
        <v>1.4897523215040565E-13</v>
      </c>
      <c r="DQ186" s="13">
        <f t="shared" si="176"/>
        <v>2.136562777003313E-12</v>
      </c>
      <c r="DR186" s="20">
        <f t="shared" si="177"/>
        <v>3.9806453659427267E-12</v>
      </c>
      <c r="DS186" s="59">
        <f t="shared" si="125"/>
        <v>293.33333333333729</v>
      </c>
      <c r="DT186" s="59">
        <f ca="1">AVERAGE(OFFSET($DS$3,0,0,'Données projet'!$E$14+1,1))-AVERAGE(OFFSET($H$3,0,0,'Données projet'!$E$14+1,1))</f>
        <v>295.92103934364718</v>
      </c>
      <c r="DU186" s="59">
        <f t="shared" si="152"/>
        <v>304.84379909635476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0.21549542552563766</v>
      </c>
      <c r="EB186" s="21">
        <f>EXP(-LN(2)/25)*EB185+(1-EXP(-LN(2)/25))/(LN(2)/25)*Calculateur!DW186*Calculateur!DY186*VLOOKUP('Données projet'!$B$14,Paramètres!$A$1:$I$89,3,0)*0.475*44/12</f>
        <v>0.10283314355523168</v>
      </c>
      <c r="EC186" s="21">
        <f>EXP(-LN(2)/2)*EC185+(1-EXP(-LN(2)/2))/(LN(2)/2)*DW186*DZ186*VLOOKUP('Données projet'!$B$14,Paramètres!$A$1:$I$89,3,0)*0.475*44/12</f>
        <v>5.3855382446296541E-23</v>
      </c>
      <c r="ED186" s="22">
        <f t="shared" si="178"/>
        <v>0.31832856908086937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207.2913533618397</v>
      </c>
      <c r="EP186" s="59">
        <f t="shared" si="154"/>
        <v>230.81096055024483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0.33444898816356061</v>
      </c>
      <c r="EW186" s="21">
        <f>EXP(-LN(2)/25)*EW185+(1-EXP(-LN(2)/25))/(LN(2)/25)*Calculateur!ER186*Calculateur!ET186*VLOOKUP('Données projet'!$B$15,Paramètres!$A$1:$I$89,3,0)*0.475*44/12</f>
        <v>8.6715776904741595E-2</v>
      </c>
      <c r="EX186" s="21">
        <f>EXP(-LN(2)/2)*EX185+(1-EXP(-LN(2)/2))/(LN(2)/2)*ER186*EU186*VLOOKUP('Données projet'!$B$15,Paramètres!$A$1:$I$89,3,0)*0.475*44/12</f>
        <v>2.760290878894948E-23</v>
      </c>
      <c r="EY186" s="22">
        <f t="shared" si="181"/>
        <v>0.42116476506830219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319.22903094674564</v>
      </c>
      <c r="T187" s="59">
        <f t="shared" si="142"/>
        <v>254.58690973142848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0.42990302771669392</v>
      </c>
      <c r="AA187" s="21">
        <f>EXP(-LN(2)/25)*AA186+(1-EXP(-LN(2)/25))/(LN(2)/25)*Calculateur!V187*Calculateur!X187*VLOOKUP('Données projet'!$B$9,Paramètres!$A$1:$I$89,3,0)*0.475*44/12</f>
        <v>0.15594861199817883</v>
      </c>
      <c r="AB187" s="21">
        <f>EXP(-LN(2)/2)*AB186+(1-EXP(-LN(2)/2))/(LN(2)/2)*V187*Y187*VLOOKUP('Données projet'!$B$9,Paramètres!$A$1:$I$89,3,0)*0.475*44/12</f>
        <v>7.307729532730945E-23</v>
      </c>
      <c r="AC187" s="22">
        <f t="shared" si="163"/>
        <v>0.58585163971487275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-1.9065282685915009E-13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544.48194192356823</v>
      </c>
      <c r="AO187" s="59">
        <f t="shared" si="144"/>
        <v>668.20427590250733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0.3477309747875898</v>
      </c>
      <c r="AV187" s="21">
        <f>EXP(-LN(2)/25)*AV186+(1-EXP(-LN(2)/25))/(LN(2)/25)*Calculateur!AQ187*Calculateur!AS187*VLOOKUP('Données projet'!$B$10,Paramètres!$A$1:$I$89,3,0)*0.475*44/12</f>
        <v>0.59592200681507435</v>
      </c>
      <c r="AW187" s="21">
        <f>EXP(-LN(2)/2)*AW186+(1-EXP(-LN(2)/2))/(LN(2)/2)*AQ187*AT187*VLOOKUP('Données projet'!$B$10,Paramètres!$A$1:$I$89,3,0)*0.475*44/12</f>
        <v>9.5410041084794912E-23</v>
      </c>
      <c r="AX187" s="21">
        <f t="shared" si="166"/>
        <v>0.9436529816026642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405.7176439604217</v>
      </c>
      <c r="BJ187" s="59">
        <f t="shared" si="146"/>
        <v>278.21741231699929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0.34617282741654454</v>
      </c>
      <c r="BQ187" s="21">
        <f>EXP(-LN(2)/25)*BQ186+(1-EXP(-LN(2)/25))/(LN(2)/25)*Calculateur!BL187*Calculateur!BN187*VLOOKUP('Données projet'!$B$11,Paramètres!$A$1:$I$89,3,0)*0.475*44/12</f>
        <v>0.13096406980464215</v>
      </c>
      <c r="BR187" s="21">
        <f>EXP(-LN(2)/2)*BR186+(1-EXP(-LN(2)/2))/(LN(2)/2)*BL187*BO187*VLOOKUP('Données projet'!$B$11,Paramètres!$A$1:$I$89,3,0)*0.475*44/12</f>
        <v>5.6478784394287252E-23</v>
      </c>
      <c r="BS187" s="22">
        <f t="shared" si="169"/>
        <v>0.47713689722118668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-1.7053025658242404E-13</v>
      </c>
      <c r="CU187" s="17">
        <f>CT187*VLOOKUP('Données projet'!$B$13,Paramètres!$A$1:$I$89,3,0)*VLOOKUP('Données projet'!$B$13,Paramètres!$A$1:$I$89,5,0)</f>
        <v>-1.3567387213697657E-13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299.10536994156814</v>
      </c>
      <c r="CZ187" s="59">
        <f t="shared" si="150"/>
        <v>292.57799203101769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0.39888353409077987</v>
      </c>
      <c r="DG187" s="21">
        <f>EXP(-LN(2)/25)*DG186+(1-EXP(-LN(2)/25))/(LN(2)/25)*Calculateur!DB187*Calculateur!DD187*VLOOKUP('Données projet'!$B$13,Paramètres!$A$1:$I$89,3,0)*0.475*44/12</f>
        <v>0.15121382045741252</v>
      </c>
      <c r="DH187" s="21">
        <f>EXP(-LN(2)/2)*DH186+(1-EXP(-LN(2)/2))/(LN(2)/2)*DB187*DE187*VLOOKUP('Données projet'!$B$13,Paramètres!$A$1:$I$89,3,0)*0.475*44/12</f>
        <v>5.9376007528304875E-23</v>
      </c>
      <c r="DI187" s="22">
        <f t="shared" si="175"/>
        <v>0.55009735454819242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2.2737367544323206E-13</v>
      </c>
      <c r="DP187" s="17">
        <f>DO187*VLOOKUP('Données projet'!$B$14,Paramètres!$A$1:$I$89,3,0)*VLOOKUP('Données projet'!$B$14,Paramètres!$A$1:$I$89,5,0)</f>
        <v>1.4897523215040565E-13</v>
      </c>
      <c r="DQ187" s="13">
        <f t="shared" si="176"/>
        <v>2.136562777003313E-12</v>
      </c>
      <c r="DR187" s="20">
        <f t="shared" si="177"/>
        <v>3.9806453659427267E-12</v>
      </c>
      <c r="DS187" s="59">
        <f t="shared" si="125"/>
        <v>293.33333333333729</v>
      </c>
      <c r="DT187" s="59">
        <f ca="1">AVERAGE(OFFSET($DS$3,0,0,'Données projet'!$E$14+1,1))-AVERAGE(OFFSET($H$3,0,0,'Données projet'!$E$14+1,1))</f>
        <v>295.92103934364718</v>
      </c>
      <c r="DU187" s="59">
        <f t="shared" si="152"/>
        <v>304.84379909635476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0.21126969167031093</v>
      </c>
      <c r="EB187" s="21">
        <f>EXP(-LN(2)/25)*EB186+(1-EXP(-LN(2)/25))/(LN(2)/25)*Calculateur!DW187*Calculateur!DY187*VLOOKUP('Données projet'!$B$14,Paramètres!$A$1:$I$89,3,0)*0.475*44/12</f>
        <v>0.10002116583695388</v>
      </c>
      <c r="EC187" s="21">
        <f>EXP(-LN(2)/2)*EC186+(1-EXP(-LN(2)/2))/(LN(2)/2)*DW187*DZ187*VLOOKUP('Données projet'!$B$14,Paramètres!$A$1:$I$89,3,0)*0.475*44/12</f>
        <v>3.8081506131171241E-23</v>
      </c>
      <c r="ED187" s="22">
        <f t="shared" si="178"/>
        <v>0.31129085750726482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207.2913533618397</v>
      </c>
      <c r="EP187" s="59">
        <f t="shared" si="154"/>
        <v>230.81096055024483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0.32789064749941327</v>
      </c>
      <c r="EW187" s="21">
        <f>EXP(-LN(2)/25)*EW186+(1-EXP(-LN(2)/25))/(LN(2)/25)*Calculateur!ER187*Calculateur!ET187*VLOOKUP('Données projet'!$B$15,Paramètres!$A$1:$I$89,3,0)*0.475*44/12</f>
        <v>8.4344529425096917E-2</v>
      </c>
      <c r="EX187" s="21">
        <f>EXP(-LN(2)/2)*EX186+(1-EXP(-LN(2)/2))/(LN(2)/2)*ER187*EU187*VLOOKUP('Données projet'!$B$15,Paramètres!$A$1:$I$89,3,0)*0.475*44/12</f>
        <v>1.951820398513993E-23</v>
      </c>
      <c r="EY187" s="22">
        <f t="shared" si="181"/>
        <v>0.41223517692451017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319.22903094674564</v>
      </c>
      <c r="T188" s="59">
        <f t="shared" si="142"/>
        <v>254.58690973142848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0.4214728915581249</v>
      </c>
      <c r="AA188" s="21">
        <f>EXP(-LN(2)/25)*AA187+(1-EXP(-LN(2)/25))/(LN(2)/25)*Calculateur!V188*Calculateur!X188*VLOOKUP('Données projet'!$B$9,Paramètres!$A$1:$I$89,3,0)*0.475*44/12</f>
        <v>0.15168418900210756</v>
      </c>
      <c r="AB188" s="21">
        <f>EXP(-LN(2)/2)*AB187+(1-EXP(-LN(2)/2))/(LN(2)/2)*V188*Y188*VLOOKUP('Données projet'!$B$9,Paramètres!$A$1:$I$89,3,0)*0.475*44/12</f>
        <v>5.1673451076712519E-23</v>
      </c>
      <c r="AC188" s="22">
        <f t="shared" si="163"/>
        <v>0.5731570805602324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-1.9065282685915009E-13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544.48194192356823</v>
      </c>
      <c r="AO188" s="59">
        <f t="shared" si="144"/>
        <v>668.20427590250733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0.34091218246695715</v>
      </c>
      <c r="AV188" s="21">
        <f>EXP(-LN(2)/25)*AV187+(1-EXP(-LN(2)/25))/(LN(2)/25)*Calculateur!AQ188*Calculateur!AS188*VLOOKUP('Données projet'!$B$10,Paramètres!$A$1:$I$89,3,0)*0.475*44/12</f>
        <v>0.57962648820053975</v>
      </c>
      <c r="AW188" s="21">
        <f>EXP(-LN(2)/2)*AW187+(1-EXP(-LN(2)/2))/(LN(2)/2)*AQ188*AT188*VLOOKUP('Données projet'!$B$10,Paramètres!$A$1:$I$89,3,0)*0.475*44/12</f>
        <v>6.7465087044345584E-23</v>
      </c>
      <c r="AX188" s="21">
        <f t="shared" si="166"/>
        <v>0.92053867066749695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405.7176439604217</v>
      </c>
      <c r="BJ188" s="59">
        <f t="shared" si="146"/>
        <v>278.21741231699929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0.33938458941548205</v>
      </c>
      <c r="BQ188" s="21">
        <f>EXP(-LN(2)/25)*BQ187+(1-EXP(-LN(2)/25))/(LN(2)/25)*Calculateur!BL188*Calculateur!BN188*VLOOKUP('Données projet'!$B$11,Paramètres!$A$1:$I$89,3,0)*0.475*44/12</f>
        <v>0.1273828504287331</v>
      </c>
      <c r="BR188" s="21">
        <f>EXP(-LN(2)/2)*BR187+(1-EXP(-LN(2)/2))/(LN(2)/2)*BL188*BO188*VLOOKUP('Données projet'!$B$11,Paramètres!$A$1:$I$89,3,0)*0.475*44/12</f>
        <v>3.9936531438373472E-23</v>
      </c>
      <c r="BS188" s="22">
        <f t="shared" si="169"/>
        <v>0.46676743984421515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-1.7053025658242404E-13</v>
      </c>
      <c r="CU188" s="17">
        <f>CT188*VLOOKUP('Données projet'!$B$13,Paramètres!$A$1:$I$89,3,0)*VLOOKUP('Données projet'!$B$13,Paramètres!$A$1:$I$89,5,0)</f>
        <v>-1.3567387213697657E-13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299.10536994156814</v>
      </c>
      <c r="CZ188" s="59">
        <f t="shared" si="150"/>
        <v>292.57799203101769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0.3910616712821921</v>
      </c>
      <c r="DG188" s="21">
        <f>EXP(-LN(2)/25)*DG187+(1-EXP(-LN(2)/25))/(LN(2)/25)*Calculateur!DB188*Calculateur!DD188*VLOOKUP('Données projet'!$B$13,Paramètres!$A$1:$I$89,3,0)*0.475*44/12</f>
        <v>0.14707887058501537</v>
      </c>
      <c r="DH188" s="21">
        <f>EXP(-LN(2)/2)*DH187+(1-EXP(-LN(2)/2))/(LN(2)/2)*DB188*DE188*VLOOKUP('Données projet'!$B$13,Paramètres!$A$1:$I$89,3,0)*0.475*44/12</f>
        <v>4.1985177563047875E-23</v>
      </c>
      <c r="DI188" s="22">
        <f t="shared" si="175"/>
        <v>0.5381405418672075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2.2737367544323206E-13</v>
      </c>
      <c r="DP188" s="17">
        <f>DO188*VLOOKUP('Données projet'!$B$14,Paramètres!$A$1:$I$89,3,0)*VLOOKUP('Données projet'!$B$14,Paramètres!$A$1:$I$89,5,0)</f>
        <v>1.4897523215040565E-13</v>
      </c>
      <c r="DQ188" s="13">
        <f t="shared" si="176"/>
        <v>2.136562777003313E-12</v>
      </c>
      <c r="DR188" s="20">
        <f t="shared" si="177"/>
        <v>3.9806453659427267E-12</v>
      </c>
      <c r="DS188" s="59">
        <f t="shared" si="125"/>
        <v>293.33333333333729</v>
      </c>
      <c r="DT188" s="59">
        <f ca="1">AVERAGE(OFFSET($DS$3,0,0,'Données projet'!$E$14+1,1))-AVERAGE(OFFSET($H$3,0,0,'Données projet'!$E$14+1,1))</f>
        <v>295.92103934364718</v>
      </c>
      <c r="DU188" s="59">
        <f t="shared" si="152"/>
        <v>304.84379909635476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0.207126821878444</v>
      </c>
      <c r="EB188" s="21">
        <f>EXP(-LN(2)/25)*EB187+(1-EXP(-LN(2)/25))/(LN(2)/25)*Calculateur!DW188*Calculateur!DY188*VLOOKUP('Données projet'!$B$14,Paramètres!$A$1:$I$89,3,0)*0.475*44/12</f>
        <v>9.7286081797257867E-2</v>
      </c>
      <c r="EC188" s="21">
        <f>EXP(-LN(2)/2)*EC187+(1-EXP(-LN(2)/2))/(LN(2)/2)*DW188*DZ188*VLOOKUP('Données projet'!$B$14,Paramètres!$A$1:$I$89,3,0)*0.475*44/12</f>
        <v>2.692769122314827E-23</v>
      </c>
      <c r="ED188" s="22">
        <f t="shared" si="178"/>
        <v>0.30441290367570184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207.2913533618397</v>
      </c>
      <c r="EP188" s="59">
        <f t="shared" si="154"/>
        <v>230.81096055024483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0.32146091189549703</v>
      </c>
      <c r="EW188" s="21">
        <f>EXP(-LN(2)/25)*EW187+(1-EXP(-LN(2)/25))/(LN(2)/25)*Calculateur!ER188*Calculateur!ET188*VLOOKUP('Données projet'!$B$15,Paramètres!$A$1:$I$89,3,0)*0.475*44/12</f>
        <v>8.2038123832481616E-2</v>
      </c>
      <c r="EX188" s="21">
        <f>EXP(-LN(2)/2)*EX187+(1-EXP(-LN(2)/2))/(LN(2)/2)*ER188*EU188*VLOOKUP('Données projet'!$B$15,Paramètres!$A$1:$I$89,3,0)*0.475*44/12</f>
        <v>1.380145439447474E-23</v>
      </c>
      <c r="EY188" s="22">
        <f t="shared" si="181"/>
        <v>0.40349903572797863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319.22903094674564</v>
      </c>
      <c r="T189" s="59">
        <f t="shared" si="142"/>
        <v>254.58690973142848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0.41320806522775005</v>
      </c>
      <c r="AA189" s="21">
        <f>EXP(-LN(2)/25)*AA188+(1-EXP(-LN(2)/25))/(LN(2)/25)*Calculateur!V189*Calculateur!X189*VLOOKUP('Données projet'!$B$9,Paramètres!$A$1:$I$89,3,0)*0.475*44/12</f>
        <v>0.1475363768771201</v>
      </c>
      <c r="AB189" s="21">
        <f>EXP(-LN(2)/2)*AB188+(1-EXP(-LN(2)/2))/(LN(2)/2)*V189*Y189*VLOOKUP('Données projet'!$B$9,Paramètres!$A$1:$I$89,3,0)*0.475*44/12</f>
        <v>3.6538647663654731E-23</v>
      </c>
      <c r="AC189" s="22">
        <f t="shared" si="163"/>
        <v>0.56074444210487018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-1.9065282685915009E-13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544.48194192356823</v>
      </c>
      <c r="AO189" s="59">
        <f t="shared" si="144"/>
        <v>668.20427590250733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0.33422710250467946</v>
      </c>
      <c r="AV189" s="21">
        <f>EXP(-LN(2)/25)*AV188+(1-EXP(-LN(2)/25))/(LN(2)/25)*Calculateur!AQ189*Calculateur!AS189*VLOOKUP('Données projet'!$B$10,Paramètres!$A$1:$I$89,3,0)*0.475*44/12</f>
        <v>0.56377657139946369</v>
      </c>
      <c r="AW189" s="21">
        <f>EXP(-LN(2)/2)*AW188+(1-EXP(-LN(2)/2))/(LN(2)/2)*AQ189*AT189*VLOOKUP('Données projet'!$B$10,Paramètres!$A$1:$I$89,3,0)*0.475*44/12</f>
        <v>4.7705020542397456E-23</v>
      </c>
      <c r="AX189" s="21">
        <f t="shared" si="166"/>
        <v>0.89800367390414315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405.7176439604217</v>
      </c>
      <c r="BJ189" s="59">
        <f t="shared" si="146"/>
        <v>278.21741231699929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0.33272946462120401</v>
      </c>
      <c r="BQ189" s="21">
        <f>EXP(-LN(2)/25)*BQ188+(1-EXP(-LN(2)/25))/(LN(2)/25)*Calculateur!BL189*Calculateur!BN189*VLOOKUP('Données projet'!$B$11,Paramètres!$A$1:$I$89,3,0)*0.475*44/12</f>
        <v>0.12389955968498642</v>
      </c>
      <c r="BR189" s="21">
        <f>EXP(-LN(2)/2)*BR188+(1-EXP(-LN(2)/2))/(LN(2)/2)*BL189*BO189*VLOOKUP('Données projet'!$B$11,Paramètres!$A$1:$I$89,3,0)*0.475*44/12</f>
        <v>2.8239392197143626E-23</v>
      </c>
      <c r="BS189" s="22">
        <f t="shared" si="169"/>
        <v>0.45662902430619046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-1.7053025658242404E-13</v>
      </c>
      <c r="CU189" s="17">
        <f>CT189*VLOOKUP('Données projet'!$B$13,Paramètres!$A$1:$I$89,3,0)*VLOOKUP('Données projet'!$B$13,Paramètres!$A$1:$I$89,5,0)</f>
        <v>-1.3567387213697657E-13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299.10536994156814</v>
      </c>
      <c r="CZ189" s="59">
        <f t="shared" si="150"/>
        <v>292.57799203101769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0.38339319043241549</v>
      </c>
      <c r="DG189" s="21">
        <f>EXP(-LN(2)/25)*DG188+(1-EXP(-LN(2)/25))/(LN(2)/25)*Calculateur!DB189*Calculateur!DD189*VLOOKUP('Données projet'!$B$13,Paramètres!$A$1:$I$89,3,0)*0.475*44/12</f>
        <v>0.14305699113432646</v>
      </c>
      <c r="DH189" s="21">
        <f>EXP(-LN(2)/2)*DH188+(1-EXP(-LN(2)/2))/(LN(2)/2)*DB189*DE189*VLOOKUP('Données projet'!$B$13,Paramètres!$A$1:$I$89,3,0)*0.475*44/12</f>
        <v>2.9688003764152438E-23</v>
      </c>
      <c r="DI189" s="22">
        <f t="shared" si="175"/>
        <v>0.52645018156674195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2.2737367544323206E-13</v>
      </c>
      <c r="DP189" s="17">
        <f>DO189*VLOOKUP('Données projet'!$B$14,Paramètres!$A$1:$I$89,3,0)*VLOOKUP('Données projet'!$B$14,Paramètres!$A$1:$I$89,5,0)</f>
        <v>1.4897523215040565E-13</v>
      </c>
      <c r="DQ189" s="13">
        <f t="shared" si="176"/>
        <v>2.136562777003313E-12</v>
      </c>
      <c r="DR189" s="20">
        <f t="shared" si="177"/>
        <v>3.9806453659427267E-12</v>
      </c>
      <c r="DS189" s="59">
        <f t="shared" si="125"/>
        <v>293.33333333333729</v>
      </c>
      <c r="DT189" s="59">
        <f ca="1">AVERAGE(OFFSET($DS$3,0,0,'Données projet'!$E$14+1,1))-AVERAGE(OFFSET($H$3,0,0,'Données projet'!$E$14+1,1))</f>
        <v>295.92103934364718</v>
      </c>
      <c r="DU189" s="59">
        <f t="shared" si="152"/>
        <v>304.84379909635476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0.20306519123629452</v>
      </c>
      <c r="EB189" s="21">
        <f>EXP(-LN(2)/25)*EB188+(1-EXP(-LN(2)/25))/(LN(2)/25)*Calculateur!DW189*Calculateur!DY189*VLOOKUP('Données projet'!$B$14,Paramètres!$A$1:$I$89,3,0)*0.475*44/12</f>
        <v>9.4625788774459166E-2</v>
      </c>
      <c r="EC189" s="21">
        <f>EXP(-LN(2)/2)*EC188+(1-EXP(-LN(2)/2))/(LN(2)/2)*DW189*DZ189*VLOOKUP('Données projet'!$B$14,Paramètres!$A$1:$I$89,3,0)*0.475*44/12</f>
        <v>1.9040753065585621E-23</v>
      </c>
      <c r="ED189" s="22">
        <f t="shared" si="178"/>
        <v>0.29769098001075367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207.2913533618397</v>
      </c>
      <c r="EP189" s="59">
        <f t="shared" si="154"/>
        <v>230.81096055024483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0.3151572594850221</v>
      </c>
      <c r="EW189" s="21">
        <f>EXP(-LN(2)/25)*EW188+(1-EXP(-LN(2)/25))/(LN(2)/25)*Calculateur!ER189*Calculateur!ET189*VLOOKUP('Données projet'!$B$15,Paramètres!$A$1:$I$89,3,0)*0.475*44/12</f>
        <v>7.9794787022084979E-2</v>
      </c>
      <c r="EX189" s="21">
        <f>EXP(-LN(2)/2)*EX188+(1-EXP(-LN(2)/2))/(LN(2)/2)*ER189*EU189*VLOOKUP('Données projet'!$B$15,Paramètres!$A$1:$I$89,3,0)*0.475*44/12</f>
        <v>9.759101992569965E-24</v>
      </c>
      <c r="EY189" s="22">
        <f t="shared" si="181"/>
        <v>0.39495204650710708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319.22903094674564</v>
      </c>
      <c r="T190" s="59">
        <f t="shared" si="142"/>
        <v>254.58690973142848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0.40510530710066756</v>
      </c>
      <c r="AA190" s="21">
        <f>EXP(-LN(2)/25)*AA189+(1-EXP(-LN(2)/25))/(LN(2)/25)*Calculateur!V190*Calculateur!X190*VLOOKUP('Données projet'!$B$9,Paramètres!$A$1:$I$89,3,0)*0.475*44/12</f>
        <v>0.14350198689281438</v>
      </c>
      <c r="AB190" s="21">
        <f>EXP(-LN(2)/2)*AB189+(1-EXP(-LN(2)/2))/(LN(2)/2)*V190*Y190*VLOOKUP('Données projet'!$B$9,Paramètres!$A$1:$I$89,3,0)*0.475*44/12</f>
        <v>2.5836725538356262E-23</v>
      </c>
      <c r="AC190" s="22">
        <f t="shared" si="163"/>
        <v>0.54860729399348196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-1.9065282685915009E-13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544.48194192356823</v>
      </c>
      <c r="AO190" s="59">
        <f t="shared" si="144"/>
        <v>668.20427590250733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0.32767311288296586</v>
      </c>
      <c r="AV190" s="21">
        <f>EXP(-LN(2)/25)*AV189+(1-EXP(-LN(2)/25))/(LN(2)/25)*Calculateur!AQ190*Calculateur!AS190*VLOOKUP('Données projet'!$B$10,Paramètres!$A$1:$I$89,3,0)*0.475*44/12</f>
        <v>0.54836007140682397</v>
      </c>
      <c r="AW190" s="21">
        <f>EXP(-LN(2)/2)*AW189+(1-EXP(-LN(2)/2))/(LN(2)/2)*AQ190*AT190*VLOOKUP('Données projet'!$B$10,Paramètres!$A$1:$I$89,3,0)*0.475*44/12</f>
        <v>3.3732543522172792E-23</v>
      </c>
      <c r="AX190" s="21">
        <f t="shared" si="166"/>
        <v>0.87603318428978982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405.7176439604217</v>
      </c>
      <c r="BJ190" s="59">
        <f t="shared" si="146"/>
        <v>278.21741231699929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0.32620484276491646</v>
      </c>
      <c r="BQ190" s="21">
        <f>EXP(-LN(2)/25)*BQ189+(1-EXP(-LN(2)/25))/(LN(2)/25)*Calculateur!BL190*Calculateur!BN190*VLOOKUP('Données projet'!$B$11,Paramètres!$A$1:$I$89,3,0)*0.475*44/12</f>
        <v>0.12051151970980579</v>
      </c>
      <c r="BR190" s="21">
        <f>EXP(-LN(2)/2)*BR189+(1-EXP(-LN(2)/2))/(LN(2)/2)*BL190*BO190*VLOOKUP('Données projet'!$B$11,Paramètres!$A$1:$I$89,3,0)*0.475*44/12</f>
        <v>1.9968265719186736E-23</v>
      </c>
      <c r="BS190" s="22">
        <f t="shared" si="169"/>
        <v>0.44671636247472224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-1.7053025658242404E-13</v>
      </c>
      <c r="CU190" s="17">
        <f>CT190*VLOOKUP('Données projet'!$B$13,Paramètres!$A$1:$I$89,3,0)*VLOOKUP('Données projet'!$B$13,Paramètres!$A$1:$I$89,5,0)</f>
        <v>-1.3567387213697657E-13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299.10536994156814</v>
      </c>
      <c r="CZ190" s="59">
        <f t="shared" si="150"/>
        <v>292.57799203101769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0.37587508381479151</v>
      </c>
      <c r="DG190" s="21">
        <f>EXP(-LN(2)/25)*DG189+(1-EXP(-LN(2)/25))/(LN(2)/25)*Calculateur!DB190*Calculateur!DD190*VLOOKUP('Données projet'!$B$13,Paramètres!$A$1:$I$89,3,0)*0.475*44/12</f>
        <v>0.1391450901887181</v>
      </c>
      <c r="DH190" s="21">
        <f>EXP(-LN(2)/2)*DH189+(1-EXP(-LN(2)/2))/(LN(2)/2)*DB190*DE190*VLOOKUP('Données projet'!$B$13,Paramètres!$A$1:$I$89,3,0)*0.475*44/12</f>
        <v>2.0992588781523938E-23</v>
      </c>
      <c r="DI190" s="22">
        <f t="shared" si="175"/>
        <v>0.51502017400350963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2.2737367544323206E-13</v>
      </c>
      <c r="DP190" s="17">
        <f>DO190*VLOOKUP('Données projet'!$B$14,Paramètres!$A$1:$I$89,3,0)*VLOOKUP('Données projet'!$B$14,Paramètres!$A$1:$I$89,5,0)</f>
        <v>1.4897523215040565E-13</v>
      </c>
      <c r="DQ190" s="13">
        <f t="shared" si="176"/>
        <v>2.136562777003313E-12</v>
      </c>
      <c r="DR190" s="20">
        <f t="shared" si="177"/>
        <v>3.9806453659427267E-12</v>
      </c>
      <c r="DS190" s="59">
        <f t="shared" si="125"/>
        <v>293.33333333333729</v>
      </c>
      <c r="DT190" s="59">
        <f ca="1">AVERAGE(OFFSET($DS$3,0,0,'Données projet'!$E$14+1,1))-AVERAGE(OFFSET($H$3,0,0,'Données projet'!$E$14+1,1))</f>
        <v>295.92103934364718</v>
      </c>
      <c r="DU190" s="59">
        <f t="shared" si="152"/>
        <v>304.84379909635476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0.19908320669368751</v>
      </c>
      <c r="EB190" s="21">
        <f>EXP(-LN(2)/25)*EB189+(1-EXP(-LN(2)/25))/(LN(2)/25)*Calculateur!DW190*Calculateur!DY190*VLOOKUP('Données projet'!$B$14,Paramètres!$A$1:$I$89,3,0)*0.475*44/12</f>
        <v>9.2038241604267615E-2</v>
      </c>
      <c r="EC190" s="21">
        <f>EXP(-LN(2)/2)*EC189+(1-EXP(-LN(2)/2))/(LN(2)/2)*DW190*DZ190*VLOOKUP('Données projet'!$B$14,Paramètres!$A$1:$I$89,3,0)*0.475*44/12</f>
        <v>1.3463845611574135E-23</v>
      </c>
      <c r="ED190" s="22">
        <f t="shared" si="178"/>
        <v>0.29112144829795511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207.2913533618397</v>
      </c>
      <c r="EP190" s="59">
        <f t="shared" si="154"/>
        <v>230.81096055024483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0.30897721785346827</v>
      </c>
      <c r="EW190" s="21">
        <f>EXP(-LN(2)/25)*EW189+(1-EXP(-LN(2)/25))/(LN(2)/25)*Calculateur!ER190*Calculateur!ET190*VLOOKUP('Données projet'!$B$15,Paramètres!$A$1:$I$89,3,0)*0.475*44/12</f>
        <v>7.7612794374740585E-2</v>
      </c>
      <c r="EX190" s="21">
        <f>EXP(-LN(2)/2)*EX189+(1-EXP(-LN(2)/2))/(LN(2)/2)*ER190*EU190*VLOOKUP('Données projet'!$B$15,Paramètres!$A$1:$I$89,3,0)*0.475*44/12</f>
        <v>6.9007271972373699E-24</v>
      </c>
      <c r="EY190" s="22">
        <f t="shared" si="181"/>
        <v>0.38659001222820888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319.22903094674564</v>
      </c>
      <c r="T191" s="59">
        <f t="shared" si="142"/>
        <v>254.58690973142848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0.39716143911826268</v>
      </c>
      <c r="AA191" s="21">
        <f>EXP(-LN(2)/25)*AA190+(1-EXP(-LN(2)/25))/(LN(2)/25)*Calculateur!V191*Calculateur!X191*VLOOKUP('Données projet'!$B$9,Paramètres!$A$1:$I$89,3,0)*0.475*44/12</f>
        <v>0.13957791751478885</v>
      </c>
      <c r="AB191" s="21">
        <f>EXP(-LN(2)/2)*AB190+(1-EXP(-LN(2)/2))/(LN(2)/2)*V191*Y191*VLOOKUP('Données projet'!$B$9,Paramètres!$A$1:$I$89,3,0)*0.475*44/12</f>
        <v>1.8269323831827368E-23</v>
      </c>
      <c r="AC191" s="22">
        <f t="shared" si="163"/>
        <v>0.5367393566330515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-1.9065282685915009E-13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544.48194192356823</v>
      </c>
      <c r="AO191" s="59">
        <f t="shared" si="144"/>
        <v>668.20427590250733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0.32124764300019515</v>
      </c>
      <c r="AV191" s="21">
        <f>EXP(-LN(2)/25)*AV190+(1-EXP(-LN(2)/25))/(LN(2)/25)*Calculateur!AQ191*Calculateur!AS191*VLOOKUP('Données projet'!$B$10,Paramètres!$A$1:$I$89,3,0)*0.475*44/12</f>
        <v>0.53336513641720151</v>
      </c>
      <c r="AW191" s="21">
        <f>EXP(-LN(2)/2)*AW190+(1-EXP(-LN(2)/2))/(LN(2)/2)*AQ191*AT191*VLOOKUP('Données projet'!$B$10,Paramètres!$A$1:$I$89,3,0)*0.475*44/12</f>
        <v>2.3852510271198728E-23</v>
      </c>
      <c r="AX191" s="21">
        <f t="shared" si="166"/>
        <v>0.85461277941739666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405.7176439604217</v>
      </c>
      <c r="BJ191" s="59">
        <f t="shared" si="146"/>
        <v>278.21741231699929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0.31980816476360435</v>
      </c>
      <c r="BQ191" s="21">
        <f>EXP(-LN(2)/25)*BQ190+(1-EXP(-LN(2)/25))/(LN(2)/25)*Calculateur!BL191*Calculateur!BN191*VLOOKUP('Données projet'!$B$11,Paramètres!$A$1:$I$89,3,0)*0.475*44/12</f>
        <v>0.11721612586591576</v>
      </c>
      <c r="BR191" s="21">
        <f>EXP(-LN(2)/2)*BR190+(1-EXP(-LN(2)/2))/(LN(2)/2)*BL191*BO191*VLOOKUP('Données projet'!$B$11,Paramètres!$A$1:$I$89,3,0)*0.475*44/12</f>
        <v>1.4119696098571813E-23</v>
      </c>
      <c r="BS191" s="22">
        <f t="shared" si="169"/>
        <v>0.43702429062952008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-1.7053025658242404E-13</v>
      </c>
      <c r="CU191" s="17">
        <f>CT191*VLOOKUP('Données projet'!$B$13,Paramètres!$A$1:$I$89,3,0)*VLOOKUP('Données projet'!$B$13,Paramètres!$A$1:$I$89,5,0)</f>
        <v>-1.3567387213697657E-13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299.10536994156814</v>
      </c>
      <c r="CZ191" s="59">
        <f t="shared" si="150"/>
        <v>292.57799203101769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0.36850440268234691</v>
      </c>
      <c r="DG191" s="21">
        <f>EXP(-LN(2)/25)*DG190+(1-EXP(-LN(2)/25))/(LN(2)/25)*Calculateur!DB191*Calculateur!DD191*VLOOKUP('Données projet'!$B$13,Paramètres!$A$1:$I$89,3,0)*0.475*44/12</f>
        <v>0.13534016038018531</v>
      </c>
      <c r="DH191" s="21">
        <f>EXP(-LN(2)/2)*DH190+(1-EXP(-LN(2)/2))/(LN(2)/2)*DB191*DE191*VLOOKUP('Données projet'!$B$13,Paramètres!$A$1:$I$89,3,0)*0.475*44/12</f>
        <v>1.4844001882076219E-23</v>
      </c>
      <c r="DI191" s="22">
        <f t="shared" si="175"/>
        <v>0.50384456306253222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2.2737367544323206E-13</v>
      </c>
      <c r="DP191" s="17">
        <f>DO191*VLOOKUP('Données projet'!$B$14,Paramètres!$A$1:$I$89,3,0)*VLOOKUP('Données projet'!$B$14,Paramètres!$A$1:$I$89,5,0)</f>
        <v>1.4897523215040565E-13</v>
      </c>
      <c r="DQ191" s="13">
        <f t="shared" si="176"/>
        <v>2.136562777003313E-12</v>
      </c>
      <c r="DR191" s="20">
        <f t="shared" si="177"/>
        <v>3.9806453659427267E-12</v>
      </c>
      <c r="DS191" s="59">
        <f t="shared" si="125"/>
        <v>293.33333333333729</v>
      </c>
      <c r="DT191" s="59">
        <f ca="1">AVERAGE(OFFSET($DS$3,0,0,'Données projet'!$E$14+1,1))-AVERAGE(OFFSET($H$3,0,0,'Données projet'!$E$14+1,1))</f>
        <v>295.92103934364718</v>
      </c>
      <c r="DU191" s="59">
        <f t="shared" si="152"/>
        <v>304.84379909635476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0.19517930643919029</v>
      </c>
      <c r="EB191" s="21">
        <f>EXP(-LN(2)/25)*EB190+(1-EXP(-LN(2)/25))/(LN(2)/25)*Calculateur!DW191*Calculateur!DY191*VLOOKUP('Données projet'!$B$14,Paramètres!$A$1:$I$89,3,0)*0.475*44/12</f>
        <v>8.9521451047518144E-2</v>
      </c>
      <c r="EC191" s="21">
        <f>EXP(-LN(2)/2)*EC190+(1-EXP(-LN(2)/2))/(LN(2)/2)*DW191*DZ191*VLOOKUP('Données projet'!$B$14,Paramètres!$A$1:$I$89,3,0)*0.475*44/12</f>
        <v>9.5203765327928103E-24</v>
      </c>
      <c r="ED191" s="22">
        <f t="shared" si="178"/>
        <v>0.28470075748670842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207.2913533618397</v>
      </c>
      <c r="EP191" s="59">
        <f t="shared" si="154"/>
        <v>230.81096055024483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0.302918363068856</v>
      </c>
      <c r="EW191" s="21">
        <f>EXP(-LN(2)/25)*EW190+(1-EXP(-LN(2)/25))/(LN(2)/25)*Calculateur!ER191*Calculateur!ET191*VLOOKUP('Données projet'!$B$15,Paramètres!$A$1:$I$89,3,0)*0.475*44/12</f>
        <v>7.549046843108384E-2</v>
      </c>
      <c r="EX191" s="21">
        <f>EXP(-LN(2)/2)*EX190+(1-EXP(-LN(2)/2))/(LN(2)/2)*ER191*EU191*VLOOKUP('Données projet'!$B$15,Paramètres!$A$1:$I$89,3,0)*0.475*44/12</f>
        <v>4.8795509962849825E-24</v>
      </c>
      <c r="EY191" s="22">
        <f t="shared" si="181"/>
        <v>0.37840883149993987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319.22903094674564</v>
      </c>
      <c r="T192" s="59">
        <f t="shared" si="142"/>
        <v>254.58690973142848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0.38937334554171177</v>
      </c>
      <c r="AA192" s="21">
        <f>EXP(-LN(2)/25)*AA191+(1-EXP(-LN(2)/25))/(LN(2)/25)*Calculateur!V192*Calculateur!X192*VLOOKUP('Données projet'!$B$9,Paramètres!$A$1:$I$89,3,0)*0.475*44/12</f>
        <v>0.13576115202026326</v>
      </c>
      <c r="AB192" s="21">
        <f>EXP(-LN(2)/2)*AB191+(1-EXP(-LN(2)/2))/(LN(2)/2)*V192*Y192*VLOOKUP('Données projet'!$B$9,Paramètres!$A$1:$I$89,3,0)*0.475*44/12</f>
        <v>1.2918362769178134E-23</v>
      </c>
      <c r="AC192" s="22">
        <f t="shared" si="163"/>
        <v>0.52513449756197506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-1.9065282685915009E-13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544.48194192356823</v>
      </c>
      <c r="AO192" s="59">
        <f t="shared" si="144"/>
        <v>668.20427590250733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0.31494817266267594</v>
      </c>
      <c r="AV192" s="21">
        <f>EXP(-LN(2)/25)*AV191+(1-EXP(-LN(2)/25))/(LN(2)/25)*Calculateur!AQ192*Calculateur!AS192*VLOOKUP('Données projet'!$B$10,Paramètres!$A$1:$I$89,3,0)*0.475*44/12</f>
        <v>0.51878023871341961</v>
      </c>
      <c r="AW192" s="21">
        <f>EXP(-LN(2)/2)*AW191+(1-EXP(-LN(2)/2))/(LN(2)/2)*AQ192*AT192*VLOOKUP('Données projet'!$B$10,Paramètres!$A$1:$I$89,3,0)*0.475*44/12</f>
        <v>1.6866271761086396E-23</v>
      </c>
      <c r="AX192" s="21">
        <f t="shared" si="166"/>
        <v>0.83372841137609555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405.7176439604217</v>
      </c>
      <c r="BJ192" s="59">
        <f t="shared" si="146"/>
        <v>278.21741231699929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0.31353692171630965</v>
      </c>
      <c r="BQ192" s="21">
        <f>EXP(-LN(2)/25)*BQ191+(1-EXP(-LN(2)/25))/(LN(2)/25)*Calculateur!BL192*Calculateur!BN192*VLOOKUP('Données projet'!$B$11,Paramètres!$A$1:$I$89,3,0)*0.475*44/12</f>
        <v>0.11401084473998413</v>
      </c>
      <c r="BR192" s="21">
        <f>EXP(-LN(2)/2)*BR191+(1-EXP(-LN(2)/2))/(LN(2)/2)*BL192*BO192*VLOOKUP('Données projet'!$B$11,Paramètres!$A$1:$I$89,3,0)*0.475*44/12</f>
        <v>9.9841328595933679E-24</v>
      </c>
      <c r="BS192" s="22">
        <f t="shared" si="169"/>
        <v>0.42754776645629378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-1.7053025658242404E-13</v>
      </c>
      <c r="CU192" s="17">
        <f>CT192*VLOOKUP('Données projet'!$B$13,Paramètres!$A$1:$I$89,3,0)*VLOOKUP('Données projet'!$B$13,Paramètres!$A$1:$I$89,5,0)</f>
        <v>-1.3567387213697657E-13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299.10536994156814</v>
      </c>
      <c r="CZ192" s="59">
        <f t="shared" si="150"/>
        <v>292.57799203101769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0.36127825611123798</v>
      </c>
      <c r="DG192" s="21">
        <f>EXP(-LN(2)/25)*DG191+(1-EXP(-LN(2)/25))/(LN(2)/25)*Calculateur!DB192*Calculateur!DD192*VLOOKUP('Données projet'!$B$13,Paramètres!$A$1:$I$89,3,0)*0.475*44/12</f>
        <v>0.13163927657735944</v>
      </c>
      <c r="DH192" s="21">
        <f>EXP(-LN(2)/2)*DH191+(1-EXP(-LN(2)/2))/(LN(2)/2)*DB192*DE192*VLOOKUP('Données projet'!$B$13,Paramètres!$A$1:$I$89,3,0)*0.475*44/12</f>
        <v>1.0496294390761969E-23</v>
      </c>
      <c r="DI192" s="22">
        <f t="shared" si="175"/>
        <v>0.49291753268859739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2.2737367544323206E-13</v>
      </c>
      <c r="DP192" s="17">
        <f>DO192*VLOOKUP('Données projet'!$B$14,Paramètres!$A$1:$I$89,3,0)*VLOOKUP('Données projet'!$B$14,Paramètres!$A$1:$I$89,5,0)</f>
        <v>1.4897523215040565E-13</v>
      </c>
      <c r="DQ192" s="13">
        <f t="shared" si="176"/>
        <v>2.136562777003313E-12</v>
      </c>
      <c r="DR192" s="20">
        <f t="shared" si="177"/>
        <v>3.9806453659427267E-12</v>
      </c>
      <c r="DS192" s="59">
        <f t="shared" si="125"/>
        <v>293.33333333333729</v>
      </c>
      <c r="DT192" s="59">
        <f ca="1">AVERAGE(OFFSET($DS$3,0,0,'Données projet'!$E$14+1,1))-AVERAGE(OFFSET($H$3,0,0,'Données projet'!$E$14+1,1))</f>
        <v>295.92103934364718</v>
      </c>
      <c r="DU192" s="59">
        <f t="shared" si="152"/>
        <v>304.84379909635476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0.19135195928753973</v>
      </c>
      <c r="EB192" s="21">
        <f>EXP(-LN(2)/25)*EB191+(1-EXP(-LN(2)/25))/(LN(2)/25)*Calculateur!DW192*Calculateur!DY192*VLOOKUP('Données projet'!$B$14,Paramètres!$A$1:$I$89,3,0)*0.475*44/12</f>
        <v>8.7073482260895257E-2</v>
      </c>
      <c r="EC192" s="21">
        <f>EXP(-LN(2)/2)*EC191+(1-EXP(-LN(2)/2))/(LN(2)/2)*DW192*DZ192*VLOOKUP('Données projet'!$B$14,Paramètres!$A$1:$I$89,3,0)*0.475*44/12</f>
        <v>6.7319228057870676E-24</v>
      </c>
      <c r="ED192" s="22">
        <f t="shared" si="178"/>
        <v>0.27842544154843496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207.2913533618397</v>
      </c>
      <c r="EP192" s="59">
        <f t="shared" si="154"/>
        <v>230.81096055024483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0.29697831873103347</v>
      </c>
      <c r="EW192" s="21">
        <f>EXP(-LN(2)/25)*EW191+(1-EXP(-LN(2)/25))/(LN(2)/25)*Calculateur!ER192*Calculateur!ET192*VLOOKUP('Données projet'!$B$15,Paramètres!$A$1:$I$89,3,0)*0.475*44/12</f>
        <v>7.3426177601964654E-2</v>
      </c>
      <c r="EX192" s="21">
        <f>EXP(-LN(2)/2)*EX191+(1-EXP(-LN(2)/2))/(LN(2)/2)*ER192*EU192*VLOOKUP('Données projet'!$B$15,Paramètres!$A$1:$I$89,3,0)*0.475*44/12</f>
        <v>3.450363598618685E-24</v>
      </c>
      <c r="EY192" s="22">
        <f t="shared" si="181"/>
        <v>0.3704044963329981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319.22903094674564</v>
      </c>
      <c r="T193" s="59">
        <f t="shared" si="142"/>
        <v>254.58690973142848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0.38173797172992896</v>
      </c>
      <c r="AA193" s="21">
        <f>EXP(-LN(2)/25)*AA192+(1-EXP(-LN(2)/25))/(LN(2)/25)*Calculateur!V193*Calculateur!X193*VLOOKUP('Données projet'!$B$9,Paramètres!$A$1:$I$89,3,0)*0.475*44/12</f>
        <v>0.13204875617890047</v>
      </c>
      <c r="AB193" s="21">
        <f>EXP(-LN(2)/2)*AB192+(1-EXP(-LN(2)/2))/(LN(2)/2)*V193*Y193*VLOOKUP('Données projet'!$B$9,Paramètres!$A$1:$I$89,3,0)*0.475*44/12</f>
        <v>9.1346619159136856E-24</v>
      </c>
      <c r="AC193" s="22">
        <f t="shared" si="163"/>
        <v>0.5137867279088294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-1.9065282685915009E-13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544.48194192356823</v>
      </c>
      <c r="AO193" s="59">
        <f t="shared" si="144"/>
        <v>668.20427590250733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0.30877223109617796</v>
      </c>
      <c r="AV193" s="21">
        <f>EXP(-LN(2)/25)*AV192+(1-EXP(-LN(2)/25))/(LN(2)/25)*Calculateur!AQ193*Calculateur!AS193*VLOOKUP('Données projet'!$B$10,Paramètres!$A$1:$I$89,3,0)*0.475*44/12</f>
        <v>0.50459416580433403</v>
      </c>
      <c r="AW193" s="21">
        <f>EXP(-LN(2)/2)*AW192+(1-EXP(-LN(2)/2))/(LN(2)/2)*AQ193*AT193*VLOOKUP('Données projet'!$B$10,Paramètres!$A$1:$I$89,3,0)*0.475*44/12</f>
        <v>1.1926255135599364E-23</v>
      </c>
      <c r="AX193" s="21">
        <f t="shared" si="166"/>
        <v>0.81336639690051205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405.7176439604217</v>
      </c>
      <c r="BJ193" s="59">
        <f t="shared" si="146"/>
        <v>278.21741231699929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0.30738865392009179</v>
      </c>
      <c r="BQ193" s="21">
        <f>EXP(-LN(2)/25)*BQ192+(1-EXP(-LN(2)/25))/(LN(2)/25)*Calculateur!BL193*Calculateur!BN193*VLOOKUP('Données projet'!$B$11,Paramètres!$A$1:$I$89,3,0)*0.475*44/12</f>
        <v>0.11089321219499951</v>
      </c>
      <c r="BR193" s="21">
        <f>EXP(-LN(2)/2)*BR192+(1-EXP(-LN(2)/2))/(LN(2)/2)*BL193*BO193*VLOOKUP('Données projet'!$B$11,Paramètres!$A$1:$I$89,3,0)*0.475*44/12</f>
        <v>7.0598480492859065E-24</v>
      </c>
      <c r="BS193" s="22">
        <f t="shared" si="169"/>
        <v>0.41828186611509133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-1.7053025658242404E-13</v>
      </c>
      <c r="CU193" s="17">
        <f>CT193*VLOOKUP('Données projet'!$B$13,Paramètres!$A$1:$I$89,3,0)*VLOOKUP('Données projet'!$B$13,Paramètres!$A$1:$I$89,5,0)</f>
        <v>-1.3567387213697657E-13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299.10536994156814</v>
      </c>
      <c r="CZ193" s="59">
        <f t="shared" si="150"/>
        <v>292.57799203101769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0.35419380986687427</v>
      </c>
      <c r="DG193" s="21">
        <f>EXP(-LN(2)/25)*DG192+(1-EXP(-LN(2)/25))/(LN(2)/25)*Calculateur!DB193*Calculateur!DD193*VLOOKUP('Données projet'!$B$13,Paramètres!$A$1:$I$89,3,0)*0.475*44/12</f>
        <v>0.12803959363674286</v>
      </c>
      <c r="DH193" s="21">
        <f>EXP(-LN(2)/2)*DH192+(1-EXP(-LN(2)/2))/(LN(2)/2)*DB193*DE193*VLOOKUP('Données projet'!$B$13,Paramètres!$A$1:$I$89,3,0)*0.475*44/12</f>
        <v>7.4220009410381094E-24</v>
      </c>
      <c r="DI193" s="22">
        <f t="shared" si="175"/>
        <v>0.4822334035036171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2.2737367544323206E-13</v>
      </c>
      <c r="DP193" s="17">
        <f>DO193*VLOOKUP('Données projet'!$B$14,Paramètres!$A$1:$I$89,3,0)*VLOOKUP('Données projet'!$B$14,Paramètres!$A$1:$I$89,5,0)</f>
        <v>1.4897523215040565E-13</v>
      </c>
      <c r="DQ193" s="13">
        <f t="shared" si="176"/>
        <v>2.136562777003313E-12</v>
      </c>
      <c r="DR193" s="20">
        <f t="shared" si="177"/>
        <v>3.9806453659427267E-12</v>
      </c>
      <c r="DS193" s="59">
        <f t="shared" si="125"/>
        <v>293.33333333333729</v>
      </c>
      <c r="DT193" s="59">
        <f ca="1">AVERAGE(OFFSET($DS$3,0,0,'Données projet'!$E$14+1,1))-AVERAGE(OFFSET($H$3,0,0,'Données projet'!$E$14+1,1))</f>
        <v>295.92103934364718</v>
      </c>
      <c r="DU193" s="59">
        <f t="shared" si="152"/>
        <v>304.84379909635476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0.18759966407908177</v>
      </c>
      <c r="EB193" s="21">
        <f>EXP(-LN(2)/25)*EB192+(1-EXP(-LN(2)/25))/(LN(2)/25)*Calculateur!DW193*Calculateur!DY193*VLOOKUP('Données projet'!$B$14,Paramètres!$A$1:$I$89,3,0)*0.475*44/12</f>
        <v>8.4692453309475654E-2</v>
      </c>
      <c r="EC193" s="21">
        <f>EXP(-LN(2)/2)*EC192+(1-EXP(-LN(2)/2))/(LN(2)/2)*DW193*DZ193*VLOOKUP('Données projet'!$B$14,Paramètres!$A$1:$I$89,3,0)*0.475*44/12</f>
        <v>4.7601882663964051E-24</v>
      </c>
      <c r="ED193" s="22">
        <f t="shared" si="178"/>
        <v>0.27229211738855741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207.2913533618397</v>
      </c>
      <c r="EP193" s="59">
        <f t="shared" si="154"/>
        <v>230.81096055024483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0.29115475503960636</v>
      </c>
      <c r="EW193" s="21">
        <f>EXP(-LN(2)/25)*EW192+(1-EXP(-LN(2)/25))/(LN(2)/25)*Calculateur!ER193*Calculateur!ET193*VLOOKUP('Données projet'!$B$15,Paramètres!$A$1:$I$89,3,0)*0.475*44/12</f>
        <v>7.1418334914124068E-2</v>
      </c>
      <c r="EX193" s="21">
        <f>EXP(-LN(2)/2)*EX192+(1-EXP(-LN(2)/2))/(LN(2)/2)*ER193*EU193*VLOOKUP('Données projet'!$B$15,Paramètres!$A$1:$I$89,3,0)*0.475*44/12</f>
        <v>2.4397754981424912E-24</v>
      </c>
      <c r="EY193" s="22">
        <f t="shared" si="181"/>
        <v>0.36257308995373044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319.22903094674564</v>
      </c>
      <c r="T194" s="59">
        <f t="shared" si="142"/>
        <v>254.58690973142848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0.37425232294147703</v>
      </c>
      <c r="AA194" s="21">
        <f>EXP(-LN(2)/25)*AA193+(1-EXP(-LN(2)/25))/(LN(2)/25)*Calculateur!V194*Calculateur!X194*VLOOKUP('Données projet'!$B$9,Paramètres!$A$1:$I$89,3,0)*0.475*44/12</f>
        <v>0.12843787599704615</v>
      </c>
      <c r="AB194" s="21">
        <f>EXP(-LN(2)/2)*AB193+(1-EXP(-LN(2)/2))/(LN(2)/2)*V194*Y194*VLOOKUP('Données projet'!$B$9,Paramètres!$A$1:$I$89,3,0)*0.475*44/12</f>
        <v>6.4591813845890678E-24</v>
      </c>
      <c r="AC194" s="22">
        <f t="shared" si="163"/>
        <v>0.50269019893852318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-1.9065282685915009E-13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544.48194192356823</v>
      </c>
      <c r="AO194" s="59">
        <f t="shared" si="144"/>
        <v>668.20427590250733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0.3027173959768466</v>
      </c>
      <c r="AV194" s="21">
        <f>EXP(-LN(2)/25)*AV193+(1-EXP(-LN(2)/25))/(LN(2)/25)*Calculateur!AQ194*Calculateur!AS194*VLOOKUP('Données projet'!$B$10,Paramètres!$A$1:$I$89,3,0)*0.475*44/12</f>
        <v>0.49079601180496057</v>
      </c>
      <c r="AW194" s="21">
        <f>EXP(-LN(2)/2)*AW193+(1-EXP(-LN(2)/2))/(LN(2)/2)*AQ194*AT194*VLOOKUP('Données projet'!$B$10,Paramètres!$A$1:$I$89,3,0)*0.475*44/12</f>
        <v>8.4331358805431981E-24</v>
      </c>
      <c r="AX194" s="21">
        <f t="shared" si="166"/>
        <v>0.79351340778180712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405.7176439604217</v>
      </c>
      <c r="BJ194" s="59">
        <f t="shared" si="146"/>
        <v>278.21741231699929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0.30136094990528473</v>
      </c>
      <c r="BQ194" s="21">
        <f>EXP(-LN(2)/25)*BQ193+(1-EXP(-LN(2)/25))/(LN(2)/25)*Calculateur!BL194*Calculateur!BN194*VLOOKUP('Données projet'!$B$11,Paramètres!$A$1:$I$89,3,0)*0.475*44/12</f>
        <v>0.10786083147590667</v>
      </c>
      <c r="BR194" s="21">
        <f>EXP(-LN(2)/2)*BR193+(1-EXP(-LN(2)/2))/(LN(2)/2)*BL194*BO194*VLOOKUP('Données projet'!$B$11,Paramètres!$A$1:$I$89,3,0)*0.475*44/12</f>
        <v>4.9920664297966839E-24</v>
      </c>
      <c r="BS194" s="22">
        <f t="shared" si="169"/>
        <v>0.40922178138119136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-1.7053025658242404E-13</v>
      </c>
      <c r="CU194" s="17">
        <f>CT194*VLOOKUP('Données projet'!$B$13,Paramètres!$A$1:$I$89,3,0)*VLOOKUP('Données projet'!$B$13,Paramètres!$A$1:$I$89,5,0)</f>
        <v>-1.3567387213697657E-13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299.10536994156814</v>
      </c>
      <c r="CZ194" s="59">
        <f t="shared" si="150"/>
        <v>292.57799203101769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0.34724828529227703</v>
      </c>
      <c r="DG194" s="21">
        <f>EXP(-LN(2)/25)*DG193+(1-EXP(-LN(2)/25))/(LN(2)/25)*Calculateur!DB194*Calculateur!DD194*VLOOKUP('Données projet'!$B$13,Paramètres!$A$1:$I$89,3,0)*0.475*44/12</f>
        <v>0.12453834421543654</v>
      </c>
      <c r="DH194" s="21">
        <f>EXP(-LN(2)/2)*DH193+(1-EXP(-LN(2)/2))/(LN(2)/2)*DB194*DE194*VLOOKUP('Données projet'!$B$13,Paramètres!$A$1:$I$89,3,0)*0.475*44/12</f>
        <v>5.2481471953809844E-24</v>
      </c>
      <c r="DI194" s="22">
        <f t="shared" si="175"/>
        <v>0.47178662950771355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2.2737367544323206E-13</v>
      </c>
      <c r="DP194" s="17">
        <f>DO194*VLOOKUP('Données projet'!$B$14,Paramètres!$A$1:$I$89,3,0)*VLOOKUP('Données projet'!$B$14,Paramètres!$A$1:$I$89,5,0)</f>
        <v>1.4897523215040565E-13</v>
      </c>
      <c r="DQ194" s="13">
        <f t="shared" si="176"/>
        <v>2.136562777003313E-12</v>
      </c>
      <c r="DR194" s="20">
        <f t="shared" si="177"/>
        <v>3.9806453659427267E-12</v>
      </c>
      <c r="DS194" s="59">
        <f t="shared" si="125"/>
        <v>293.33333333333729</v>
      </c>
      <c r="DT194" s="59">
        <f ca="1">AVERAGE(OFFSET($DS$3,0,0,'Données projet'!$E$14+1,1))-AVERAGE(OFFSET($H$3,0,0,'Données projet'!$E$14+1,1))</f>
        <v>295.92103934364718</v>
      </c>
      <c r="DU194" s="59">
        <f t="shared" si="152"/>
        <v>304.84379909635476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0.18392094909098758</v>
      </c>
      <c r="EB194" s="21">
        <f>EXP(-LN(2)/25)*EB193+(1-EXP(-LN(2)/25))/(LN(2)/25)*Calculateur!DW194*Calculateur!DY194*VLOOKUP('Données projet'!$B$14,Paramètres!$A$1:$I$89,3,0)*0.475*44/12</f>
        <v>8.2376533719945494E-2</v>
      </c>
      <c r="EC194" s="21">
        <f>EXP(-LN(2)/2)*EC193+(1-EXP(-LN(2)/2))/(LN(2)/2)*DW194*DZ194*VLOOKUP('Données projet'!$B$14,Paramètres!$A$1:$I$89,3,0)*0.475*44/12</f>
        <v>3.3659614028935338E-24</v>
      </c>
      <c r="ED194" s="22">
        <f t="shared" si="178"/>
        <v>0.26629748281093307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207.2913533618397</v>
      </c>
      <c r="EP194" s="59">
        <f t="shared" si="154"/>
        <v>230.81096055024483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0.28544538788014501</v>
      </c>
      <c r="EW194" s="21">
        <f>EXP(-LN(2)/25)*EW193+(1-EXP(-LN(2)/25))/(LN(2)/25)*Calculateur!ER194*Calculateur!ET194*VLOOKUP('Données projet'!$B$15,Paramètres!$A$1:$I$89,3,0)*0.475*44/12</f>
        <v>6.9465396790170345E-2</v>
      </c>
      <c r="EX194" s="21">
        <f>EXP(-LN(2)/2)*EX193+(1-EXP(-LN(2)/2))/(LN(2)/2)*ER194*EU194*VLOOKUP('Données projet'!$B$15,Paramètres!$A$1:$I$89,3,0)*0.475*44/12</f>
        <v>1.7251817993093425E-24</v>
      </c>
      <c r="EY194" s="22">
        <f t="shared" si="181"/>
        <v>0.35491078467031534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319.22903094674564</v>
      </c>
      <c r="T195" s="59">
        <f t="shared" si="142"/>
        <v>254.58690973142848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0.36691346315997175</v>
      </c>
      <c r="AA195" s="21">
        <f>EXP(-LN(2)/25)*AA194+(1-EXP(-LN(2)/25))/(LN(2)/25)*Calculateur!V195*Calculateur!X195*VLOOKUP('Données projet'!$B$9,Paramètres!$A$1:$I$89,3,0)*0.475*44/12</f>
        <v>0.12492573552365258</v>
      </c>
      <c r="AB195" s="21">
        <f>EXP(-LN(2)/2)*AB194+(1-EXP(-LN(2)/2))/(LN(2)/2)*V195*Y195*VLOOKUP('Données projet'!$B$9,Paramètres!$A$1:$I$89,3,0)*0.475*44/12</f>
        <v>4.5673309579568435E-24</v>
      </c>
      <c r="AC195" s="22">
        <f t="shared" si="163"/>
        <v>0.49183919868362436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-1.9065282685915009E-13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544.48194192356823</v>
      </c>
      <c r="AO195" s="59">
        <f t="shared" si="144"/>
        <v>668.20427590250733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0.29678129248112056</v>
      </c>
      <c r="AV195" s="21">
        <f>EXP(-LN(2)/25)*AV194+(1-EXP(-LN(2)/25))/(LN(2)/25)*Calculateur!AQ195*Calculateur!AS195*VLOOKUP('Données projet'!$B$10,Paramètres!$A$1:$I$89,3,0)*0.475*44/12</f>
        <v>0.47737516905231342</v>
      </c>
      <c r="AW195" s="21">
        <f>EXP(-LN(2)/2)*AW194+(1-EXP(-LN(2)/2))/(LN(2)/2)*AQ195*AT195*VLOOKUP('Données projet'!$B$10,Paramètres!$A$1:$I$89,3,0)*0.475*44/12</f>
        <v>5.963127567799682E-24</v>
      </c>
      <c r="AX195" s="21">
        <f t="shared" si="166"/>
        <v>0.77415646153343398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405.7176439604217</v>
      </c>
      <c r="BJ195" s="59">
        <f t="shared" si="146"/>
        <v>278.21741231699929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0.29545144548967162</v>
      </c>
      <c r="BQ195" s="21">
        <f>EXP(-LN(2)/25)*BQ194+(1-EXP(-LN(2)/25))/(LN(2)/25)*Calculateur!BL195*Calculateur!BN195*VLOOKUP('Données projet'!$B$11,Paramètres!$A$1:$I$89,3,0)*0.475*44/12</f>
        <v>0.10491137136704339</v>
      </c>
      <c r="BR195" s="21">
        <f>EXP(-LN(2)/2)*BR194+(1-EXP(-LN(2)/2))/(LN(2)/2)*BL195*BO195*VLOOKUP('Données projet'!$B$11,Paramètres!$A$1:$I$89,3,0)*0.475*44/12</f>
        <v>3.5299240246429533E-24</v>
      </c>
      <c r="BS195" s="22">
        <f t="shared" si="169"/>
        <v>0.40036281685671499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-1.7053025658242404E-13</v>
      </c>
      <c r="CU195" s="17">
        <f>CT195*VLOOKUP('Données projet'!$B$13,Paramètres!$A$1:$I$89,3,0)*VLOOKUP('Données projet'!$B$13,Paramètres!$A$1:$I$89,5,0)</f>
        <v>-1.3567387213697657E-13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299.10536994156814</v>
      </c>
      <c r="CZ195" s="59">
        <f t="shared" si="150"/>
        <v>292.57799203101769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0.34043895821823594</v>
      </c>
      <c r="DG195" s="21">
        <f>EXP(-LN(2)/25)*DG194+(1-EXP(-LN(2)/25))/(LN(2)/25)*Calculateur!DB195*Calculateur!DD195*VLOOKUP('Données projet'!$B$13,Paramètres!$A$1:$I$89,3,0)*0.475*44/12</f>
        <v>0.12113283664367853</v>
      </c>
      <c r="DH195" s="21">
        <f>EXP(-LN(2)/2)*DH194+(1-EXP(-LN(2)/2))/(LN(2)/2)*DB195*DE195*VLOOKUP('Données projet'!$B$13,Paramètres!$A$1:$I$89,3,0)*0.475*44/12</f>
        <v>3.7110004705190547E-24</v>
      </c>
      <c r="DI195" s="22">
        <f t="shared" si="175"/>
        <v>0.46157179486191446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2.2737367544323206E-13</v>
      </c>
      <c r="DP195" s="17">
        <f>DO195*VLOOKUP('Données projet'!$B$14,Paramètres!$A$1:$I$89,3,0)*VLOOKUP('Données projet'!$B$14,Paramètres!$A$1:$I$89,5,0)</f>
        <v>1.4897523215040565E-13</v>
      </c>
      <c r="DQ195" s="13">
        <f t="shared" si="176"/>
        <v>2.136562777003313E-12</v>
      </c>
      <c r="DR195" s="20">
        <f t="shared" si="177"/>
        <v>3.9806453659427267E-12</v>
      </c>
      <c r="DS195" s="59">
        <f t="shared" si="125"/>
        <v>293.33333333333729</v>
      </c>
      <c r="DT195" s="59">
        <f ca="1">AVERAGE(OFFSET($DS$3,0,0,'Données projet'!$E$14+1,1))-AVERAGE(OFFSET($H$3,0,0,'Données projet'!$E$14+1,1))</f>
        <v>295.92103934364718</v>
      </c>
      <c r="DU195" s="59">
        <f t="shared" si="152"/>
        <v>304.84379909635476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0.18031437146001533</v>
      </c>
      <c r="EB195" s="21">
        <f>EXP(-LN(2)/25)*EB194+(1-EXP(-LN(2)/25))/(LN(2)/25)*Calculateur!DW195*Calculateur!DY195*VLOOKUP('Données projet'!$B$14,Paramètres!$A$1:$I$89,3,0)*0.475*44/12</f>
        <v>8.0123943073379944E-2</v>
      </c>
      <c r="EC195" s="21">
        <f>EXP(-LN(2)/2)*EC194+(1-EXP(-LN(2)/2))/(LN(2)/2)*DW195*DZ195*VLOOKUP('Données projet'!$B$14,Paramètres!$A$1:$I$89,3,0)*0.475*44/12</f>
        <v>2.3800941331982026E-24</v>
      </c>
      <c r="ED195" s="22">
        <f t="shared" si="178"/>
        <v>0.26043831453339528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207.2913533618397</v>
      </c>
      <c r="EP195" s="59">
        <f t="shared" si="154"/>
        <v>230.81096055024483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0.27984797792831057</v>
      </c>
      <c r="EW195" s="21">
        <f>EXP(-LN(2)/25)*EW194+(1-EXP(-LN(2)/25))/(LN(2)/25)*Calculateur!ER195*Calculateur!ET195*VLOOKUP('Données projet'!$B$15,Paramètres!$A$1:$I$89,3,0)*0.475*44/12</f>
        <v>6.7565861861916682E-2</v>
      </c>
      <c r="EX195" s="21">
        <f>EXP(-LN(2)/2)*EX194+(1-EXP(-LN(2)/2))/(LN(2)/2)*ER195*EU195*VLOOKUP('Données projet'!$B$15,Paramètres!$A$1:$I$89,3,0)*0.475*44/12</f>
        <v>1.2198877490712456E-24</v>
      </c>
      <c r="EY195" s="22">
        <f t="shared" si="181"/>
        <v>0.34741383979022722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319.22903094674564</v>
      </c>
      <c r="T196" s="59">
        <f t="shared" si="142"/>
        <v>254.58690973142848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0.3597185139425193</v>
      </c>
      <c r="AA196" s="21">
        <f>EXP(-LN(2)/25)*AA195+(1-EXP(-LN(2)/25))/(LN(2)/25)*Calculateur!V196*Calculateur!X196*VLOOKUP('Données projet'!$B$9,Paramètres!$A$1:$I$89,3,0)*0.475*44/12</f>
        <v>0.12150963471619938</v>
      </c>
      <c r="AB196" s="21">
        <f>EXP(-LN(2)/2)*AB195+(1-EXP(-LN(2)/2))/(LN(2)/2)*V196*Y196*VLOOKUP('Données projet'!$B$9,Paramètres!$A$1:$I$89,3,0)*0.475*44/12</f>
        <v>3.2295906922945346E-24</v>
      </c>
      <c r="AC196" s="22">
        <f t="shared" si="163"/>
        <v>0.48122814865871866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-1.9065282685915009E-13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544.48194192356823</v>
      </c>
      <c r="AO196" s="59">
        <f t="shared" si="144"/>
        <v>668.20427590250733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0.2909615923542801</v>
      </c>
      <c r="AV196" s="21">
        <f>EXP(-LN(2)/25)*AV195+(1-EXP(-LN(2)/25))/(LN(2)/25)*Calculateur!AQ196*Calculateur!AS196*VLOOKUP('Données projet'!$B$10,Paramètres!$A$1:$I$89,3,0)*0.475*44/12</f>
        <v>0.46432131995050885</v>
      </c>
      <c r="AW196" s="21">
        <f>EXP(-LN(2)/2)*AW195+(1-EXP(-LN(2)/2))/(LN(2)/2)*AQ196*AT196*VLOOKUP('Données projet'!$B$10,Paramètres!$A$1:$I$89,3,0)*0.475*44/12</f>
        <v>4.216567940271599E-24</v>
      </c>
      <c r="AX196" s="21">
        <f t="shared" si="166"/>
        <v>0.75528291230478894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405.7176439604217</v>
      </c>
      <c r="BJ196" s="59">
        <f t="shared" si="146"/>
        <v>278.21741231699929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0.28965782285120689</v>
      </c>
      <c r="BQ196" s="21">
        <f>EXP(-LN(2)/25)*BQ195+(1-EXP(-LN(2)/25))/(LN(2)/25)*Calculateur!BL196*Calculateur!BN196*VLOOKUP('Données projet'!$B$11,Paramètres!$A$1:$I$89,3,0)*0.475*44/12</f>
        <v>0.10204256439996234</v>
      </c>
      <c r="BR196" s="21">
        <f>EXP(-LN(2)/2)*BR195+(1-EXP(-LN(2)/2))/(LN(2)/2)*BL196*BO196*VLOOKUP('Données projet'!$B$11,Paramètres!$A$1:$I$89,3,0)*0.475*44/12</f>
        <v>2.496033214898342E-24</v>
      </c>
      <c r="BS196" s="22">
        <f t="shared" si="169"/>
        <v>0.39170038725116924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-1.7053025658242404E-13</v>
      </c>
      <c r="CU196" s="17">
        <f>CT196*VLOOKUP('Données projet'!$B$13,Paramètres!$A$1:$I$89,3,0)*VLOOKUP('Données projet'!$B$13,Paramètres!$A$1:$I$89,5,0)</f>
        <v>-1.3567387213697657E-13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299.10536994156814</v>
      </c>
      <c r="CZ196" s="59">
        <f t="shared" si="150"/>
        <v>292.57799203101769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0.3337631578948374</v>
      </c>
      <c r="DG196" s="21">
        <f>EXP(-LN(2)/25)*DG195+(1-EXP(-LN(2)/25))/(LN(2)/25)*Calculateur!DB196*Calculateur!DD196*VLOOKUP('Données projet'!$B$13,Paramètres!$A$1:$I$89,3,0)*0.475*44/12</f>
        <v>0.11782045285555812</v>
      </c>
      <c r="DH196" s="21">
        <f>EXP(-LN(2)/2)*DH195+(1-EXP(-LN(2)/2))/(LN(2)/2)*DB196*DE196*VLOOKUP('Données projet'!$B$13,Paramètres!$A$1:$I$89,3,0)*0.475*44/12</f>
        <v>2.6240735976904922E-24</v>
      </c>
      <c r="DI196" s="22">
        <f t="shared" si="175"/>
        <v>0.45158361075039555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2.2737367544323206E-13</v>
      </c>
      <c r="DP196" s="17">
        <f>DO196*VLOOKUP('Données projet'!$B$14,Paramètres!$A$1:$I$89,3,0)*VLOOKUP('Données projet'!$B$14,Paramètres!$A$1:$I$89,5,0)</f>
        <v>1.4897523215040565E-13</v>
      </c>
      <c r="DQ196" s="13">
        <f t="shared" si="176"/>
        <v>2.136562777003313E-12</v>
      </c>
      <c r="DR196" s="20">
        <f t="shared" si="177"/>
        <v>3.9806453659427267E-12</v>
      </c>
      <c r="DS196" s="59">
        <f t="shared" ref="DS196:DS203" si="197">DR196+(DJ196+DK196)*44/12</f>
        <v>293.33333333333729</v>
      </c>
      <c r="DT196" s="59">
        <f ca="1">AVERAGE(OFFSET($DS$3,0,0,'Données projet'!$E$14+1,1))-AVERAGE(OFFSET($H$3,0,0,'Données projet'!$E$14+1,1))</f>
        <v>295.92103934364718</v>
      </c>
      <c r="DU196" s="59">
        <f t="shared" si="152"/>
        <v>304.84379909635476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0.1767785166165913</v>
      </c>
      <c r="EB196" s="21">
        <f>EXP(-LN(2)/25)*EB195+(1-EXP(-LN(2)/25))/(LN(2)/25)*Calculateur!DW196*Calculateur!DY196*VLOOKUP('Données projet'!$B$14,Paramètres!$A$1:$I$89,3,0)*0.475*44/12</f>
        <v>7.7932949636503324E-2</v>
      </c>
      <c r="EC196" s="21">
        <f>EXP(-LN(2)/2)*EC195+(1-EXP(-LN(2)/2))/(LN(2)/2)*DW196*DZ196*VLOOKUP('Données projet'!$B$14,Paramètres!$A$1:$I$89,3,0)*0.475*44/12</f>
        <v>1.6829807014467669E-24</v>
      </c>
      <c r="ED196" s="22">
        <f t="shared" si="178"/>
        <v>0.2547114662530946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207.2913533618397</v>
      </c>
      <c r="EP196" s="59">
        <f t="shared" si="154"/>
        <v>230.81096055024483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0.27436032977154867</v>
      </c>
      <c r="EW196" s="21">
        <f>EXP(-LN(2)/25)*EW195+(1-EXP(-LN(2)/25))/(LN(2)/25)*Calculateur!ER196*Calculateur!ET196*VLOOKUP('Données projet'!$B$15,Paramètres!$A$1:$I$89,3,0)*0.475*44/12</f>
        <v>6.5718269816168323E-2</v>
      </c>
      <c r="EX196" s="21">
        <f>EXP(-LN(2)/2)*EX195+(1-EXP(-LN(2)/2))/(LN(2)/2)*ER196*EU196*VLOOKUP('Données projet'!$B$15,Paramètres!$A$1:$I$89,3,0)*0.475*44/12</f>
        <v>8.6259089965467124E-25</v>
      </c>
      <c r="EY196" s="22">
        <f t="shared" si="181"/>
        <v>0.34007859958771702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319.22903094674564</v>
      </c>
      <c r="T197" s="59">
        <f t="shared" ref="T197:T203" si="204">$T$3</f>
        <v>254.58690973142848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0.35266465329073537</v>
      </c>
      <c r="AA197" s="21">
        <f>EXP(-LN(2)/25)*AA196+(1-EXP(-LN(2)/25))/(LN(2)/25)*Calculateur!V197*Calculateur!X197*VLOOKUP('Données projet'!$B$9,Paramètres!$A$1:$I$89,3,0)*0.475*44/12</f>
        <v>0.11818694736497093</v>
      </c>
      <c r="AB197" s="21">
        <f>EXP(-LN(2)/2)*AB196+(1-EXP(-LN(2)/2))/(LN(2)/2)*V197*Y197*VLOOKUP('Données projet'!$B$9,Paramètres!$A$1:$I$89,3,0)*0.475*44/12</f>
        <v>2.2836654789784221E-24</v>
      </c>
      <c r="AC197" s="22">
        <f t="shared" si="163"/>
        <v>0.4708516006557063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-1.9065282685915009E-13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544.48194192356823</v>
      </c>
      <c r="AO197" s="59">
        <f t="shared" ref="AO197:AO203" si="205">$AO$3</f>
        <v>668.20427590250733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0.28525601299726039</v>
      </c>
      <c r="AV197" s="21">
        <f>EXP(-LN(2)/25)*AV196+(1-EXP(-LN(2)/25))/(LN(2)/25)*Calculateur!AQ197*Calculateur!AS197*VLOOKUP('Données projet'!$B$10,Paramètres!$A$1:$I$89,3,0)*0.475*44/12</f>
        <v>0.45162442903886518</v>
      </c>
      <c r="AW197" s="21">
        <f>EXP(-LN(2)/2)*AW196+(1-EXP(-LN(2)/2))/(LN(2)/2)*AQ197*AT197*VLOOKUP('Données projet'!$B$10,Paramètres!$A$1:$I$89,3,0)*0.475*44/12</f>
        <v>2.981563783899841E-24</v>
      </c>
      <c r="AX197" s="21">
        <f t="shared" si="166"/>
        <v>0.73688044203612557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405.7176439604217</v>
      </c>
      <c r="BJ197" s="59">
        <f t="shared" ref="BJ197:BJ203" si="206">$BJ$3</f>
        <v>278.21741231699929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0.28397780961892155</v>
      </c>
      <c r="BQ197" s="21">
        <f>EXP(-LN(2)/25)*BQ196+(1-EXP(-LN(2)/25))/(LN(2)/25)*Calculateur!BL197*Calculateur!BN197*VLOOKUP('Données projet'!$B$11,Paramètres!$A$1:$I$89,3,0)*0.475*44/12</f>
        <v>9.925220511026013E-2</v>
      </c>
      <c r="BR197" s="21">
        <f>EXP(-LN(2)/2)*BR196+(1-EXP(-LN(2)/2))/(LN(2)/2)*BL197*BO197*VLOOKUP('Données projet'!$B$11,Paramètres!$A$1:$I$89,3,0)*0.475*44/12</f>
        <v>1.7649620123214766E-24</v>
      </c>
      <c r="BS197" s="22">
        <f t="shared" si="169"/>
        <v>0.38323001472918167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-1.7053025658242404E-13</v>
      </c>
      <c r="CU197" s="17">
        <f>CT197*VLOOKUP('Données projet'!$B$13,Paramètres!$A$1:$I$89,3,0)*VLOOKUP('Données projet'!$B$13,Paramètres!$A$1:$I$89,5,0)</f>
        <v>-1.3567387213697657E-13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299.10536994156814</v>
      </c>
      <c r="CZ197" s="59">
        <f t="shared" ref="CZ197:CZ203" si="208">$CZ$3</f>
        <v>292.57799203101769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0.32721826594394454</v>
      </c>
      <c r="DG197" s="21">
        <f>EXP(-LN(2)/25)*DG196+(1-EXP(-LN(2)/25))/(LN(2)/25)*Calculateur!DB197*Calculateur!DD197*VLOOKUP('Données projet'!$B$13,Paramètres!$A$1:$I$89,3,0)*0.475*44/12</f>
        <v>0.11459864637631455</v>
      </c>
      <c r="DH197" s="21">
        <f>EXP(-LN(2)/2)*DH196+(1-EXP(-LN(2)/2))/(LN(2)/2)*DB197*DE197*VLOOKUP('Données projet'!$B$13,Paramètres!$A$1:$I$89,3,0)*0.475*44/12</f>
        <v>1.8555002352595273E-24</v>
      </c>
      <c r="DI197" s="22">
        <f t="shared" si="175"/>
        <v>0.4418169123202591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2.2737367544323206E-13</v>
      </c>
      <c r="DP197" s="17">
        <f>DO197*VLOOKUP('Données projet'!$B$14,Paramètres!$A$1:$I$89,3,0)*VLOOKUP('Données projet'!$B$14,Paramètres!$A$1:$I$89,5,0)</f>
        <v>1.4897523215040565E-13</v>
      </c>
      <c r="DQ197" s="13">
        <f t="shared" si="176"/>
        <v>2.136562777003313E-12</v>
      </c>
      <c r="DR197" s="20">
        <f t="shared" si="177"/>
        <v>3.9806453659427267E-12</v>
      </c>
      <c r="DS197" s="59">
        <f t="shared" si="197"/>
        <v>293.33333333333729</v>
      </c>
      <c r="DT197" s="59">
        <f ca="1">AVERAGE(OFFSET($DS$3,0,0,'Données projet'!$E$14+1,1))-AVERAGE(OFFSET($H$3,0,0,'Données projet'!$E$14+1,1))</f>
        <v>295.92103934364718</v>
      </c>
      <c r="DU197" s="59">
        <f t="shared" ref="DU197:DU203" si="209">$DU$3</f>
        <v>304.84379909635476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0.17331199772998832</v>
      </c>
      <c r="EB197" s="21">
        <f>EXP(-LN(2)/25)*EB196+(1-EXP(-LN(2)/25))/(LN(2)/25)*Calculateur!DW197*Calculateur!DY197*VLOOKUP('Données projet'!$B$14,Paramètres!$A$1:$I$89,3,0)*0.475*44/12</f>
        <v>7.5801869030377431E-2</v>
      </c>
      <c r="EC197" s="21">
        <f>EXP(-LN(2)/2)*EC196+(1-EXP(-LN(2)/2))/(LN(2)/2)*DW197*DZ197*VLOOKUP('Données projet'!$B$14,Paramètres!$A$1:$I$89,3,0)*0.475*44/12</f>
        <v>1.1900470665991013E-24</v>
      </c>
      <c r="ED197" s="22">
        <f t="shared" si="178"/>
        <v>0.24911386676036573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207.2913533618397</v>
      </c>
      <c r="EP197" s="59">
        <f t="shared" ref="EP197:EP203" si="210">$EP$3</f>
        <v>230.81096055024483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0.26898029104800597</v>
      </c>
      <c r="EW197" s="21">
        <f>EXP(-LN(2)/25)*EW196+(1-EXP(-LN(2)/25))/(LN(2)/25)*Calculateur!ER197*Calculateur!ET197*VLOOKUP('Données projet'!$B$15,Paramètres!$A$1:$I$89,3,0)*0.475*44/12</f>
        <v>6.3921200272071599E-2</v>
      </c>
      <c r="EX197" s="21">
        <f>EXP(-LN(2)/2)*EX196+(1-EXP(-LN(2)/2))/(LN(2)/2)*ER197*EU197*VLOOKUP('Données projet'!$B$15,Paramètres!$A$1:$I$89,3,0)*0.475*44/12</f>
        <v>6.0994387453562281E-25</v>
      </c>
      <c r="EY197" s="22">
        <f t="shared" si="181"/>
        <v>0.33290149132007757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319.22903094674564</v>
      </c>
      <c r="T198" s="59">
        <f t="shared" si="204"/>
        <v>254.58690973142848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0.34574911454390278</v>
      </c>
      <c r="AA198" s="21">
        <f>EXP(-LN(2)/25)*AA197+(1-EXP(-LN(2)/25))/(LN(2)/25)*Calculateur!V198*Calculateur!X198*VLOOKUP('Données projet'!$B$9,Paramètres!$A$1:$I$89,3,0)*0.475*44/12</f>
        <v>0.11495511907409435</v>
      </c>
      <c r="AB198" s="21">
        <f>EXP(-LN(2)/2)*AB197+(1-EXP(-LN(2)/2))/(LN(2)/2)*V198*Y198*VLOOKUP('Données projet'!$B$9,Paramètres!$A$1:$I$89,3,0)*0.475*44/12</f>
        <v>1.6147953461472675E-24</v>
      </c>
      <c r="AC198" s="22">
        <f t="shared" si="163"/>
        <v>0.46070423361799712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-1.9065282685915009E-13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544.48194192356823</v>
      </c>
      <c r="AO198" s="59">
        <f t="shared" si="205"/>
        <v>668.20427590250733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0.27966231657137208</v>
      </c>
      <c r="AV198" s="21">
        <f>EXP(-LN(2)/25)*AV197+(1-EXP(-LN(2)/25))/(LN(2)/25)*Calculateur!AQ198*Calculateur!AS198*VLOOKUP('Données projet'!$B$10,Paramètres!$A$1:$I$89,3,0)*0.475*44/12</f>
        <v>0.43927473527690092</v>
      </c>
      <c r="AW198" s="21">
        <f>EXP(-LN(2)/2)*AW197+(1-EXP(-LN(2)/2))/(LN(2)/2)*AQ198*AT198*VLOOKUP('Données projet'!$B$10,Paramètres!$A$1:$I$89,3,0)*0.475*44/12</f>
        <v>2.1082839701357995E-24</v>
      </c>
      <c r="AX198" s="21">
        <f t="shared" si="166"/>
        <v>0.71893705184827295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405.7176439604217</v>
      </c>
      <c r="BJ198" s="59">
        <f t="shared" si="206"/>
        <v>278.21741231699929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0.27840917798165538</v>
      </c>
      <c r="BQ198" s="21">
        <f>EXP(-LN(2)/25)*BQ197+(1-EXP(-LN(2)/25))/(LN(2)/25)*Calculateur!BL198*Calculateur!BN198*VLOOKUP('Données projet'!$B$11,Paramètres!$A$1:$I$89,3,0)*0.475*44/12</f>
        <v>9.6538148342073443E-2</v>
      </c>
      <c r="BR198" s="21">
        <f>EXP(-LN(2)/2)*BR197+(1-EXP(-LN(2)/2))/(LN(2)/2)*BL198*BO198*VLOOKUP('Données projet'!$B$11,Paramètres!$A$1:$I$89,3,0)*0.475*44/12</f>
        <v>1.248016607449171E-24</v>
      </c>
      <c r="BS198" s="22">
        <f t="shared" si="169"/>
        <v>0.37494732632372885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-1.7053025658242404E-13</v>
      </c>
      <c r="CU198" s="17">
        <f>CT198*VLOOKUP('Données projet'!$B$13,Paramètres!$A$1:$I$89,3,0)*VLOOKUP('Données projet'!$B$13,Paramètres!$A$1:$I$89,5,0)</f>
        <v>-1.3567387213697657E-13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299.10536994156814</v>
      </c>
      <c r="CZ198" s="59">
        <f t="shared" si="208"/>
        <v>292.57799203101769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0.3208017153322188</v>
      </c>
      <c r="DG198" s="21">
        <f>EXP(-LN(2)/25)*DG197+(1-EXP(-LN(2)/25))/(LN(2)/25)*Calculateur!DB198*Calculateur!DD198*VLOOKUP('Données projet'!$B$13,Paramètres!$A$1:$I$89,3,0)*0.475*44/12</f>
        <v>0.11146494036467333</v>
      </c>
      <c r="DH198" s="21">
        <f>EXP(-LN(2)/2)*DH197+(1-EXP(-LN(2)/2))/(LN(2)/2)*DB198*DE198*VLOOKUP('Données projet'!$B$13,Paramètres!$A$1:$I$89,3,0)*0.475*44/12</f>
        <v>1.3120367988452461E-24</v>
      </c>
      <c r="DI198" s="22">
        <f t="shared" si="175"/>
        <v>0.43226665569689215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2.2737367544323206E-13</v>
      </c>
      <c r="DP198" s="17">
        <f>DO198*VLOOKUP('Données projet'!$B$14,Paramètres!$A$1:$I$89,3,0)*VLOOKUP('Données projet'!$B$14,Paramètres!$A$1:$I$89,5,0)</f>
        <v>1.4897523215040565E-13</v>
      </c>
      <c r="DQ198" s="13">
        <f t="shared" si="176"/>
        <v>2.136562777003313E-12</v>
      </c>
      <c r="DR198" s="20">
        <f t="shared" si="177"/>
        <v>3.9806453659427267E-12</v>
      </c>
      <c r="DS198" s="59">
        <f t="shared" si="197"/>
        <v>293.33333333333729</v>
      </c>
      <c r="DT198" s="59">
        <f ca="1">AVERAGE(OFFSET($DS$3,0,0,'Données projet'!$E$14+1,1))-AVERAGE(OFFSET($H$3,0,0,'Données projet'!$E$14+1,1))</f>
        <v>295.92103934364718</v>
      </c>
      <c r="DU198" s="59">
        <f t="shared" si="209"/>
        <v>304.84379909635476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0.16991345516438389</v>
      </c>
      <c r="EB198" s="21">
        <f>EXP(-LN(2)/25)*EB197+(1-EXP(-LN(2)/25))/(LN(2)/25)*Calculateur!DW198*Calculateur!DY198*VLOOKUP('Données projet'!$B$14,Paramètres!$A$1:$I$89,3,0)*0.475*44/12</f>
        <v>7.3729062935494721E-2</v>
      </c>
      <c r="EC198" s="21">
        <f>EXP(-LN(2)/2)*EC197+(1-EXP(-LN(2)/2))/(LN(2)/2)*DW198*DZ198*VLOOKUP('Données projet'!$B$14,Paramètres!$A$1:$I$89,3,0)*0.475*44/12</f>
        <v>8.4149035072338345E-25</v>
      </c>
      <c r="ED198" s="22">
        <f t="shared" si="178"/>
        <v>0.24364251809987861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207.2913533618397</v>
      </c>
      <c r="EP198" s="59">
        <f t="shared" si="210"/>
        <v>230.81096055024483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0.26370575160233234</v>
      </c>
      <c r="EW198" s="21">
        <f>EXP(-LN(2)/25)*EW197+(1-EXP(-LN(2)/25))/(LN(2)/25)*Calculateur!ER198*Calculateur!ET198*VLOOKUP('Données projet'!$B$15,Paramètres!$A$1:$I$89,3,0)*0.475*44/12</f>
        <v>6.2173271689161973E-2</v>
      </c>
      <c r="EX198" s="21">
        <f>EXP(-LN(2)/2)*EX197+(1-EXP(-LN(2)/2))/(LN(2)/2)*ER198*EU198*VLOOKUP('Données projet'!$B$15,Paramètres!$A$1:$I$89,3,0)*0.475*44/12</f>
        <v>4.3129544982733562E-25</v>
      </c>
      <c r="EY198" s="22">
        <f t="shared" si="181"/>
        <v>0.32587902329149432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319.22903094674564</v>
      </c>
      <c r="T199" s="59">
        <f t="shared" si="204"/>
        <v>254.58690973142848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0.33896918529383346</v>
      </c>
      <c r="AA199" s="21">
        <f>EXP(-LN(2)/25)*AA198+(1-EXP(-LN(2)/25))/(LN(2)/25)*Calculateur!V199*Calculateur!X199*VLOOKUP('Données projet'!$B$9,Paramètres!$A$1:$I$89,3,0)*0.475*44/12</f>
        <v>0.11181166529778626</v>
      </c>
      <c r="AB199" s="21">
        <f>EXP(-LN(2)/2)*AB198+(1-EXP(-LN(2)/2))/(LN(2)/2)*V199*Y199*VLOOKUP('Données projet'!$B$9,Paramètres!$A$1:$I$89,3,0)*0.475*44/12</f>
        <v>1.1418327394892113E-24</v>
      </c>
      <c r="AC199" s="22">
        <f t="shared" si="163"/>
        <v>0.45078085059161971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-1.9065282685915009E-13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544.48194192356823</v>
      </c>
      <c r="AO199" s="59">
        <f t="shared" si="205"/>
        <v>668.20427590250733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0.2741783091205775</v>
      </c>
      <c r="AV199" s="21">
        <f>EXP(-LN(2)/25)*AV198+(1-EXP(-LN(2)/25))/(LN(2)/25)*Calculateur!AQ199*Calculateur!AS199*VLOOKUP('Données projet'!$B$10,Paramètres!$A$1:$I$89,3,0)*0.475*44/12</f>
        <v>0.42726274454029972</v>
      </c>
      <c r="AW199" s="21">
        <f>EXP(-LN(2)/2)*AW198+(1-EXP(-LN(2)/2))/(LN(2)/2)*AQ199*AT199*VLOOKUP('Données projet'!$B$10,Paramètres!$A$1:$I$89,3,0)*0.475*44/12</f>
        <v>1.4907818919499205E-24</v>
      </c>
      <c r="AX199" s="21">
        <f t="shared" si="166"/>
        <v>0.70144105366087728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405.7176439604217</v>
      </c>
      <c r="BJ199" s="59">
        <f t="shared" si="206"/>
        <v>278.21741231699929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0.27294974381426607</v>
      </c>
      <c r="BQ199" s="21">
        <f>EXP(-LN(2)/25)*BQ198+(1-EXP(-LN(2)/25))/(LN(2)/25)*Calculateur!BL199*Calculateur!BN199*VLOOKUP('Données projet'!$B$11,Paramètres!$A$1:$I$89,3,0)*0.475*44/12</f>
        <v>9.3898307598938871E-2</v>
      </c>
      <c r="BR199" s="21">
        <f>EXP(-LN(2)/2)*BR198+(1-EXP(-LN(2)/2))/(LN(2)/2)*BL199*BO199*VLOOKUP('Données projet'!$B$11,Paramètres!$A$1:$I$89,3,0)*0.475*44/12</f>
        <v>8.8248100616073832E-25</v>
      </c>
      <c r="BS199" s="22">
        <f t="shared" si="169"/>
        <v>0.36684805141320492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-1.7053025658242404E-13</v>
      </c>
      <c r="CU199" s="17">
        <f>CT199*VLOOKUP('Données projet'!$B$13,Paramètres!$A$1:$I$89,3,0)*VLOOKUP('Données projet'!$B$13,Paramètres!$A$1:$I$89,5,0)</f>
        <v>-1.3567387213697657E-13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299.10536994156814</v>
      </c>
      <c r="CZ199" s="59">
        <f t="shared" si="208"/>
        <v>292.57799203101769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0.31451098936427957</v>
      </c>
      <c r="DG199" s="21">
        <f>EXP(-LN(2)/25)*DG198+(1-EXP(-LN(2)/25))/(LN(2)/25)*Calculateur!DB199*Calculateur!DD199*VLOOKUP('Données projet'!$B$13,Paramètres!$A$1:$I$89,3,0)*0.475*44/12</f>
        <v>0.10841692570871488</v>
      </c>
      <c r="DH199" s="21">
        <f>EXP(-LN(2)/2)*DH198+(1-EXP(-LN(2)/2))/(LN(2)/2)*DB199*DE199*VLOOKUP('Données projet'!$B$13,Paramètres!$A$1:$I$89,3,0)*0.475*44/12</f>
        <v>9.2775011762976367E-25</v>
      </c>
      <c r="DI199" s="22">
        <f t="shared" si="175"/>
        <v>0.42292791507299443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2.2737367544323206E-13</v>
      </c>
      <c r="DP199" s="17">
        <f>DO199*VLOOKUP('Données projet'!$B$14,Paramètres!$A$1:$I$89,3,0)*VLOOKUP('Données projet'!$B$14,Paramètres!$A$1:$I$89,5,0)</f>
        <v>1.4897523215040565E-13</v>
      </c>
      <c r="DQ199" s="13">
        <f t="shared" si="176"/>
        <v>2.136562777003313E-12</v>
      </c>
      <c r="DR199" s="20">
        <f t="shared" si="177"/>
        <v>3.9806453659427267E-12</v>
      </c>
      <c r="DS199" s="59">
        <f t="shared" si="197"/>
        <v>293.33333333333729</v>
      </c>
      <c r="DT199" s="59">
        <f ca="1">AVERAGE(OFFSET($DS$3,0,0,'Données projet'!$E$14+1,1))-AVERAGE(OFFSET($H$3,0,0,'Données projet'!$E$14+1,1))</f>
        <v>295.92103934364718</v>
      </c>
      <c r="DU199" s="59">
        <f t="shared" si="209"/>
        <v>304.84379909635476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0.16658155594558466</v>
      </c>
      <c r="EB199" s="21">
        <f>EXP(-LN(2)/25)*EB198+(1-EXP(-LN(2)/25))/(LN(2)/25)*Calculateur!DW199*Calculateur!DY199*VLOOKUP('Données projet'!$B$14,Paramètres!$A$1:$I$89,3,0)*0.475*44/12</f>
        <v>7.1712937832280707E-2</v>
      </c>
      <c r="EC199" s="21">
        <f>EXP(-LN(2)/2)*EC198+(1-EXP(-LN(2)/2))/(LN(2)/2)*DW199*DZ199*VLOOKUP('Données projet'!$B$14,Paramètres!$A$1:$I$89,3,0)*0.475*44/12</f>
        <v>5.9502353329955064E-25</v>
      </c>
      <c r="ED199" s="22">
        <f t="shared" si="178"/>
        <v>0.23829449377786538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207.2913533618397</v>
      </c>
      <c r="EP199" s="59">
        <f t="shared" si="210"/>
        <v>230.81096055024483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0.25853464265803699</v>
      </c>
      <c r="EW199" s="21">
        <f>EXP(-LN(2)/25)*EW198+(1-EXP(-LN(2)/25))/(LN(2)/25)*Calculateur!ER199*Calculateur!ET199*VLOOKUP('Données projet'!$B$15,Paramètres!$A$1:$I$89,3,0)*0.475*44/12</f>
        <v>6.047314030527158E-2</v>
      </c>
      <c r="EX199" s="21">
        <f>EXP(-LN(2)/2)*EX198+(1-EXP(-LN(2)/2))/(LN(2)/2)*ER199*EU199*VLOOKUP('Données projet'!$B$15,Paramètres!$A$1:$I$89,3,0)*0.475*44/12</f>
        <v>3.0497193726781141E-25</v>
      </c>
      <c r="EY199" s="22">
        <f t="shared" si="181"/>
        <v>0.31900778296330856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319.22903094674564</v>
      </c>
      <c r="T200" s="59">
        <f t="shared" si="204"/>
        <v>254.58690973142848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0.33232220632100945</v>
      </c>
      <c r="AA200" s="21">
        <f>EXP(-LN(2)/25)*AA199+(1-EXP(-LN(2)/25))/(LN(2)/25)*Calculateur!V200*Calculateur!X200*VLOOKUP('Données projet'!$B$9,Paramètres!$A$1:$I$89,3,0)*0.475*44/12</f>
        <v>0.10875416943029836</v>
      </c>
      <c r="AB200" s="21">
        <f>EXP(-LN(2)/2)*AB199+(1-EXP(-LN(2)/2))/(LN(2)/2)*V200*Y200*VLOOKUP('Données projet'!$B$9,Paramètres!$A$1:$I$89,3,0)*0.475*44/12</f>
        <v>8.0739767307363384E-25</v>
      </c>
      <c r="AC200" s="22">
        <f t="shared" si="163"/>
        <v>0.44107637575130781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-1.9065282685915009E-13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544.48194192356823</v>
      </c>
      <c r="AO200" s="59">
        <f t="shared" si="205"/>
        <v>668.20427590250733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0.26880183971097871</v>
      </c>
      <c r="AV200" s="21">
        <f>EXP(-LN(2)/25)*AV199+(1-EXP(-LN(2)/25))/(LN(2)/25)*Calculateur!AQ200*Calculateur!AS200*VLOOKUP('Données projet'!$B$10,Paramètres!$A$1:$I$89,3,0)*0.475*44/12</f>
        <v>0.415579222322074</v>
      </c>
      <c r="AW200" s="21">
        <f>EXP(-LN(2)/2)*AW199+(1-EXP(-LN(2)/2))/(LN(2)/2)*AQ200*AT200*VLOOKUP('Données projet'!$B$10,Paramètres!$A$1:$I$89,3,0)*0.475*44/12</f>
        <v>1.0541419850678998E-24</v>
      </c>
      <c r="AX200" s="21">
        <f t="shared" si="166"/>
        <v>0.68438106203305271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405.7176439604217</v>
      </c>
      <c r="BJ200" s="59">
        <f t="shared" si="206"/>
        <v>278.21741231699929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0.26759736582097321</v>
      </c>
      <c r="BQ200" s="21">
        <f>EXP(-LN(2)/25)*BQ199+(1-EXP(-LN(2)/25))/(LN(2)/25)*Calculateur!BL200*Calculateur!BN200*VLOOKUP('Données projet'!$B$11,Paramètres!$A$1:$I$89,3,0)*0.475*44/12</f>
        <v>9.1330653439748499E-2</v>
      </c>
      <c r="BR200" s="21">
        <f>EXP(-LN(2)/2)*BR199+(1-EXP(-LN(2)/2))/(LN(2)/2)*BL200*BO200*VLOOKUP('Données projet'!$B$11,Paramètres!$A$1:$I$89,3,0)*0.475*44/12</f>
        <v>6.2400830372458549E-25</v>
      </c>
      <c r="BS200" s="22">
        <f t="shared" si="169"/>
        <v>0.35892801926072171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-1.7053025658242404E-13</v>
      </c>
      <c r="CU200" s="17">
        <f>CT200*VLOOKUP('Données projet'!$B$13,Paramètres!$A$1:$I$89,3,0)*VLOOKUP('Données projet'!$B$13,Paramètres!$A$1:$I$89,5,0)</f>
        <v>-1.3567387213697657E-13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299.10536994156814</v>
      </c>
      <c r="CZ200" s="59">
        <f t="shared" si="208"/>
        <v>292.57799203101769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0.30834362069560767</v>
      </c>
      <c r="DG200" s="21">
        <f>EXP(-LN(2)/25)*DG199+(1-EXP(-LN(2)/25))/(LN(2)/25)*Calculateur!DB200*Calculateur!DD200*VLOOKUP('Données projet'!$B$13,Paramètres!$A$1:$I$89,3,0)*0.475*44/12</f>
        <v>0.10545225917381174</v>
      </c>
      <c r="DH200" s="21">
        <f>EXP(-LN(2)/2)*DH199+(1-EXP(-LN(2)/2))/(LN(2)/2)*DB200*DE200*VLOOKUP('Données projet'!$B$13,Paramètres!$A$1:$I$89,3,0)*0.475*44/12</f>
        <v>6.5601839942262305E-25</v>
      </c>
      <c r="DI200" s="22">
        <f t="shared" si="175"/>
        <v>0.4137958798694194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2.2737367544323206E-13</v>
      </c>
      <c r="DP200" s="17">
        <f>DO200*VLOOKUP('Données projet'!$B$14,Paramètres!$A$1:$I$89,3,0)*VLOOKUP('Données projet'!$B$14,Paramètres!$A$1:$I$89,5,0)</f>
        <v>1.4897523215040565E-13</v>
      </c>
      <c r="DQ200" s="13">
        <f t="shared" si="176"/>
        <v>2.136562777003313E-12</v>
      </c>
      <c r="DR200" s="20">
        <f t="shared" si="177"/>
        <v>3.9806453659427267E-12</v>
      </c>
      <c r="DS200" s="59">
        <f t="shared" si="197"/>
        <v>293.33333333333729</v>
      </c>
      <c r="DT200" s="59">
        <f ca="1">AVERAGE(OFFSET($DS$3,0,0,'Données projet'!$E$14+1,1))-AVERAGE(OFFSET($H$3,0,0,'Données projet'!$E$14+1,1))</f>
        <v>295.92103934364718</v>
      </c>
      <c r="DU200" s="59">
        <f t="shared" si="209"/>
        <v>304.84379909635476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0.16331499323820825</v>
      </c>
      <c r="EB200" s="21">
        <f>EXP(-LN(2)/25)*EB199+(1-EXP(-LN(2)/25))/(LN(2)/25)*Calculateur!DW200*Calculateur!DY200*VLOOKUP('Données projet'!$B$14,Paramètres!$A$1:$I$89,3,0)*0.475*44/12</f>
        <v>6.9751943776037495E-2</v>
      </c>
      <c r="EC200" s="21">
        <f>EXP(-LN(2)/2)*EC199+(1-EXP(-LN(2)/2))/(LN(2)/2)*DW200*DZ200*VLOOKUP('Données projet'!$B$14,Paramètres!$A$1:$I$89,3,0)*0.475*44/12</f>
        <v>4.2074517536169172E-25</v>
      </c>
      <c r="ED200" s="22">
        <f t="shared" si="178"/>
        <v>0.23306693701424575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207.2913533618397</v>
      </c>
      <c r="EP200" s="59">
        <f t="shared" si="210"/>
        <v>230.81096055024483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0.25346493600607428</v>
      </c>
      <c r="EW200" s="21">
        <f>EXP(-LN(2)/25)*EW199+(1-EXP(-LN(2)/25))/(LN(2)/25)*Calculateur!ER200*Calculateur!ET200*VLOOKUP('Données projet'!$B$15,Paramètres!$A$1:$I$89,3,0)*0.475*44/12</f>
        <v>5.8819499103479694E-2</v>
      </c>
      <c r="EX200" s="21">
        <f>EXP(-LN(2)/2)*EX199+(1-EXP(-LN(2)/2))/(LN(2)/2)*ER200*EU200*VLOOKUP('Données projet'!$B$15,Paramètres!$A$1:$I$89,3,0)*0.475*44/12</f>
        <v>2.1564772491366781E-25</v>
      </c>
      <c r="EY200" s="22">
        <f t="shared" si="181"/>
        <v>0.31228443510955395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319.22903094674564</v>
      </c>
      <c r="T201" s="59">
        <f t="shared" si="204"/>
        <v>254.58690973142848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0.32580557055158571</v>
      </c>
      <c r="AA201" s="21">
        <f>EXP(-LN(2)/25)*AA200+(1-EXP(-LN(2)/25))/(LN(2)/25)*Calculateur!V201*Calculateur!X201*VLOOKUP('Données projet'!$B$9,Paramètres!$A$1:$I$89,3,0)*0.475*44/12</f>
        <v>0.10578028094809365</v>
      </c>
      <c r="AB201" s="21">
        <f>EXP(-LN(2)/2)*AB200+(1-EXP(-LN(2)/2))/(LN(2)/2)*V201*Y201*VLOOKUP('Données projet'!$B$9,Paramètres!$A$1:$I$89,3,0)*0.475*44/12</f>
        <v>5.7091636974460572E-25</v>
      </c>
      <c r="AC201" s="22">
        <f t="shared" si="163"/>
        <v>0.43158585149967937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-1.9065282685915009E-13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544.48194192356823</v>
      </c>
      <c r="AO201" s="59">
        <f t="shared" si="205"/>
        <v>668.20427590250733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0.26353079958717962</v>
      </c>
      <c r="AV201" s="21">
        <f>EXP(-LN(2)/25)*AV200+(1-EXP(-LN(2)/25))/(LN(2)/25)*Calculateur!AQ201*Calculateur!AS201*VLOOKUP('Données projet'!$B$10,Paramètres!$A$1:$I$89,3,0)*0.475*44/12</f>
        <v>0.4042151866333154</v>
      </c>
      <c r="AW201" s="21">
        <f>EXP(-LN(2)/2)*AW200+(1-EXP(-LN(2)/2))/(LN(2)/2)*AQ201*AT201*VLOOKUP('Données projet'!$B$10,Paramètres!$A$1:$I$89,3,0)*0.475*44/12</f>
        <v>7.4539094597496025E-25</v>
      </c>
      <c r="AX201" s="21">
        <f t="shared" si="166"/>
        <v>0.66774598622049508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405.7176439604217</v>
      </c>
      <c r="BJ201" s="59">
        <f t="shared" si="206"/>
        <v>278.21741231699929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0.2623499446955006</v>
      </c>
      <c r="BQ201" s="21">
        <f>EXP(-LN(2)/25)*BQ200+(1-EXP(-LN(2)/25))/(LN(2)/25)*Calculateur!BL201*Calculateur!BN201*VLOOKUP('Données projet'!$B$11,Paramètres!$A$1:$I$89,3,0)*0.475*44/12</f>
        <v>8.8833211918568245E-2</v>
      </c>
      <c r="BR201" s="21">
        <f>EXP(-LN(2)/2)*BR200+(1-EXP(-LN(2)/2))/(LN(2)/2)*BL201*BO201*VLOOKUP('Données projet'!$B$11,Paramètres!$A$1:$I$89,3,0)*0.475*44/12</f>
        <v>4.4124050308036916E-25</v>
      </c>
      <c r="BS201" s="22">
        <f t="shared" si="169"/>
        <v>0.35118315661406885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-1.7053025658242404E-13</v>
      </c>
      <c r="CU201" s="17">
        <f>CT201*VLOOKUP('Données projet'!$B$13,Paramètres!$A$1:$I$89,3,0)*VLOOKUP('Données projet'!$B$13,Paramètres!$A$1:$I$89,5,0)</f>
        <v>-1.3567387213697657E-13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299.10536994156814</v>
      </c>
      <c r="CZ201" s="59">
        <f t="shared" si="208"/>
        <v>292.57799203101769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0.30229719036480496</v>
      </c>
      <c r="DG201" s="21">
        <f>EXP(-LN(2)/25)*DG200+(1-EXP(-LN(2)/25))/(LN(2)/25)*Calculateur!DB201*Calculateur!DD201*VLOOKUP('Données projet'!$B$13,Paramètres!$A$1:$I$89,3,0)*0.475*44/12</f>
        <v>0.10256866160121056</v>
      </c>
      <c r="DH201" s="21">
        <f>EXP(-LN(2)/2)*DH200+(1-EXP(-LN(2)/2))/(LN(2)/2)*DB201*DE201*VLOOKUP('Données projet'!$B$13,Paramètres!$A$1:$I$89,3,0)*0.475*44/12</f>
        <v>4.6387505881488184E-25</v>
      </c>
      <c r="DI201" s="22">
        <f t="shared" si="175"/>
        <v>0.40486585196601554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2.2737367544323206E-13</v>
      </c>
      <c r="DP201" s="17">
        <f>DO201*VLOOKUP('Données projet'!$B$14,Paramètres!$A$1:$I$89,3,0)*VLOOKUP('Données projet'!$B$14,Paramètres!$A$1:$I$89,5,0)</f>
        <v>1.4897523215040565E-13</v>
      </c>
      <c r="DQ201" s="13">
        <f t="shared" si="176"/>
        <v>2.136562777003313E-12</v>
      </c>
      <c r="DR201" s="20">
        <f t="shared" si="177"/>
        <v>3.9806453659427267E-12</v>
      </c>
      <c r="DS201" s="59">
        <f t="shared" si="197"/>
        <v>293.33333333333729</v>
      </c>
      <c r="DT201" s="59">
        <f ca="1">AVERAGE(OFFSET($DS$3,0,0,'Données projet'!$E$14+1,1))-AVERAGE(OFFSET($H$3,0,0,'Données projet'!$E$14+1,1))</f>
        <v>295.92103934364718</v>
      </c>
      <c r="DU201" s="59">
        <f t="shared" si="209"/>
        <v>304.84379909635476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0.16011248583311696</v>
      </c>
      <c r="EB201" s="21">
        <f>EXP(-LN(2)/25)*EB200+(1-EXP(-LN(2)/25))/(LN(2)/25)*Calculateur!DW201*Calculateur!DY201*VLOOKUP('Données projet'!$B$14,Paramètres!$A$1:$I$89,3,0)*0.475*44/12</f>
        <v>6.7844573205386449E-2</v>
      </c>
      <c r="EC201" s="21">
        <f>EXP(-LN(2)/2)*EC200+(1-EXP(-LN(2)/2))/(LN(2)/2)*DW201*DZ201*VLOOKUP('Données projet'!$B$14,Paramètres!$A$1:$I$89,3,0)*0.475*44/12</f>
        <v>2.9751176664977532E-25</v>
      </c>
      <c r="ED201" s="22">
        <f t="shared" si="178"/>
        <v>0.22795705903850341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207.2913533618397</v>
      </c>
      <c r="EP201" s="59">
        <f t="shared" si="210"/>
        <v>230.81096055024483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0.24849464320934081</v>
      </c>
      <c r="EW201" s="21">
        <f>EXP(-LN(2)/25)*EW200+(1-EXP(-LN(2)/25))/(LN(2)/25)*Calculateur!ER201*Calculateur!ET201*VLOOKUP('Données projet'!$B$15,Paramètres!$A$1:$I$89,3,0)*0.475*44/12</f>
        <v>5.7211076807312015E-2</v>
      </c>
      <c r="EX201" s="21">
        <f>EXP(-LN(2)/2)*EX200+(1-EXP(-LN(2)/2))/(LN(2)/2)*ER201*EU201*VLOOKUP('Données projet'!$B$15,Paramètres!$A$1:$I$89,3,0)*0.475*44/12</f>
        <v>1.524859686339057E-25</v>
      </c>
      <c r="EY201" s="22">
        <f t="shared" si="181"/>
        <v>0.3057057200166528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319.22903094674564</v>
      </c>
      <c r="T202" s="59">
        <f t="shared" si="204"/>
        <v>254.58690973142848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0.319416722034845</v>
      </c>
      <c r="AA202" s="21">
        <f>EXP(-LN(2)/25)*AA201+(1-EXP(-LN(2)/25))/(LN(2)/25)*Calculateur!V202*Calculateur!X202*VLOOKUP('Données projet'!$B$9,Paramètres!$A$1:$I$89,3,0)*0.475*44/12</f>
        <v>0.10288771360282482</v>
      </c>
      <c r="AB202" s="21">
        <f>EXP(-LN(2)/2)*AB201+(1-EXP(-LN(2)/2))/(LN(2)/2)*V202*Y202*VLOOKUP('Données projet'!$B$9,Paramètres!$A$1:$I$89,3,0)*0.475*44/12</f>
        <v>4.0369883653681701E-25</v>
      </c>
      <c r="AC202" s="22">
        <f t="shared" si="163"/>
        <v>0.42230443563766984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-1.9065282685915009E-13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544.48194192356823</v>
      </c>
      <c r="AO202" s="59">
        <f t="shared" si="205"/>
        <v>668.20427590250733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0.25836312134519124</v>
      </c>
      <c r="AV202" s="21">
        <f>EXP(-LN(2)/25)*AV201+(1-EXP(-LN(2)/25))/(LN(2)/25)*Calculateur!AQ202*Calculateur!AS202*VLOOKUP('Données projet'!$B$10,Paramètres!$A$1:$I$89,3,0)*0.475*44/12</f>
        <v>0.39316190109807458</v>
      </c>
      <c r="AW202" s="21">
        <f>EXP(-LN(2)/2)*AW201+(1-EXP(-LN(2)/2))/(LN(2)/2)*AQ202*AT202*VLOOKUP('Données projet'!$B$10,Paramètres!$A$1:$I$89,3,0)*0.475*44/12</f>
        <v>5.2707099253394988E-25</v>
      </c>
      <c r="AX202" s="21">
        <f t="shared" si="166"/>
        <v>0.65152502244326582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405.7176439604217</v>
      </c>
      <c r="BJ202" s="59">
        <f t="shared" si="206"/>
        <v>278.21741231699929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0.25720542229768767</v>
      </c>
      <c r="BQ202" s="21">
        <f>EXP(-LN(2)/25)*BQ201+(1-EXP(-LN(2)/25))/(LN(2)/25)*Calculateur!BL202*Calculateur!BN202*VLOOKUP('Données projet'!$B$11,Paramètres!$A$1:$I$89,3,0)*0.475*44/12</f>
        <v>8.640406306711941E-2</v>
      </c>
      <c r="BR202" s="21">
        <f>EXP(-LN(2)/2)*BR201+(1-EXP(-LN(2)/2))/(LN(2)/2)*BL202*BO202*VLOOKUP('Données projet'!$B$11,Paramètres!$A$1:$I$89,3,0)*0.475*44/12</f>
        <v>3.1200415186229275E-25</v>
      </c>
      <c r="BS202" s="22">
        <f t="shared" si="169"/>
        <v>0.34360948536480707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-1.7053025658242404E-13</v>
      </c>
      <c r="CU202" s="17">
        <f>CT202*VLOOKUP('Données projet'!$B$13,Paramètres!$A$1:$I$89,3,0)*VLOOKUP('Données projet'!$B$13,Paramètres!$A$1:$I$89,5,0)</f>
        <v>-1.3567387213697657E-13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299.10536994156814</v>
      </c>
      <c r="CZ202" s="59">
        <f t="shared" si="208"/>
        <v>292.57799203101769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0.29636932684483092</v>
      </c>
      <c r="DG202" s="21">
        <f>EXP(-LN(2)/25)*DG201+(1-EXP(-LN(2)/25))/(LN(2)/25)*Calculateur!DB202*Calculateur!DD202*VLOOKUP('Données projet'!$B$13,Paramètres!$A$1:$I$89,3,0)*0.475*44/12</f>
        <v>9.9763916155873961E-2</v>
      </c>
      <c r="DH202" s="21">
        <f>EXP(-LN(2)/2)*DH201+(1-EXP(-LN(2)/2))/(LN(2)/2)*DB202*DE202*VLOOKUP('Données projet'!$B$13,Paramètres!$A$1:$I$89,3,0)*0.475*44/12</f>
        <v>3.2800919971131152E-25</v>
      </c>
      <c r="DI202" s="22">
        <f t="shared" si="175"/>
        <v>0.39613324300070485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2.2737367544323206E-13</v>
      </c>
      <c r="DP202" s="17">
        <f>DO202*VLOOKUP('Données projet'!$B$14,Paramètres!$A$1:$I$89,3,0)*VLOOKUP('Données projet'!$B$14,Paramètres!$A$1:$I$89,5,0)</f>
        <v>1.4897523215040565E-13</v>
      </c>
      <c r="DQ202" s="13">
        <f t="shared" si="176"/>
        <v>2.136562777003313E-12</v>
      </c>
      <c r="DR202" s="20">
        <f t="shared" si="177"/>
        <v>3.9806453659427267E-12</v>
      </c>
      <c r="DS202" s="59">
        <f t="shared" si="197"/>
        <v>293.33333333333729</v>
      </c>
      <c r="DT202" s="59">
        <f ca="1">AVERAGE(OFFSET($DS$3,0,0,'Données projet'!$E$14+1,1))-AVERAGE(OFFSET($H$3,0,0,'Données projet'!$E$14+1,1))</f>
        <v>295.92103934364718</v>
      </c>
      <c r="DU202" s="59">
        <f t="shared" si="209"/>
        <v>304.84379909635476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0.15697277764490289</v>
      </c>
      <c r="EB202" s="21">
        <f>EXP(-LN(2)/25)*EB201+(1-EXP(-LN(2)/25))/(LN(2)/25)*Calculateur!DW202*Calculateur!DY202*VLOOKUP('Données projet'!$B$14,Paramètres!$A$1:$I$89,3,0)*0.475*44/12</f>
        <v>6.5989359783294108E-2</v>
      </c>
      <c r="EC202" s="21">
        <f>EXP(-LN(2)/2)*EC201+(1-EXP(-LN(2)/2))/(LN(2)/2)*DW202*DZ202*VLOOKUP('Données projet'!$B$14,Paramètres!$A$1:$I$89,3,0)*0.475*44/12</f>
        <v>2.1037258768084586E-25</v>
      </c>
      <c r="ED202" s="22">
        <f t="shared" si="178"/>
        <v>0.22296213742819698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207.2913533618397</v>
      </c>
      <c r="EP202" s="59">
        <f t="shared" si="210"/>
        <v>230.81096055024483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0.24362181482277201</v>
      </c>
      <c r="EW202" s="21">
        <f>EXP(-LN(2)/25)*EW201+(1-EXP(-LN(2)/25))/(LN(2)/25)*Calculateur!ER202*Calculateur!ET202*VLOOKUP('Données projet'!$B$15,Paramètres!$A$1:$I$89,3,0)*0.475*44/12</f>
        <v>5.5646636903416299E-2</v>
      </c>
      <c r="EX202" s="21">
        <f>EXP(-LN(2)/2)*EX201+(1-EXP(-LN(2)/2))/(LN(2)/2)*ER202*EU202*VLOOKUP('Données projet'!$B$15,Paramètres!$A$1:$I$89,3,0)*0.475*44/12</f>
        <v>1.078238624568339E-25</v>
      </c>
      <c r="EY202" s="22">
        <f t="shared" si="181"/>
        <v>0.29926845172618832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319.22903094674564</v>
      </c>
      <c r="T203" s="59">
        <f t="shared" si="204"/>
        <v>254.58690973142848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0.31315315494070478</v>
      </c>
      <c r="AA203" s="21">
        <f>EXP(-LN(2)/25)*AA202+(1-EXP(-LN(2)/25))/(LN(2)/25)*Calculateur!V203*Calculateur!X203*VLOOKUP('Données projet'!$B$9,Paramètres!$A$1:$I$89,3,0)*0.475*44/12</f>
        <v>0.10007424366372587</v>
      </c>
      <c r="AB203" s="21">
        <f>EXP(-LN(2)/2)*AB202+(1-EXP(-LN(2)/2))/(LN(2)/2)*V203*Y203*VLOOKUP('Données projet'!$B$9,Paramètres!$A$1:$I$89,3,0)*0.475*44/12</f>
        <v>2.854581848723029E-25</v>
      </c>
      <c r="AC203" s="22">
        <f t="shared" si="163"/>
        <v>0.41322739860443064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-1.9065282685915009E-13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544.48194192356823</v>
      </c>
      <c r="AO203" s="59">
        <f t="shared" si="205"/>
        <v>668.20427590250733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0.25329677812155577</v>
      </c>
      <c r="AV203" s="21">
        <f>EXP(-LN(2)/25)*AV202+(1-EXP(-LN(2)/25))/(LN(2)/25)*Calculateur!AQ203*Calculateur!AS203*VLOOKUP('Données projet'!$B$10,Paramètres!$A$1:$I$89,3,0)*0.475*44/12</f>
        <v>0.38241086823706194</v>
      </c>
      <c r="AW203" s="21">
        <f>EXP(-LN(2)/2)*AW202+(1-EXP(-LN(2)/2))/(LN(2)/2)*AQ203*AT203*VLOOKUP('Données projet'!$B$10,Paramètres!$A$1:$I$89,3,0)*0.475*44/12</f>
        <v>3.7269547298748013E-25</v>
      </c>
      <c r="AX203" s="21">
        <f t="shared" si="166"/>
        <v>0.63570764635861776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405.7176439604217</v>
      </c>
      <c r="BJ203" s="59">
        <f t="shared" si="206"/>
        <v>278.21741231699929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0.25216178084624702</v>
      </c>
      <c r="BQ203" s="21">
        <f>EXP(-LN(2)/25)*BQ202+(1-EXP(-LN(2)/25))/(LN(2)/25)*Calculateur!BL203*Calculateur!BN203*VLOOKUP('Données projet'!$B$11,Paramètres!$A$1:$I$89,3,0)*0.475*44/12</f>
        <v>8.4041339418756827E-2</v>
      </c>
      <c r="BR203" s="21">
        <f>EXP(-LN(2)/2)*BR202+(1-EXP(-LN(2)/2))/(LN(2)/2)*BL203*BO203*VLOOKUP('Données projet'!$B$11,Paramètres!$A$1:$I$89,3,0)*0.475*44/12</f>
        <v>2.2062025154018458E-25</v>
      </c>
      <c r="BS203" s="22">
        <f t="shared" si="169"/>
        <v>0.33620312026500387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-1.7053025658242404E-13</v>
      </c>
      <c r="CU203" s="17">
        <f>CT203*VLOOKUP('Données projet'!$B$13,Paramètres!$A$1:$I$89,3,0)*VLOOKUP('Données projet'!$B$13,Paramètres!$A$1:$I$89,5,0)</f>
        <v>-1.3567387213697657E-13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299.10536994156814</v>
      </c>
      <c r="CZ203" s="59">
        <f t="shared" si="208"/>
        <v>292.57799203101769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0.29055770511284384</v>
      </c>
      <c r="DG203" s="21">
        <f>EXP(-LN(2)/25)*DG202+(1-EXP(-LN(2)/25))/(LN(2)/25)*Calculateur!DB203*Calculateur!DD203*VLOOKUP('Données projet'!$B$13,Paramètres!$A$1:$I$89,3,0)*0.475*44/12</f>
        <v>9.7035866622235248E-2</v>
      </c>
      <c r="DH203" s="21">
        <f>EXP(-LN(2)/2)*DH202+(1-EXP(-LN(2)/2))/(LN(2)/2)*DB203*DE203*VLOOKUP('Données projet'!$B$13,Paramètres!$A$1:$I$89,3,0)*0.475*44/12</f>
        <v>2.3193752940744092E-25</v>
      </c>
      <c r="DI203" s="22">
        <f t="shared" si="175"/>
        <v>0.38759357173507908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2.2737367544323206E-13</v>
      </c>
      <c r="DP203" s="17">
        <f>DO203*VLOOKUP('Données projet'!$B$14,Paramètres!$A$1:$I$89,3,0)*VLOOKUP('Données projet'!$B$14,Paramètres!$A$1:$I$89,5,0)</f>
        <v>1.4897523215040565E-13</v>
      </c>
      <c r="DQ203" s="13">
        <f t="shared" si="176"/>
        <v>2.136562777003313E-12</v>
      </c>
      <c r="DR203" s="20">
        <f t="shared" si="177"/>
        <v>3.9806453659427267E-12</v>
      </c>
      <c r="DS203" s="59">
        <f t="shared" si="197"/>
        <v>293.33333333333729</v>
      </c>
      <c r="DT203" s="59">
        <f ca="1">AVERAGE(OFFSET($DS$3,0,0,'Données projet'!$E$14+1,1))-AVERAGE(OFFSET($H$3,0,0,'Données projet'!$E$14+1,1))</f>
        <v>295.92103934364718</v>
      </c>
      <c r="DU203" s="59">
        <f t="shared" si="209"/>
        <v>304.84379909635476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0.15389463721922678</v>
      </c>
      <c r="EB203" s="21">
        <f>EXP(-LN(2)/25)*EB202+(1-EXP(-LN(2)/25))/(LN(2)/25)*Calculateur!DW203*Calculateur!DY203*VLOOKUP('Données projet'!$B$14,Paramètres!$A$1:$I$89,3,0)*0.475*44/12</f>
        <v>6.4184877269790316E-2</v>
      </c>
      <c r="EC203" s="21">
        <f>EXP(-LN(2)/2)*EC202+(1-EXP(-LN(2)/2))/(LN(2)/2)*DW203*DZ203*VLOOKUP('Données projet'!$B$14,Paramètres!$A$1:$I$89,3,0)*0.475*44/12</f>
        <v>1.4875588332488766E-25</v>
      </c>
      <c r="ED203" s="22">
        <f t="shared" si="178"/>
        <v>0.21807951448901708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207.2913533618397</v>
      </c>
      <c r="EP203" s="59">
        <f t="shared" si="210"/>
        <v>230.81096055024483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0.23884453962873198</v>
      </c>
      <c r="EW203" s="21">
        <f>EXP(-LN(2)/25)*EW202+(1-EXP(-LN(2)/25))/(LN(2)/25)*Calculateur!ER203*Calculateur!ET203*VLOOKUP('Données projet'!$B$15,Paramètres!$A$1:$I$89,3,0)*0.475*44/12</f>
        <v>5.4124976690962931E-2</v>
      </c>
      <c r="EX203" s="21">
        <f>EXP(-LN(2)/2)*EX202+(1-EXP(-LN(2)/2))/(LN(2)/2)*ER203*EU203*VLOOKUP('Données projet'!$B$15,Paramètres!$A$1:$I$89,3,0)*0.475*44/12</f>
        <v>7.6242984316952851E-26</v>
      </c>
      <c r="EY203" s="22">
        <f t="shared" si="181"/>
        <v>0.29296951631969492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1.3306754098332192</v>
      </c>
      <c r="BA205" s="82">
        <f>EXP(LN('Données projet'!B88)/'Données projet'!A88)</f>
        <v>1.2392705892426346</v>
      </c>
      <c r="BV205" s="82" t="e">
        <f>EXP(LN('Données projet'!B114)/'Données projet'!A114)</f>
        <v>#NUM!</v>
      </c>
      <c r="CQ205" s="82">
        <f>EXP(LN('Données projet'!B140)/'Données projet'!A140)</f>
        <v>1.2721747796233518</v>
      </c>
      <c r="DL205" s="82">
        <f>EXP(LN('Données projet'!B166)/'Données projet'!A166)</f>
        <v>1.3020054543174677</v>
      </c>
      <c r="EG205" s="82">
        <f>EXP(LN('Données projet'!B192)/'Données projet'!A192)</f>
        <v>1.2902630215234134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Q14" sqref="Q1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0.18500000000000003</v>
      </c>
      <c r="C6" s="147">
        <f ca="1">IF(OR('Données projet'!B9="",'Données projet'!C9="",'Données projet'!C9=0%),0,Calculateur!S3)</f>
        <v>319.22903094674564</v>
      </c>
      <c r="D6" s="147">
        <f>IF(OR('Données projet'!B9="",'Données projet'!C9="",'Données projet'!C9=0%),0,Calculateur!T3)</f>
        <v>254.58690973142848</v>
      </c>
      <c r="E6" s="147">
        <f ca="1">MIN(C6,D6)</f>
        <v>254.58690973142848</v>
      </c>
      <c r="F6" s="147">
        <f ca="1">E6*B6</f>
        <v>47.098578300314273</v>
      </c>
      <c r="G6" s="147">
        <f ca="1">F6*(100%-'Données projet'!$C$24)*(100%-'Données projet'!$C$25)*(100%-'Données projet'!$C$26)*(100%-'Données projet'!$C$27)</f>
        <v>42.388720470282848</v>
      </c>
      <c r="H6" s="148">
        <f>IF(OR('Données projet'!B9="",'Données projet'!C9="",'Données projet'!C9=0%),0,AVERAGE(Calculateur!$AC$3:$AC$33)*B6)</f>
        <v>0.72397670837670647</v>
      </c>
      <c r="I6" s="149">
        <f>H6*(100%-'Données projet'!$C$24)*(100%-'Données projet'!$C$25)*(100%-'Données projet'!$C$26)*(100%-'Données projet'!$C$27)</f>
        <v>0.65157903753903579</v>
      </c>
      <c r="J6" s="150">
        <f>IF(OR('Données projet'!B9="",'Données projet'!C9="",'Données projet'!C9=0%),0,SUM(Calculateur!$V$3:$V$33)*VLOOKUP('Données projet'!$B$9,Paramètres!$A$1:$I$89,9,0)*B6)</f>
        <v>8.472075000000002</v>
      </c>
      <c r="K6" s="151">
        <f>J6*(100%-'Données projet'!$C$24)*(100%-'Données projet'!$C$25)*(100%-'Données projet'!$C$26)*(100%-'Données projet'!$C$27)</f>
        <v>7.6248675000000024</v>
      </c>
      <c r="L6" s="152">
        <f ca="1">G6+I6+K6</f>
        <v>50.665167007821886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Douglas</v>
      </c>
      <c r="B7" s="154">
        <f>'Données projet'!D10</f>
        <v>0.27750000000000002</v>
      </c>
      <c r="C7" s="147">
        <f ca="1">IF(OR('Données projet'!B10="",'Données projet'!C10="",'Données projet'!C10=0%),0,Calculateur!AN3)</f>
        <v>544.48194192356823</v>
      </c>
      <c r="D7" s="147">
        <f>IF(OR('Données projet'!B10="",'Données projet'!C10="",'Données projet'!C10=0%),0,Calculateur!AO3)</f>
        <v>668.20427590250733</v>
      </c>
      <c r="E7" s="147">
        <f t="shared" ref="E7:E15" ca="1" si="0">MIN(C7,D7)</f>
        <v>544.48194192356823</v>
      </c>
      <c r="F7" s="147">
        <f t="shared" ref="F7:F15" ca="1" si="1">E7*B7</f>
        <v>151.09373888379019</v>
      </c>
      <c r="G7" s="147">
        <f ca="1">F7*(100%-'Données projet'!$C$24)*(100%-'Données projet'!$C$25)*(100%-'Données projet'!$C$26)*(100%-'Données projet'!$C$27)</f>
        <v>135.98436499541117</v>
      </c>
      <c r="H7" s="155">
        <f>IF(OR('Données projet'!B10="",'Données projet'!C10="",'Données projet'!C10=0%),0,AVERAGE(Calculateur!$AX$3:$AX$33)*B7)</f>
        <v>2.7312800829580479</v>
      </c>
      <c r="I7" s="149">
        <f>H7*(100%-'Données projet'!$C$24)*(100%-'Données projet'!$C$25)*(100%-'Données projet'!$C$26)*(100%-'Données projet'!$C$27)</f>
        <v>2.4581520746622432</v>
      </c>
      <c r="J7" s="150">
        <f>IF(OR('Données projet'!B10="",'Données projet'!C10="",'Données projet'!C10=0%),0,SUM(Calculateur!$AQ$3:$AQ$33)*VLOOKUP('Données projet'!$B$10,Paramètres!$A$1:$I$89,9,0)*B7)</f>
        <v>23.029724999999999</v>
      </c>
      <c r="K7" s="151">
        <f>J7*(100%-'Données projet'!$C$24)*(100%-'Données projet'!$C$25)*(100%-'Données projet'!$C$26)*(100%-'Données projet'!$C$27)</f>
        <v>20.7267525</v>
      </c>
      <c r="L7" s="152">
        <f t="shared" ref="L7:L15" ca="1" si="2">G7+I7+K7</f>
        <v>159.16926957007342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sessile</v>
      </c>
      <c r="B8" s="154">
        <f>'Données projet'!D11</f>
        <v>0.61050000000000004</v>
      </c>
      <c r="C8" s="147">
        <f ca="1">IF(OR('Données projet'!B11="",'Données projet'!C11="",'Données projet'!C11=0%),0,Calculateur!BI3)</f>
        <v>405.7176439604217</v>
      </c>
      <c r="D8" s="147">
        <f>IF(OR('Données projet'!B11="",'Données projet'!C11="",'Données projet'!C11=0%),0,Calculateur!BJ3)</f>
        <v>278.21741231699929</v>
      </c>
      <c r="E8" s="147">
        <f t="shared" ca="1" si="0"/>
        <v>278.21741231699929</v>
      </c>
      <c r="F8" s="147">
        <f t="shared" ca="1" si="1"/>
        <v>169.85173021952806</v>
      </c>
      <c r="G8" s="147">
        <f ca="1">F8*(100%-'Données projet'!$C$24)*(100%-'Données projet'!$C$25)*(100%-'Données projet'!$C$26)*(100%-'Données projet'!$C$27)</f>
        <v>152.86655719757528</v>
      </c>
      <c r="H8" s="155">
        <f>IF(OR('Données projet'!B11="",'Données projet'!C11="",'Données projet'!C11=0%),0,AVERAGE(Calculateur!$BS$3:$BS$33)*B8)</f>
        <v>2.0657192356251812</v>
      </c>
      <c r="I8" s="149">
        <f>H8*(100%-'Données projet'!$C$24)*(100%-'Données projet'!$C$25)*(100%-'Données projet'!$C$26)*(100%-'Données projet'!$C$27)</f>
        <v>1.8591473120626631</v>
      </c>
      <c r="J8" s="150">
        <f>IF(OR('Données projet'!B11="",'Données projet'!C11="",'Données projet'!C11=0%),0,SUM(Calculateur!$BL$3:$BL$33)*VLOOKUP('Données projet'!$B$11,Paramètres!$A$1:$I$89,9,0)*B8)</f>
        <v>9.4627499999999998</v>
      </c>
      <c r="K8" s="151">
        <f>J8*(100%-'Données projet'!$C$24)*(100%-'Données projet'!$C$25)*(100%-'Données projet'!$C$26)*(100%-'Données projet'!$C$27)</f>
        <v>8.5164749999999998</v>
      </c>
      <c r="L8" s="152">
        <f t="shared" ca="1" si="2"/>
        <v>163.24217950963794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Erable sycomore</v>
      </c>
      <c r="B10" s="154">
        <f>'Données projet'!D13</f>
        <v>0.55500000000000005</v>
      </c>
      <c r="C10" s="147">
        <f ca="1">IF(OR('Données projet'!B13="",'Données projet'!C13="",'Données projet'!C13=0%),0,Calculateur!CY3)</f>
        <v>299.10536994156814</v>
      </c>
      <c r="D10" s="147">
        <f>IF(OR('Données projet'!B13="",'Données projet'!C13="",'Données projet'!C13=0%),0,Calculateur!CZ3)</f>
        <v>292.57799203101769</v>
      </c>
      <c r="E10" s="147">
        <f t="shared" ca="1" si="0"/>
        <v>292.57799203101769</v>
      </c>
      <c r="F10" s="147">
        <f t="shared" ca="1" si="1"/>
        <v>162.38078557721482</v>
      </c>
      <c r="G10" s="147">
        <f ca="1">F10*(100%-'Données projet'!$C$24)*(100%-'Données projet'!$C$25)*(100%-'Données projet'!$C$26)*(100%-'Données projet'!$C$27)</f>
        <v>146.14270701949334</v>
      </c>
      <c r="H10" s="155">
        <f>IF(OR('Données projet'!B13="",'Données projet'!C13="",'Données projet'!C13=0%),0,AVERAGE(Calculateur!$DI$3:$DI$33)*B10)</f>
        <v>4.1163838714983774</v>
      </c>
      <c r="I10" s="149">
        <f>H10*(100%-'Données projet'!$C$24)*(100%-'Données projet'!$C$25)*(100%-'Données projet'!$C$26)*(100%-'Données projet'!$C$27)</f>
        <v>3.7047454843485399</v>
      </c>
      <c r="J10" s="150">
        <f>IF(OR('Données projet'!B13="",'Données projet'!C13="",'Données projet'!C13=0%),0,SUM(Calculateur!$DB$3:$DB$33)*VLOOKUP('Données projet'!$B$13,Paramètres!$A$1:$I$89,9,0)*B10)</f>
        <v>13.736250000000002</v>
      </c>
      <c r="K10" s="151">
        <f>J10*(100%-'Données projet'!$C$24)*(100%-'Données projet'!$C$25)*(100%-'Données projet'!$C$26)*(100%-'Données projet'!$C$27)</f>
        <v>12.362625000000001</v>
      </c>
      <c r="L10" s="152">
        <f t="shared" ca="1" si="2"/>
        <v>162.21007750384189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Aulne glutineux</v>
      </c>
      <c r="B11" s="154">
        <f>'Données projet'!D14</f>
        <v>3.7000000000000005E-2</v>
      </c>
      <c r="C11" s="147">
        <f ca="1">IF(OR('Données projet'!B14="",'Données projet'!C14="",'Données projet'!C14=0%),0,Calculateur!DT3)</f>
        <v>295.92103934364718</v>
      </c>
      <c r="D11" s="147">
        <f>IF(OR('Données projet'!B14="",'Données projet'!C14="",'Données projet'!C14=0%),0,Calculateur!DU3)</f>
        <v>304.84379909635476</v>
      </c>
      <c r="E11" s="147">
        <f t="shared" ca="1" si="0"/>
        <v>295.92103934364718</v>
      </c>
      <c r="F11" s="147">
        <f t="shared" ca="1" si="1"/>
        <v>10.949078455714947</v>
      </c>
      <c r="G11" s="147">
        <f ca="1">F11*(100%-'Données projet'!$C$24)*(100%-'Données projet'!$C$25)*(100%-'Données projet'!$C$26)*(100%-'Données projet'!$C$27)</f>
        <v>9.8541706101434521</v>
      </c>
      <c r="H11" s="155">
        <f>IF(OR('Données projet'!B14="",'Données projet'!C14="",'Données projet'!C14=0%),0,AVERAGE(Calculateur!$ED$3:$ED$33)*B11)</f>
        <v>0.10828195147447486</v>
      </c>
      <c r="I11" s="149">
        <f>H11*(100%-'Données projet'!$C$24)*(100%-'Données projet'!$C$25)*(100%-'Données projet'!$C$26)*(100%-'Données projet'!$C$27)</f>
        <v>9.745375632702738E-2</v>
      </c>
      <c r="J11" s="150">
        <f>IF(OR('Données projet'!B14="",'Données projet'!C14="",'Données projet'!C14=0%),0,SUM(Calculateur!$DW$3:$DW$33)*VLOOKUP('Données projet'!$B$14,Paramètres!$A$1:$I$89,9,0)*B11)</f>
        <v>0.62900000000000011</v>
      </c>
      <c r="K11" s="151">
        <f>J11*(100%-'Données projet'!$C$24)*(100%-'Données projet'!$C$25)*(100%-'Données projet'!$C$26)*(100%-'Données projet'!$C$27)</f>
        <v>0.56610000000000016</v>
      </c>
      <c r="L11" s="152">
        <f t="shared" ca="1" si="2"/>
        <v>10.51772436647048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Pin maritime</v>
      </c>
      <c r="B12" s="154">
        <f>'Données projet'!D15</f>
        <v>0.18500000000000003</v>
      </c>
      <c r="C12" s="147">
        <f ca="1">IF(OR('Données projet'!B15="",'Données projet'!C15="",'Données projet'!C15=0%),0,Calculateur!EO3)</f>
        <v>207.2913533618397</v>
      </c>
      <c r="D12" s="147">
        <f>IF(OR('Données projet'!B15="",'Données projet'!C15="",'Données projet'!C15=0%),0,Calculateur!EP3)</f>
        <v>230.81096055024483</v>
      </c>
      <c r="E12" s="147">
        <f t="shared" ca="1" si="0"/>
        <v>207.2913533618397</v>
      </c>
      <c r="F12" s="147">
        <f t="shared" ca="1" si="1"/>
        <v>38.348900371940353</v>
      </c>
      <c r="G12" s="147">
        <f ca="1">F12*(100%-'Données projet'!$C$24)*(100%-'Données projet'!$C$25)*(100%-'Données projet'!$C$26)*(100%-'Données projet'!$C$27)</f>
        <v>34.514010334746317</v>
      </c>
      <c r="H12" s="155">
        <f>IF(OR('Données projet'!B15="",'Données projet'!C15="",'Données projet'!C15=0%),0,AVERAGE(Calculateur!$EY$3:$EY$33)*B12)</f>
        <v>0.7920638778257727</v>
      </c>
      <c r="I12" s="149">
        <f>H12*(100%-'Données projet'!$C$24)*(100%-'Données projet'!$C$25)*(100%-'Données projet'!$C$26)*(100%-'Données projet'!$C$27)</f>
        <v>0.71285749004319543</v>
      </c>
      <c r="J12" s="150">
        <f>IF(OR('Données projet'!B15="",'Données projet'!C15="",'Données projet'!C15=0%),0,SUM(Calculateur!$ER$3:$ER$33)*VLOOKUP('Données projet'!$B$15,Paramètres!$A$1:$I$89,9,0)*B12)</f>
        <v>7.0947500000000012</v>
      </c>
      <c r="K12" s="151">
        <f>J12*(100%-'Données projet'!$C$24)*(100%-'Données projet'!$C$25)*(100%-'Données projet'!$C$26)*(100%-'Données projet'!$C$27)</f>
        <v>6.3852750000000009</v>
      </c>
      <c r="L12" s="152">
        <f t="shared" ca="1" si="2"/>
        <v>41.612142824789515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579.72281180850257</v>
      </c>
      <c r="G16" s="166">
        <f t="shared" ca="1" si="3"/>
        <v>521.75053062765244</v>
      </c>
      <c r="H16" s="167">
        <f t="shared" si="3"/>
        <v>10.53770572775856</v>
      </c>
      <c r="I16" s="167">
        <f t="shared" si="3"/>
        <v>9.4839351549827047</v>
      </c>
      <c r="J16" s="168">
        <f t="shared" si="3"/>
        <v>62.424549999999996</v>
      </c>
      <c r="K16" s="168">
        <f t="shared" si="3"/>
        <v>56.182095000000004</v>
      </c>
      <c r="L16" s="169">
        <f t="shared" ca="1" si="3"/>
        <v>587.41656078263509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Aulne glutineux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Pin maritime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1" zoomScale="80" zoomScaleNormal="80" workbookViewId="0">
      <selection activeCell="V40" sqref="V40:V4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-426.35711401235085</v>
      </c>
      <c r="U10" s="178">
        <f>'Données projet'!D9</f>
        <v>0.18500000000000003</v>
      </c>
      <c r="V10" s="177">
        <f>U10*T10</f>
        <v>-78.876066092284915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3510.5032025404007</v>
      </c>
      <c r="U11" s="178">
        <f>'Données projet'!D10</f>
        <v>0.27750000000000002</v>
      </c>
      <c r="V11" s="177">
        <f t="shared" ref="V11" si="0">U11*T11</f>
        <v>974.16463870496125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-1296.5266442753489</v>
      </c>
      <c r="U12" s="178">
        <f>'Données projet'!D11</f>
        <v>0.61050000000000004</v>
      </c>
      <c r="V12" s="177">
        <f t="shared" ref="V12:V19" si="1">U12*T12</f>
        <v>-791.52951633010059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-537.21087301989451</v>
      </c>
      <c r="U14" s="178">
        <f>'Données projet'!D13</f>
        <v>0.55500000000000005</v>
      </c>
      <c r="V14" s="177">
        <f t="shared" si="1"/>
        <v>-298.15203452604146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Aulne glutineux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-505.11474009921869</v>
      </c>
      <c r="U15" s="178">
        <f>'Données projet'!D14</f>
        <v>3.7000000000000005E-2</v>
      </c>
      <c r="V15" s="177">
        <f t="shared" si="1"/>
        <v>-18.689245383671093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Pin maritime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-29.600687699276023</v>
      </c>
      <c r="U16" s="178">
        <f>'Données projet'!D15</f>
        <v>0.18500000000000003</v>
      </c>
      <c r="V16" s="177">
        <f t="shared" si="1"/>
        <v>-5.4761272243660652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1300*(1.23+0.5)</f>
        <v>2249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7500</f>
        <v>7500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725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875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39.5</v>
      </c>
      <c r="C23" s="193">
        <v>2</v>
      </c>
      <c r="D23" s="182">
        <f>B23*C23</f>
        <v>79</v>
      </c>
      <c r="E23" s="193"/>
      <c r="F23" s="230"/>
      <c r="H23" s="190">
        <v>3</v>
      </c>
      <c r="I23" s="191">
        <v>1000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-18480.537749885101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67</v>
      </c>
      <c r="C24" s="193">
        <v>4</v>
      </c>
      <c r="D24" s="182">
        <f t="shared" ref="D24:D42" si="2">B24*C24</f>
        <v>268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70</v>
      </c>
      <c r="C25" s="193">
        <v>27</v>
      </c>
      <c r="D25" s="182">
        <f t="shared" si="2"/>
        <v>1890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-18480.537749885101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75</v>
      </c>
      <c r="C26" s="193">
        <v>27</v>
      </c>
      <c r="D26" s="182">
        <f t="shared" si="2"/>
        <v>2025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80</v>
      </c>
      <c r="C27" s="193">
        <v>26.7</v>
      </c>
      <c r="D27" s="182">
        <f t="shared" si="2"/>
        <v>2136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87</v>
      </c>
      <c r="C28" s="193">
        <v>46</v>
      </c>
      <c r="D28" s="182">
        <f t="shared" si="2"/>
        <v>4002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93</v>
      </c>
      <c r="C29" s="193">
        <v>46</v>
      </c>
      <c r="D29" s="182">
        <f t="shared" si="2"/>
        <v>4278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98</v>
      </c>
      <c r="C30" s="193">
        <v>46</v>
      </c>
      <c r="D30" s="182">
        <f t="shared" si="2"/>
        <v>4508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675.5</v>
      </c>
      <c r="C31" s="193">
        <v>75</v>
      </c>
      <c r="D31" s="182">
        <f t="shared" si="2"/>
        <v>50662.5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1300*(0.51+0.5)</f>
        <v>1313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43</v>
      </c>
      <c r="C54" s="191">
        <v>1.95</v>
      </c>
      <c r="D54" s="179">
        <f>B54*C54</f>
        <v>83.85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60</v>
      </c>
      <c r="C55" s="191">
        <v>1.95</v>
      </c>
      <c r="D55" s="179">
        <f t="shared" ref="D55:D73" si="4">B55*C55</f>
        <v>117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90</v>
      </c>
      <c r="C56" s="191">
        <v>4.4800000000000004</v>
      </c>
      <c r="D56" s="179">
        <f t="shared" si="4"/>
        <v>403.20000000000005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72</v>
      </c>
      <c r="C57" s="191">
        <v>4.4800000000000004</v>
      </c>
      <c r="D57" s="179">
        <f t="shared" si="4"/>
        <v>322.56000000000006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77</v>
      </c>
      <c r="C58" s="191">
        <v>32.799999999999997</v>
      </c>
      <c r="D58" s="179">
        <f t="shared" si="4"/>
        <v>2525.6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64</v>
      </c>
      <c r="C59" s="191">
        <v>32.799999999999997</v>
      </c>
      <c r="D59" s="179">
        <f t="shared" si="4"/>
        <v>2099.1999999999998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62</v>
      </c>
      <c r="C60" s="191">
        <v>33</v>
      </c>
      <c r="D60" s="179">
        <f t="shared" si="4"/>
        <v>2046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55</v>
      </c>
      <c r="B61" s="181">
        <f>'Données projet'!D69</f>
        <v>46</v>
      </c>
      <c r="C61" s="191">
        <v>55</v>
      </c>
      <c r="D61" s="179">
        <f t="shared" si="4"/>
        <v>2530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60</v>
      </c>
      <c r="B62" s="181">
        <f>'Données projet'!D70</f>
        <v>35</v>
      </c>
      <c r="C62" s="191">
        <v>55.11</v>
      </c>
      <c r="D62" s="179">
        <f t="shared" si="4"/>
        <v>1928.85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65</v>
      </c>
      <c r="B63" s="181">
        <f>'Données projet'!D71</f>
        <v>769</v>
      </c>
      <c r="C63" s="191">
        <v>75</v>
      </c>
      <c r="D63" s="179">
        <f t="shared" si="4"/>
        <v>57675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1300*(1.3+0.5)</f>
        <v>2340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6</v>
      </c>
      <c r="C85" s="191">
        <v>1.3</v>
      </c>
      <c r="D85" s="179">
        <f>B85*C85</f>
        <v>7.8000000000000007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28</v>
      </c>
      <c r="C86" s="191">
        <v>1.3</v>
      </c>
      <c r="D86" s="179">
        <f t="shared" ref="D86:D104" si="6">B86*C86</f>
        <v>36.4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28</v>
      </c>
      <c r="C87" s="191">
        <v>2.2799999999999998</v>
      </c>
      <c r="D87" s="179">
        <f t="shared" si="6"/>
        <v>63.839999999999996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28</v>
      </c>
      <c r="C88" s="191">
        <v>2.2799999999999998</v>
      </c>
      <c r="D88" s="179">
        <f t="shared" si="6"/>
        <v>63.839999999999996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40</v>
      </c>
      <c r="B89" s="181">
        <f>'Données projet'!D92</f>
        <v>28</v>
      </c>
      <c r="C89" s="191">
        <v>2.2799999999999998</v>
      </c>
      <c r="D89" s="179">
        <f t="shared" si="6"/>
        <v>63.839999999999996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45</v>
      </c>
      <c r="B90" s="181">
        <f>'Données projet'!D93</f>
        <v>28</v>
      </c>
      <c r="C90" s="191">
        <v>2.2799999999999998</v>
      </c>
      <c r="D90" s="179">
        <f t="shared" si="6"/>
        <v>63.839999999999996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50</v>
      </c>
      <c r="B91" s="181">
        <f>'Données projet'!D94</f>
        <v>28</v>
      </c>
      <c r="C91" s="191">
        <v>2.83</v>
      </c>
      <c r="D91" s="179">
        <f t="shared" si="6"/>
        <v>79.240000000000009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55</v>
      </c>
      <c r="B92" s="181">
        <f>'Données projet'!D95</f>
        <v>28</v>
      </c>
      <c r="C92" s="191">
        <v>2.83</v>
      </c>
      <c r="D92" s="179">
        <f t="shared" si="6"/>
        <v>79.240000000000009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60</v>
      </c>
      <c r="B93" s="181">
        <f>'Données projet'!D96</f>
        <v>28</v>
      </c>
      <c r="C93" s="191">
        <v>2.83</v>
      </c>
      <c r="D93" s="179">
        <f t="shared" si="6"/>
        <v>79.240000000000009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65</v>
      </c>
      <c r="B94" s="181">
        <f>'Données projet'!D97</f>
        <v>28</v>
      </c>
      <c r="C94" s="191">
        <v>40.5</v>
      </c>
      <c r="D94" s="179">
        <f t="shared" si="6"/>
        <v>1134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70</v>
      </c>
      <c r="B95" s="181">
        <f>'Données projet'!D98</f>
        <v>28</v>
      </c>
      <c r="C95" s="191">
        <v>40.5</v>
      </c>
      <c r="D95" s="179">
        <f t="shared" si="6"/>
        <v>1134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75</v>
      </c>
      <c r="B96" s="181">
        <f>'Données projet'!D99</f>
        <v>28</v>
      </c>
      <c r="C96" s="191">
        <v>40.5</v>
      </c>
      <c r="D96" s="179">
        <f t="shared" si="6"/>
        <v>1134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80</v>
      </c>
      <c r="B97" s="181">
        <f>'Données projet'!D100</f>
        <v>28</v>
      </c>
      <c r="C97" s="191">
        <v>41</v>
      </c>
      <c r="D97" s="179">
        <f t="shared" si="6"/>
        <v>1148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85</v>
      </c>
      <c r="B98" s="181">
        <f>'Données projet'!D101</f>
        <v>28</v>
      </c>
      <c r="C98" s="191">
        <v>41</v>
      </c>
      <c r="D98" s="179">
        <f t="shared" si="6"/>
        <v>1148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90</v>
      </c>
      <c r="B99" s="181">
        <f>'Données projet'!D102</f>
        <v>28</v>
      </c>
      <c r="C99" s="191">
        <v>41</v>
      </c>
      <c r="D99" s="179">
        <f t="shared" si="6"/>
        <v>1148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95</v>
      </c>
      <c r="B100" s="181">
        <f>'Données projet'!D103</f>
        <v>28</v>
      </c>
      <c r="C100" s="191">
        <v>41</v>
      </c>
      <c r="D100" s="179">
        <f t="shared" si="6"/>
        <v>1148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100</v>
      </c>
      <c r="B101" s="181">
        <f>'Données projet'!D104</f>
        <v>333</v>
      </c>
      <c r="C101" s="191">
        <v>170.75</v>
      </c>
      <c r="D101" s="179">
        <f t="shared" si="6"/>
        <v>56859.75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1300*(0.82+0.5)</f>
        <v>1715.9999999999998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5">
        <f>'Données projet'!D140</f>
        <v>15</v>
      </c>
      <c r="C147" s="191">
        <v>10</v>
      </c>
      <c r="D147" s="182">
        <f>B147*C147</f>
        <v>150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5">
        <f>'Données projet'!D141</f>
        <v>28</v>
      </c>
      <c r="C148" s="191">
        <v>10</v>
      </c>
      <c r="D148" s="182">
        <f t="shared" ref="D148:D166" si="10">B148*C148</f>
        <v>280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5">
        <f>'Données projet'!D142</f>
        <v>28</v>
      </c>
      <c r="C149" s="191">
        <v>10</v>
      </c>
      <c r="D149" s="182">
        <f t="shared" si="10"/>
        <v>280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5">
        <f>'Données projet'!D143</f>
        <v>28</v>
      </c>
      <c r="C150" s="191">
        <v>20</v>
      </c>
      <c r="D150" s="182">
        <f t="shared" si="10"/>
        <v>560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5">
        <f>'Données projet'!D144</f>
        <v>28</v>
      </c>
      <c r="C151" s="191">
        <v>20</v>
      </c>
      <c r="D151" s="182">
        <f t="shared" si="10"/>
        <v>560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5">
        <f>'Données projet'!D145</f>
        <v>28</v>
      </c>
      <c r="C152" s="191">
        <v>20</v>
      </c>
      <c r="D152" s="182">
        <f t="shared" si="10"/>
        <v>560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5">
        <f>'Données projet'!D146</f>
        <v>22</v>
      </c>
      <c r="C153" s="191">
        <v>20</v>
      </c>
      <c r="D153" s="182">
        <f t="shared" si="10"/>
        <v>440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5">
        <f>'Données projet'!D147</f>
        <v>17</v>
      </c>
      <c r="C154" s="191">
        <v>20</v>
      </c>
      <c r="D154" s="182">
        <f t="shared" si="10"/>
        <v>340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5">
        <f>'Données projet'!D148</f>
        <v>13</v>
      </c>
      <c r="C155" s="191">
        <v>20</v>
      </c>
      <c r="D155" s="182">
        <f t="shared" si="10"/>
        <v>260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5">
        <f>'Données projet'!D149</f>
        <v>12</v>
      </c>
      <c r="C156" s="191">
        <v>35</v>
      </c>
      <c r="D156" s="182">
        <f t="shared" si="10"/>
        <v>420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5">
        <f>'Données projet'!D150</f>
        <v>11</v>
      </c>
      <c r="C157" s="191">
        <v>35</v>
      </c>
      <c r="D157" s="182">
        <f t="shared" si="10"/>
        <v>385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5">
        <f>'Données projet'!D151</f>
        <v>10</v>
      </c>
      <c r="C158" s="191">
        <v>35</v>
      </c>
      <c r="D158" s="182">
        <f t="shared" si="10"/>
        <v>350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75</v>
      </c>
      <c r="B159" s="175">
        <f>'Données projet'!D152</f>
        <v>9</v>
      </c>
      <c r="C159" s="191">
        <v>35</v>
      </c>
      <c r="D159" s="182">
        <f t="shared" si="10"/>
        <v>315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80</v>
      </c>
      <c r="B160" s="175">
        <f>'Données projet'!D153</f>
        <v>275</v>
      </c>
      <c r="C160" s="191">
        <v>40</v>
      </c>
      <c r="D160" s="182">
        <f t="shared" si="10"/>
        <v>11000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Aulne glutineux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1300*(0.77+0.45)</f>
        <v>1586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10</v>
      </c>
      <c r="B178" s="181">
        <f>'Données projet'!D166</f>
        <v>1</v>
      </c>
      <c r="C178" s="193">
        <v>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15</v>
      </c>
      <c r="B179" s="181">
        <f>'Données projet'!D167</f>
        <v>5</v>
      </c>
      <c r="C179" s="193">
        <v>2</v>
      </c>
      <c r="D179" s="179">
        <f t="shared" ref="D179:D197" si="11">B179*C179</f>
        <v>10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20</v>
      </c>
      <c r="B180" s="181">
        <f>'Données projet'!D168</f>
        <v>12</v>
      </c>
      <c r="C180" s="193">
        <v>10</v>
      </c>
      <c r="D180" s="179">
        <f t="shared" si="11"/>
        <v>120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25</v>
      </c>
      <c r="B181" s="181">
        <f>'Données projet'!D169</f>
        <v>24</v>
      </c>
      <c r="C181" s="193">
        <v>10</v>
      </c>
      <c r="D181" s="179">
        <f t="shared" si="11"/>
        <v>240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30</v>
      </c>
      <c r="B182" s="181">
        <f>'Données projet'!D170</f>
        <v>26</v>
      </c>
      <c r="C182" s="193">
        <v>20</v>
      </c>
      <c r="D182" s="179">
        <f t="shared" si="11"/>
        <v>520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35</v>
      </c>
      <c r="B183" s="181">
        <f>'Données projet'!D171</f>
        <v>28</v>
      </c>
      <c r="C183" s="193">
        <v>20</v>
      </c>
      <c r="D183" s="179">
        <f t="shared" si="11"/>
        <v>560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40</v>
      </c>
      <c r="B184" s="181">
        <f>'Données projet'!D172</f>
        <v>28</v>
      </c>
      <c r="C184" s="193">
        <v>20</v>
      </c>
      <c r="D184" s="179">
        <f t="shared" si="11"/>
        <v>560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45</v>
      </c>
      <c r="B185" s="181">
        <f>'Données projet'!D173</f>
        <v>28</v>
      </c>
      <c r="C185" s="193">
        <v>20</v>
      </c>
      <c r="D185" s="179">
        <f t="shared" si="11"/>
        <v>560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50</v>
      </c>
      <c r="B186" s="181">
        <f>'Données projet'!D174</f>
        <v>27</v>
      </c>
      <c r="C186" s="193">
        <v>20</v>
      </c>
      <c r="D186" s="179">
        <f t="shared" si="11"/>
        <v>540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55</v>
      </c>
      <c r="B187" s="181">
        <f>'Données projet'!D175</f>
        <v>25</v>
      </c>
      <c r="C187" s="193">
        <v>20</v>
      </c>
      <c r="D187" s="179">
        <f t="shared" si="11"/>
        <v>500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60</v>
      </c>
      <c r="B188" s="181">
        <f>'Données projet'!D176</f>
        <v>24</v>
      </c>
      <c r="C188" s="193">
        <v>35</v>
      </c>
      <c r="D188" s="179">
        <f t="shared" si="11"/>
        <v>840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65</v>
      </c>
      <c r="B189" s="181">
        <f>'Données projet'!D177</f>
        <v>22</v>
      </c>
      <c r="C189" s="193">
        <v>35</v>
      </c>
      <c r="D189" s="179">
        <f t="shared" si="11"/>
        <v>770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70</v>
      </c>
      <c r="B190" s="181">
        <f>'Données projet'!D178</f>
        <v>21</v>
      </c>
      <c r="C190" s="193">
        <v>35</v>
      </c>
      <c r="D190" s="179">
        <f t="shared" si="11"/>
        <v>735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75</v>
      </c>
      <c r="B191" s="181">
        <f>'Données projet'!D179</f>
        <v>19</v>
      </c>
      <c r="C191" s="193">
        <v>35</v>
      </c>
      <c r="D191" s="179">
        <f t="shared" si="11"/>
        <v>665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80</v>
      </c>
      <c r="B192" s="181">
        <f>'Données projet'!D180</f>
        <v>18</v>
      </c>
      <c r="C192" s="193">
        <v>35</v>
      </c>
      <c r="D192" s="179">
        <f t="shared" si="11"/>
        <v>630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85</v>
      </c>
      <c r="B193" s="181">
        <f>'Données projet'!D181</f>
        <v>16</v>
      </c>
      <c r="C193" s="193">
        <v>35</v>
      </c>
      <c r="D193" s="179">
        <f t="shared" si="11"/>
        <v>560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90</v>
      </c>
      <c r="B194" s="181">
        <f>'Données projet'!D182</f>
        <v>283</v>
      </c>
      <c r="C194" s="193">
        <v>40</v>
      </c>
      <c r="D194" s="179">
        <f t="shared" si="11"/>
        <v>11320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Pin maritime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1300*(0.48+0.5)</f>
        <v>1274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16</v>
      </c>
      <c r="B209" s="181">
        <f>'Données projet'!D192</f>
        <v>8</v>
      </c>
      <c r="C209" s="193">
        <v>2</v>
      </c>
      <c r="D209" s="179">
        <f>B209*C209</f>
        <v>16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20</v>
      </c>
      <c r="B210" s="181">
        <f>'Données projet'!D193</f>
        <v>14</v>
      </c>
      <c r="C210" s="193">
        <v>1.95</v>
      </c>
      <c r="D210" s="179">
        <f t="shared" ref="D210:D228" si="12">B210*C210</f>
        <v>27.3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24</v>
      </c>
      <c r="B211" s="181">
        <f>'Données projet'!D194</f>
        <v>20</v>
      </c>
      <c r="C211" s="193">
        <v>1.95</v>
      </c>
      <c r="D211" s="179">
        <f t="shared" si="12"/>
        <v>39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28</v>
      </c>
      <c r="B212" s="181">
        <f>'Données projet'!D195</f>
        <v>23</v>
      </c>
      <c r="C212" s="193">
        <v>4.4800000000000004</v>
      </c>
      <c r="D212" s="179">
        <f t="shared" si="12"/>
        <v>103.04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34</v>
      </c>
      <c r="B213" s="181">
        <f>'Données projet'!D196</f>
        <v>38</v>
      </c>
      <c r="C213" s="193">
        <v>4.4800000000000004</v>
      </c>
      <c r="D213" s="179">
        <f t="shared" si="12"/>
        <v>170.24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40</v>
      </c>
      <c r="B214" s="181">
        <f>'Données projet'!D197</f>
        <v>31</v>
      </c>
      <c r="C214" s="193">
        <v>4.8</v>
      </c>
      <c r="D214" s="179">
        <f t="shared" si="12"/>
        <v>148.79999999999998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46</v>
      </c>
      <c r="B215" s="181">
        <f>'Données projet'!D198</f>
        <v>23</v>
      </c>
      <c r="C215" s="193">
        <v>27</v>
      </c>
      <c r="D215" s="179">
        <f t="shared" si="12"/>
        <v>621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54</v>
      </c>
      <c r="B216" s="181">
        <f>'Données projet'!D199</f>
        <v>22</v>
      </c>
      <c r="C216" s="193">
        <v>45</v>
      </c>
      <c r="D216" s="179">
        <f t="shared" si="12"/>
        <v>990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62</v>
      </c>
      <c r="B217" s="181">
        <f>'Données projet'!D200</f>
        <v>241</v>
      </c>
      <c r="C217" s="193">
        <v>60</v>
      </c>
      <c r="D217" s="179">
        <f t="shared" si="12"/>
        <v>14460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f>1300*(0.82+0.5)</f>
        <v>1715.9999999999998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cp:lastPrinted>2024-06-19T08:35:56Z</cp:lastPrinted>
  <dcterms:created xsi:type="dcterms:W3CDTF">2021-02-01T08:22:39Z</dcterms:created>
  <dcterms:modified xsi:type="dcterms:W3CDTF">2025-06-06T14:55:32Z</dcterms:modified>
</cp:coreProperties>
</file>