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IND GUINDEUIL - Villenave de Rions\Dossier déposé 03-04-2025\"/>
    </mc:Choice>
  </mc:AlternateContent>
  <xr:revisionPtr revIDLastSave="0" documentId="13_ncr:1_{3554E57C-6CCC-4353-8FDC-443B3185541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5" i="6" l="1"/>
  <c r="I24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83" i="2" a="1"/>
  <c r="BC83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BC82" i="2" a="1"/>
  <c r="BC82" i="2" s="1"/>
  <c r="BC18" i="2" a="1"/>
  <c r="BC18" i="2" s="1"/>
  <c r="BC31" i="2" a="1"/>
  <c r="BC31" i="2" s="1"/>
  <c r="BC84" i="2" a="1"/>
  <c r="BC84" i="2" s="1"/>
  <c r="BC68" i="2" a="1"/>
  <c r="BC68" i="2" s="1"/>
  <c r="BC47" i="2" a="1"/>
  <c r="BC47" i="2" s="1"/>
  <c r="BC32" i="2" a="1"/>
  <c r="BC32" i="2" s="1"/>
  <c r="BC55" i="2" a="1"/>
  <c r="BC55" i="2" s="1"/>
  <c r="BC181" i="2" a="1"/>
  <c r="BC181" i="2" s="1"/>
  <c r="BC117" i="2" a="1"/>
  <c r="BC117" i="2" s="1"/>
  <c r="BC164" i="2" a="1"/>
  <c r="BC164" i="2" s="1"/>
  <c r="BC114" i="2" a="1"/>
  <c r="BC114" i="2" s="1"/>
  <c r="BC192" i="2" a="1"/>
  <c r="BC192" i="2" s="1"/>
  <c r="BC126" i="2" a="1"/>
  <c r="BC126" i="2" s="1"/>
  <c r="BC58" i="2" a="1"/>
  <c r="BC58" i="2" s="1"/>
  <c r="BC34" i="2" a="1"/>
  <c r="BC34" i="2" s="1"/>
  <c r="BC151" i="2" a="1"/>
  <c r="BC151" i="2" s="1"/>
  <c r="BC185" i="2" a="1"/>
  <c r="BC185" i="2" s="1"/>
  <c r="BC7" i="2" a="1"/>
  <c r="BC7" i="2" s="1"/>
  <c r="BD7" i="2" s="1"/>
  <c r="BC143" i="2" a="1"/>
  <c r="BC143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<sst xmlns="http://schemas.openxmlformats.org/spreadsheetml/2006/main" count="1171" uniqueCount="324">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</sst>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34" sqref="E34:H3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4.71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0.62</v>
      </c>
      <c r="D9" s="36">
        <f t="shared" ref="D9:D18" si="0">C9*$C$5</f>
        <v>2.9201999999999999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8.9200000000000002E-2</v>
      </c>
      <c r="D10" s="36">
        <f t="shared" si="0"/>
        <v>0.42013200000000001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0.28999999999999998</v>
      </c>
      <c r="D11" s="36">
        <f t="shared" si="0"/>
        <v>1.3658999999999999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0.99920000000000009</v>
      </c>
      <c r="D19" s="41">
        <f>SUM(D9:D18)</f>
        <v>4.706232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195</v>
      </c>
      <c r="C62" s="63">
        <v>1</v>
      </c>
      <c r="D62" s="63">
        <v>0</v>
      </c>
      <c r="E62" s="54"/>
      <c r="F62" s="54"/>
      <c r="G62" s="54">
        <v>1</v>
      </c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v>417</v>
      </c>
      <c r="C64" s="63">
        <v>3</v>
      </c>
      <c r="D64" s="63">
        <v>182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43</v>
      </c>
      <c r="B65" s="63">
        <v>256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3">
        <v>361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17.5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278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380</v>
      </c>
      <c r="C68" s="63">
        <v>7</v>
      </c>
      <c r="D68" s="63">
        <v>79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57</v>
      </c>
      <c r="B69" s="53">
        <v>316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63</v>
      </c>
      <c r="B70" s="53">
        <v>416</v>
      </c>
      <c r="C70" s="53">
        <v>9</v>
      </c>
      <c r="D70" s="53">
        <v>79</v>
      </c>
      <c r="E70" s="54"/>
      <c r="F70" s="54"/>
      <c r="G70" s="54"/>
      <c r="H70" s="54"/>
      <c r="I70" s="52">
        <f t="shared" si="2"/>
        <v>16.666666666666668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64</v>
      </c>
      <c r="B71" s="53">
        <v>353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16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71</v>
      </c>
      <c r="B72" s="53">
        <v>466</v>
      </c>
      <c r="C72" s="53">
        <v>11</v>
      </c>
      <c r="D72" s="53">
        <v>91</v>
      </c>
      <c r="E72" s="54"/>
      <c r="F72" s="54"/>
      <c r="G72" s="54"/>
      <c r="H72" s="54"/>
      <c r="I72" s="52">
        <f t="shared" si="2"/>
        <v>16.142857142857142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72</v>
      </c>
      <c r="B73" s="53">
        <v>390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15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79</v>
      </c>
      <c r="B74" s="53">
        <v>496</v>
      </c>
      <c r="C74" s="53">
        <v>13</v>
      </c>
      <c r="D74" s="53">
        <v>88</v>
      </c>
      <c r="E74" s="54"/>
      <c r="F74" s="54"/>
      <c r="G74" s="54"/>
      <c r="H74" s="54"/>
      <c r="I74" s="52">
        <f t="shared" si="2"/>
        <v>15.142857142857142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423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15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87</v>
      </c>
      <c r="B76" s="53">
        <v>522</v>
      </c>
      <c r="C76" s="53">
        <v>15</v>
      </c>
      <c r="D76" s="53">
        <v>89</v>
      </c>
      <c r="E76" s="54"/>
      <c r="F76" s="54"/>
      <c r="G76" s="54"/>
      <c r="H76" s="54"/>
      <c r="I76" s="52">
        <f t="shared" si="2"/>
        <v>14.142857142857142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88</v>
      </c>
      <c r="B77" s="53">
        <v>447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14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94</v>
      </c>
      <c r="B78" s="53">
        <v>525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13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v>538</v>
      </c>
      <c r="C79" s="53">
        <v>18</v>
      </c>
      <c r="D79" s="53">
        <v>269</v>
      </c>
      <c r="E79" s="54"/>
      <c r="F79" s="54"/>
      <c r="G79" s="54"/>
      <c r="H79" s="54"/>
      <c r="I79" s="52">
        <f t="shared" si="2"/>
        <v>13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96</v>
      </c>
      <c r="B80" s="53">
        <v>280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105</v>
      </c>
      <c r="B81" s="53">
        <v>357</v>
      </c>
      <c r="C81" s="53">
        <v>20</v>
      </c>
      <c r="D81" s="53">
        <v>357</v>
      </c>
      <c r="E81" s="54"/>
      <c r="F81" s="54"/>
      <c r="G81" s="54"/>
      <c r="H81" s="54"/>
      <c r="I81" s="52">
        <f t="shared" si="2"/>
        <v>8.5555555555555554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/>
      <c r="F89" s="54"/>
      <c r="G89" s="54">
        <v>1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/>
      <c r="F90" s="93">
        <v>0.4</v>
      </c>
      <c r="G90" s="93">
        <v>0.6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/>
      <c r="F91" s="93"/>
      <c r="G91" s="93"/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9" sqref="C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Cèdre de l'Atlas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laricio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211.70619219850786</v>
      </c>
      <c r="T3" s="62">
        <f>IF('Données projet'!E9&gt;30,$R$33-$H$33,LOOKUP('Données projet'!$E$9,$A$3:$A$203,R3:R203)-LOOKUP('Données projet'!$E$9,$A$3:$A$203,$H$3:$H$203))</f>
        <v>426.883837098247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374.62597460242665</v>
      </c>
      <c r="AO3" s="62">
        <f>IF('Données projet'!E10&gt;30,$AM$33-$H$33,LOOKUP('Données projet'!$E$10,$A$3:$A$203,AM3:AM203)-LOOKUP('Données projet'!$E$10,$A$3:$A$203,$H$3:$H$203))</f>
        <v>277.50105097454616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409.68685886029164</v>
      </c>
      <c r="BJ3" s="62">
        <f>IF('Données projet'!E11&gt;30,$BH$33-$H$33,LOOKUP('Données projet'!$E$11,$A$3:$A$203,BH3:BH203)-LOOKUP('Données projet'!$E$11,$A$3:$A$203,$H$3:$H$203))</f>
        <v>330.8416508650887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123.15541866678116</v>
      </c>
      <c r="S4" s="62">
        <f ca="1">AVERAGE(OFFSET($R$3,0,0,'Données projet'!$E$9+1,1))-AVERAGE(OFFSET($H$3,0,0,'Données projet'!$E$9+1,1))</f>
        <v>211.70619219850786</v>
      </c>
      <c r="T4" s="62">
        <f>$T$3</f>
        <v>426.883837098247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1.1921598380198544</v>
      </c>
      <c r="AJ4" s="14">
        <f>AI4*VLOOKUP('Données projet'!$B$10,Paramètres!$A$1:$I$89,3,0)*VLOOKUP('Données projet'!$B$10,Paramètres!$A$1:$I$89,5,0)</f>
        <v>0.55793080419329188</v>
      </c>
      <c r="AK4" s="14">
        <f>EXP(-1.0587+0.8836*LN(AJ4)+0.284)</f>
        <v>0.27518860925423011</v>
      </c>
      <c r="AL4" s="22">
        <f t="shared" ref="AL4:AL67" si="4">(AJ4+AK4)*0.475*44/12</f>
        <v>1.4510163117544339</v>
      </c>
      <c r="AM4" s="62">
        <f t="shared" ref="AM4:AM67" si="5">AL4+(AD4+AE4)*44/12</f>
        <v>122.42369369797646</v>
      </c>
      <c r="AN4" s="62">
        <f ca="1">AVERAGE(OFFSET($AM$3,0,0,'Données projet'!$E$10+1,1))-AVERAGE(OFFSET($H$3,0,0,'Données projet'!$E$10+1,1))</f>
        <v>374.62597460242665</v>
      </c>
      <c r="AO4" s="62">
        <f>$AO$3</f>
        <v>277.50105097454616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122.88707492368457</v>
      </c>
      <c r="BI4" s="62">
        <f ca="1">AVERAGE(OFFSET($BH$3,0,0,'Données projet'!$E$11+1,1))-AVERAGE(OFFSET($H$3,0,0,'Données projet'!$E$11+1,1))</f>
        <v>409.68685886029164</v>
      </c>
      <c r="BJ4" s="62">
        <f>$BJ$3</f>
        <v>330.8416508650887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127.6428422455826</v>
      </c>
      <c r="S5" s="62">
        <f ca="1">AVERAGE(OFFSET($R$3,0,0,'Données projet'!$E$9+1,1))-AVERAGE(OFFSET($H$3,0,0,'Données projet'!$E$9+1,1))</f>
        <v>211.70619219850786</v>
      </c>
      <c r="T5" s="62">
        <f t="shared" ref="T5:T68" si="34">$T$3</f>
        <v>426.883837098247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1.4212450793875253</v>
      </c>
      <c r="AJ5" s="14">
        <f>AI5*VLOOKUP('Données projet'!$B$10,Paramètres!$A$1:$I$89,3,0)*VLOOKUP('Données projet'!$B$10,Paramètres!$A$1:$I$89,5,0)</f>
        <v>0.66514269715336183</v>
      </c>
      <c r="AK5" s="14">
        <f t="shared" ref="AK5:AK68" si="35">EXP(-1.0587+0.8836*LN(AJ5)+0.284)</f>
        <v>0.3214249656415451</v>
      </c>
      <c r="AL5" s="22">
        <f t="shared" si="4"/>
        <v>1.7182720127011295</v>
      </c>
      <c r="AM5" s="62">
        <f t="shared" si="5"/>
        <v>126.28836179192466</v>
      </c>
      <c r="AN5" s="62">
        <f ca="1">AVERAGE(OFFSET($AM$3,0,0,'Données projet'!$E$10+1,1))-AVERAGE(OFFSET($H$3,0,0,'Données projet'!$E$10+1,1))</f>
        <v>374.62597460242665</v>
      </c>
      <c r="AO5" s="62">
        <f t="shared" ref="AO5:AO68" si="36">$AO$3</f>
        <v>277.50105097454616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126.93321990158367</v>
      </c>
      <c r="BI5" s="62">
        <f ca="1">AVERAGE(OFFSET($BH$3,0,0,'Données projet'!$E$11+1,1))-AVERAGE(OFFSET($H$3,0,0,'Données projet'!$E$11+1,1))</f>
        <v>409.68685886029164</v>
      </c>
      <c r="BJ5" s="62">
        <f t="shared" ref="BJ5:BJ68" si="38">$BJ$3</f>
        <v>330.8416508650887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132.45354477368804</v>
      </c>
      <c r="S6" s="62">
        <f ca="1">AVERAGE(OFFSET($R$3,0,0,'Données projet'!$E$9+1,1))-AVERAGE(OFFSET($H$3,0,0,'Données projet'!$E$9+1,1))</f>
        <v>211.70619219850786</v>
      </c>
      <c r="T6" s="62">
        <f t="shared" si="34"/>
        <v>426.883837098247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1.6943513036291473</v>
      </c>
      <c r="AJ6" s="14">
        <f>AI6*VLOOKUP('Données projet'!$B$10,Paramètres!$A$1:$I$89,3,0)*VLOOKUP('Données projet'!$B$10,Paramètres!$A$1:$I$89,5,0)</f>
        <v>0.79295641009844098</v>
      </c>
      <c r="AK6" s="14">
        <f t="shared" si="35"/>
        <v>0.37542981454665864</v>
      </c>
      <c r="AL6" s="22">
        <f t="shared" si="4"/>
        <v>2.0349393412568815</v>
      </c>
      <c r="AM6" s="62">
        <f t="shared" si="5"/>
        <v>130.16123727414859</v>
      </c>
      <c r="AN6" s="62">
        <f ca="1">AVERAGE(OFFSET($AM$3,0,0,'Données projet'!$E$10+1,1))-AVERAGE(OFFSET($H$3,0,0,'Données projet'!$E$10+1,1))</f>
        <v>374.62597460242665</v>
      </c>
      <c r="AO6" s="62">
        <f t="shared" si="36"/>
        <v>277.50105097454616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131.04375275676372</v>
      </c>
      <c r="BI6" s="62">
        <f ca="1">AVERAGE(OFFSET($BH$3,0,0,'Données projet'!$E$11+1,1))-AVERAGE(OFFSET($H$3,0,0,'Données projet'!$E$11+1,1))</f>
        <v>409.68685886029164</v>
      </c>
      <c r="BJ6" s="62">
        <f t="shared" si="38"/>
        <v>330.8416508650887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137.73811576902352</v>
      </c>
      <c r="S7" s="62">
        <f ca="1">AVERAGE(OFFSET($R$3,0,0,'Données projet'!$E$9+1,1))-AVERAGE(OFFSET($H$3,0,0,'Données projet'!$E$9+1,1))</f>
        <v>211.70619219850786</v>
      </c>
      <c r="T7" s="62">
        <f t="shared" si="34"/>
        <v>426.883837098247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2.0199375756832532</v>
      </c>
      <c r="AJ7" s="14">
        <f>AI7*VLOOKUP('Données projet'!$B$10,Paramètres!$A$1:$I$89,3,0)*VLOOKUP('Données projet'!$B$10,Paramètres!$A$1:$I$89,5,0)</f>
        <v>0.94533078541976245</v>
      </c>
      <c r="AK7" s="14">
        <f t="shared" si="35"/>
        <v>0.43850839454619067</v>
      </c>
      <c r="AL7" s="22">
        <f t="shared" si="4"/>
        <v>2.4101865717740352</v>
      </c>
      <c r="AM7" s="62">
        <f t="shared" si="5"/>
        <v>134.05220322043414</v>
      </c>
      <c r="AN7" s="62">
        <f ca="1">AVERAGE(OFFSET($AM$3,0,0,'Données projet'!$E$10+1,1))-AVERAGE(OFFSET($H$3,0,0,'Données projet'!$E$10+1,1))</f>
        <v>374.62597460242665</v>
      </c>
      <c r="AO7" s="62">
        <f t="shared" si="36"/>
        <v>277.50105097454616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135.24432649516086</v>
      </c>
      <c r="BI7" s="62">
        <f ca="1">AVERAGE(OFFSET($BH$3,0,0,'Données projet'!$E$11+1,1))-AVERAGE(OFFSET($H$3,0,0,'Données projet'!$E$11+1,1))</f>
        <v>409.68685886029164</v>
      </c>
      <c r="BJ7" s="62">
        <f t="shared" si="38"/>
        <v>330.8416508650887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143.70899411069837</v>
      </c>
      <c r="S8" s="62">
        <f ca="1">AVERAGE(OFFSET($R$3,0,0,'Données projet'!$E$9+1,1))-AVERAGE(OFFSET($H$3,0,0,'Données projet'!$E$9+1,1))</f>
        <v>211.70619219850786</v>
      </c>
      <c r="T8" s="62">
        <f t="shared" si="34"/>
        <v>426.883837098247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2.4080884530367643</v>
      </c>
      <c r="AJ8" s="14">
        <f>AI8*VLOOKUP('Données projet'!$B$10,Paramètres!$A$1:$I$89,3,0)*VLOOKUP('Données projet'!$B$10,Paramètres!$A$1:$I$89,5,0)</f>
        <v>1.1269853960212057</v>
      </c>
      <c r="AK8" s="14">
        <f t="shared" si="35"/>
        <v>0.51218524644792107</v>
      </c>
      <c r="AL8" s="22">
        <f t="shared" si="4"/>
        <v>2.8548888689670626</v>
      </c>
      <c r="AM8" s="62">
        <f t="shared" si="5"/>
        <v>137.97283719672257</v>
      </c>
      <c r="AN8" s="62">
        <f ca="1">AVERAGE(OFFSET($AM$3,0,0,'Données projet'!$E$10+1,1))-AVERAGE(OFFSET($H$3,0,0,'Données projet'!$E$10+1,1))</f>
        <v>374.62597460242665</v>
      </c>
      <c r="AO8" s="62">
        <f t="shared" si="36"/>
        <v>277.50105097454616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139.56649168745381</v>
      </c>
      <c r="BI8" s="62">
        <f ca="1">AVERAGE(OFFSET($BH$3,0,0,'Données projet'!$E$11+1,1))-AVERAGE(OFFSET($H$3,0,0,'Données projet'!$E$11+1,1))</f>
        <v>409.68685886029164</v>
      </c>
      <c r="BJ8" s="62">
        <f t="shared" si="38"/>
        <v>330.8416508650887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150.66609130672455</v>
      </c>
      <c r="S9" s="62">
        <f ca="1">AVERAGE(OFFSET($R$3,0,0,'Données projet'!$E$9+1,1))-AVERAGE(OFFSET($H$3,0,0,'Données projet'!$E$9+1,1))</f>
        <v>211.70619219850786</v>
      </c>
      <c r="T9" s="62">
        <f t="shared" si="34"/>
        <v>426.883837098247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2.8708263401097907</v>
      </c>
      <c r="AJ9" s="14">
        <f>AI9*VLOOKUP('Données projet'!$B$10,Paramètres!$A$1:$I$89,3,0)*VLOOKUP('Données projet'!$B$10,Paramètres!$A$1:$I$89,5,0)</f>
        <v>1.3435467271713821</v>
      </c>
      <c r="AK9" s="14">
        <f t="shared" si="35"/>
        <v>0.59824105978724762</v>
      </c>
      <c r="AL9" s="22">
        <f t="shared" si="4"/>
        <v>3.3819470622862799</v>
      </c>
      <c r="AM9" s="62">
        <f t="shared" si="5"/>
        <v>141.93673024859996</v>
      </c>
      <c r="AN9" s="62">
        <f ca="1">AVERAGE(OFFSET($AM$3,0,0,'Données projet'!$E$10+1,1))-AVERAGE(OFFSET($H$3,0,0,'Données projet'!$E$10+1,1))</f>
        <v>374.62597460242665</v>
      </c>
      <c r="AO9" s="62">
        <f t="shared" si="36"/>
        <v>277.50105097454616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144.04910170968031</v>
      </c>
      <c r="BI9" s="62">
        <f ca="1">AVERAGE(OFFSET($BH$3,0,0,'Données projet'!$E$11+1,1))-AVERAGE(OFFSET($H$3,0,0,'Données projet'!$E$11+1,1))</f>
        <v>409.68685886029164</v>
      </c>
      <c r="BJ9" s="62">
        <f t="shared" si="38"/>
        <v>330.8416508650887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159.03306172972634</v>
      </c>
      <c r="S10" s="62">
        <f ca="1">AVERAGE(OFFSET($R$3,0,0,'Données projet'!$E$9+1,1))-AVERAGE(OFFSET($H$3,0,0,'Données projet'!$E$9+1,1))</f>
        <v>211.70619219850786</v>
      </c>
      <c r="T10" s="62">
        <f t="shared" si="34"/>
        <v>426.883837098247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3.4224838646084192</v>
      </c>
      <c r="AJ10" s="14">
        <f>AI10*VLOOKUP('Données projet'!$B$10,Paramètres!$A$1:$I$89,3,0)*VLOOKUP('Données projet'!$B$10,Paramètres!$A$1:$I$89,5,0)</f>
        <v>1.6017224486367401</v>
      </c>
      <c r="AK10" s="14">
        <f t="shared" si="35"/>
        <v>0.69875571016034643</v>
      </c>
      <c r="AL10" s="22">
        <f t="shared" si="4"/>
        <v>4.0066661265715924</v>
      </c>
      <c r="AM10" s="62">
        <f t="shared" si="5"/>
        <v>145.95986559333511</v>
      </c>
      <c r="AN10" s="62">
        <f ca="1">AVERAGE(OFFSET($AM$3,0,0,'Données projet'!$E$10+1,1))-AVERAGE(OFFSET($H$3,0,0,'Données projet'!$E$10+1,1))</f>
        <v>374.62597460242665</v>
      </c>
      <c r="AO10" s="62">
        <f t="shared" si="36"/>
        <v>277.50105097454616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148.74005298886715</v>
      </c>
      <c r="BI10" s="62">
        <f ca="1">AVERAGE(OFFSET($BH$3,0,0,'Données projet'!$E$11+1,1))-AVERAGE(OFFSET($H$3,0,0,'Données projet'!$E$11+1,1))</f>
        <v>409.68685886029164</v>
      </c>
      <c r="BJ10" s="62">
        <f t="shared" si="38"/>
        <v>330.8416508650887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169.40865675178679</v>
      </c>
      <c r="S11" s="62">
        <f ca="1">AVERAGE(OFFSET($R$3,0,0,'Données projet'!$E$9+1,1))-AVERAGE(OFFSET($H$3,0,0,'Données projet'!$E$9+1,1))</f>
        <v>211.70619219850786</v>
      </c>
      <c r="T11" s="62">
        <f t="shared" si="34"/>
        <v>426.883837098247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4.080147809657138</v>
      </c>
      <c r="AJ11" s="14">
        <f>AI11*VLOOKUP('Données projet'!$B$10,Paramètres!$A$1:$I$89,3,0)*VLOOKUP('Données projet'!$B$10,Paramètres!$A$1:$I$89,5,0)</f>
        <v>1.9095091749195405</v>
      </c>
      <c r="AK11" s="14">
        <f t="shared" si="35"/>
        <v>0.81615852755965934</v>
      </c>
      <c r="AL11" s="22">
        <f t="shared" si="4"/>
        <v>4.7472045818179396</v>
      </c>
      <c r="AM11" s="62">
        <f t="shared" si="5"/>
        <v>150.06106822736211</v>
      </c>
      <c r="AN11" s="62">
        <f ca="1">AVERAGE(OFFSET($AM$3,0,0,'Données projet'!$E$10+1,1))-AVERAGE(OFFSET($H$3,0,0,'Données projet'!$E$10+1,1))</f>
        <v>374.62597460242665</v>
      </c>
      <c r="AO11" s="62">
        <f t="shared" si="36"/>
        <v>277.50105097454616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153.69844034685667</v>
      </c>
      <c r="BI11" s="62">
        <f ca="1">AVERAGE(OFFSET($BH$3,0,0,'Données projet'!$E$11+1,1))-AVERAGE(OFFSET($H$3,0,0,'Données projet'!$E$11+1,1))</f>
        <v>409.68685886029164</v>
      </c>
      <c r="BJ11" s="62">
        <f t="shared" si="38"/>
        <v>330.8416508650887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182.63945358261782</v>
      </c>
      <c r="S12" s="62">
        <f ca="1">AVERAGE(OFFSET($R$3,0,0,'Données projet'!$E$9+1,1))-AVERAGE(OFFSET($H$3,0,0,'Données projet'!$E$9+1,1))</f>
        <v>211.70619219850786</v>
      </c>
      <c r="T12" s="62">
        <f t="shared" si="34"/>
        <v>426.883837098247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4.8641883518579174</v>
      </c>
      <c r="AJ12" s="14">
        <f>AI12*VLOOKUP('Données projet'!$B$10,Paramètres!$A$1:$I$89,3,0)*VLOOKUP('Données projet'!$B$10,Paramètres!$A$1:$I$89,5,0)</f>
        <v>2.2764401486695052</v>
      </c>
      <c r="AK12" s="14">
        <f t="shared" si="35"/>
        <v>0.95328701064281096</v>
      </c>
      <c r="AL12" s="22">
        <f t="shared" si="4"/>
        <v>5.6251081358022832</v>
      </c>
      <c r="AM12" s="62">
        <f t="shared" si="5"/>
        <v>154.26253877302079</v>
      </c>
      <c r="AN12" s="62">
        <f ca="1">AVERAGE(OFFSET($AM$3,0,0,'Données projet'!$E$10+1,1))-AVERAGE(OFFSET($H$3,0,0,'Données projet'!$E$10+1,1))</f>
        <v>374.62597460242665</v>
      </c>
      <c r="AO12" s="62">
        <f t="shared" si="36"/>
        <v>277.50105097454616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158.99722673098759</v>
      </c>
      <c r="BI12" s="62">
        <f ca="1">AVERAGE(OFFSET($BH$3,0,0,'Données projet'!$E$11+1,1))-AVERAGE(OFFSET($H$3,0,0,'Données projet'!$E$11+1,1))</f>
        <v>409.68685886029164</v>
      </c>
      <c r="BJ12" s="62">
        <f t="shared" si="38"/>
        <v>330.8416508650887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199.92287992044396</v>
      </c>
      <c r="S13" s="62">
        <f ca="1">AVERAGE(OFFSET($R$3,0,0,'Données projet'!$E$9+1,1))-AVERAGE(OFFSET($H$3,0,0,'Données projet'!$E$9+1,1))</f>
        <v>211.70619219850786</v>
      </c>
      <c r="T13" s="62">
        <f t="shared" si="34"/>
        <v>426.883837098247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5.7988899976489963</v>
      </c>
      <c r="AJ13" s="14">
        <f>AI13*VLOOKUP('Données projet'!$B$10,Paramètres!$A$1:$I$89,3,0)*VLOOKUP('Données projet'!$B$10,Paramètres!$A$1:$I$89,5,0)</f>
        <v>2.7138805188997304</v>
      </c>
      <c r="AK13" s="14">
        <f t="shared" si="35"/>
        <v>1.1134554059951043</v>
      </c>
      <c r="AL13" s="22">
        <f t="shared" si="4"/>
        <v>6.66594340252517</v>
      </c>
      <c r="AM13" s="62">
        <f t="shared" si="5"/>
        <v>158.59048739757117</v>
      </c>
      <c r="AN13" s="62">
        <f ca="1">AVERAGE(OFFSET($AM$3,0,0,'Données projet'!$E$10+1,1))-AVERAGE(OFFSET($H$3,0,0,'Données projet'!$E$10+1,1))</f>
        <v>374.62597460242665</v>
      </c>
      <c r="AO13" s="62">
        <f t="shared" si="36"/>
        <v>277.50105097454616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164.72655042648336</v>
      </c>
      <c r="BI13" s="62">
        <f ca="1">AVERAGE(OFFSET($BH$3,0,0,'Données projet'!$E$11+1,1))-AVERAGE(OFFSET($H$3,0,0,'Données projet'!$E$11+1,1))</f>
        <v>409.68685886029164</v>
      </c>
      <c r="BJ13" s="62">
        <f t="shared" si="38"/>
        <v>330.8416508650887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222.95318813349218</v>
      </c>
      <c r="S14" s="62">
        <f ca="1">AVERAGE(OFFSET($R$3,0,0,'Données projet'!$E$9+1,1))-AVERAGE(OFFSET($H$3,0,0,'Données projet'!$E$9+1,1))</f>
        <v>211.70619219850786</v>
      </c>
      <c r="T14" s="62">
        <f t="shared" si="34"/>
        <v>426.883837098247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</v>
      </c>
      <c r="AI14" s="14">
        <f>IF('Données projet'!$A$62&gt;35,AI13+AH14-AQ13,IF(A14&lt;'Données projet'!$A$62,$AF$205^A14,IF(A14='Données projet'!$A$62,'Données projet'!$B$62,AI13+AH14-AQ13)))</f>
        <v>6.9132037602921814</v>
      </c>
      <c r="AJ14" s="14">
        <f>AI14*VLOOKUP('Données projet'!$B$10,Paramètres!$A$1:$I$89,3,0)*VLOOKUP('Données projet'!$B$10,Paramètres!$A$1:$I$89,5,0)</f>
        <v>3.2353793598167409</v>
      </c>
      <c r="AK14" s="14">
        <f t="shared" si="35"/>
        <v>1.3005348098719234</v>
      </c>
      <c r="AL14" s="22">
        <f t="shared" si="4"/>
        <v>7.9000505122077564</v>
      </c>
      <c r="AM14" s="62">
        <f t="shared" si="5"/>
        <v>163.07588662028346</v>
      </c>
      <c r="AN14" s="62">
        <f ca="1">AVERAGE(OFFSET($AM$3,0,0,'Données projet'!$E$10+1,1))-AVERAGE(OFFSET($H$3,0,0,'Données projet'!$E$10+1,1))</f>
        <v>374.62597460242665</v>
      </c>
      <c r="AO14" s="62">
        <f t="shared" si="36"/>
        <v>277.50105097454616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170.99782237203723</v>
      </c>
      <c r="BI14" s="62">
        <f ca="1">AVERAGE(OFFSET($BH$3,0,0,'Données projet'!$E$11+1,1))-AVERAGE(OFFSET($H$3,0,0,'Données projet'!$E$11+1,1))</f>
        <v>409.68685886029164</v>
      </c>
      <c r="BJ14" s="62">
        <f t="shared" si="38"/>
        <v>330.8416508650887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254.12833050035093</v>
      </c>
      <c r="S15" s="62">
        <f ca="1">AVERAGE(OFFSET($R$3,0,0,'Données projet'!$E$9+1,1))-AVERAGE(OFFSET($H$3,0,0,'Données projet'!$E$9+1,1))</f>
        <v>211.70619219850786</v>
      </c>
      <c r="T15" s="62">
        <f t="shared" si="34"/>
        <v>426.883837098247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</v>
      </c>
      <c r="AI15" s="14">
        <f>IF('Données projet'!$A$62&gt;35,AI14+AH15-AQ14,IF(A15&lt;'Données projet'!$A$62,$AF$205^A15,IF(A15='Données projet'!$A$62,'Données projet'!$B$62,AI14+AH15-AQ14)))</f>
        <v>8.2416438750681742</v>
      </c>
      <c r="AJ15" s="14">
        <f>AI15*VLOOKUP('Données projet'!$B$10,Paramètres!$A$1:$I$89,3,0)*VLOOKUP('Données projet'!$B$10,Paramètres!$A$1:$I$89,5,0)</f>
        <v>3.8570893335319059</v>
      </c>
      <c r="AK15" s="14">
        <f t="shared" si="35"/>
        <v>1.5190467283932132</v>
      </c>
      <c r="AL15" s="22">
        <f t="shared" si="4"/>
        <v>9.3634369745195816</v>
      </c>
      <c r="AM15" s="62">
        <f t="shared" si="5"/>
        <v>167.75536536934018</v>
      </c>
      <c r="AN15" s="62">
        <f ca="1">AVERAGE(OFFSET($AM$3,0,0,'Données projet'!$E$10+1,1))-AVERAGE(OFFSET($H$3,0,0,'Données projet'!$E$10+1,1))</f>
        <v>374.62597460242665</v>
      </c>
      <c r="AO15" s="62">
        <f t="shared" si="36"/>
        <v>277.50105097454616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177.94880282444547</v>
      </c>
      <c r="BI15" s="62">
        <f ca="1">AVERAGE(OFFSET($BH$3,0,0,'Données projet'!$E$11+1,1))-AVERAGE(OFFSET($H$3,0,0,'Données projet'!$E$11+1,1))</f>
        <v>409.68685886029164</v>
      </c>
      <c r="BJ15" s="62">
        <f t="shared" si="38"/>
        <v>330.8416508650887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296.84320769176509</v>
      </c>
      <c r="S16" s="62">
        <f ca="1">AVERAGE(OFFSET($R$3,0,0,'Données projet'!$E$9+1,1))-AVERAGE(OFFSET($H$3,0,0,'Données projet'!$E$9+1,1))</f>
        <v>211.70619219850786</v>
      </c>
      <c r="T16" s="62">
        <f t="shared" si="34"/>
        <v>426.883837098247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</v>
      </c>
      <c r="AI16" s="14">
        <f>IF('Données projet'!$A$62&gt;35,AI15+AH16-AQ15,IF(A16&lt;'Données projet'!$A$62,$AF$205^A16,IF(A16='Données projet'!$A$62,'Données projet'!$B$62,AI15+AH16-AQ15)))</f>
        <v>9.8253568271186005</v>
      </c>
      <c r="AJ16" s="14">
        <f>AI16*VLOOKUP('Données projet'!$B$10,Paramètres!$A$1:$I$89,3,0)*VLOOKUP('Données projet'!$B$10,Paramètres!$A$1:$I$89,5,0)</f>
        <v>4.5982669950915049</v>
      </c>
      <c r="AK16" s="14">
        <f t="shared" si="35"/>
        <v>1.7742723574383734</v>
      </c>
      <c r="AL16" s="22">
        <f t="shared" si="4"/>
        <v>11.098839372322871</v>
      </c>
      <c r="AM16" s="62">
        <f t="shared" si="5"/>
        <v>172.67227086589457</v>
      </c>
      <c r="AN16" s="62">
        <f ca="1">AVERAGE(OFFSET($AM$3,0,0,'Données projet'!$E$10+1,1))-AVERAGE(OFFSET($H$3,0,0,'Données projet'!$E$10+1,1))</f>
        <v>374.62597460242665</v>
      </c>
      <c r="AO16" s="62">
        <f t="shared" si="36"/>
        <v>277.50105097454616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185.7498920497122</v>
      </c>
      <c r="BI16" s="62">
        <f ca="1">AVERAGE(OFFSET($BH$3,0,0,'Données projet'!$E$11+1,1))-AVERAGE(OFFSET($H$3,0,0,'Données projet'!$E$11+1,1))</f>
        <v>409.68685886029164</v>
      </c>
      <c r="BJ16" s="62">
        <f t="shared" si="38"/>
        <v>330.8416508650887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287.7131994329614</v>
      </c>
      <c r="S17" s="62">
        <f ca="1">AVERAGE(OFFSET($R$3,0,0,'Données projet'!$E$9+1,1))-AVERAGE(OFFSET($H$3,0,0,'Données projet'!$E$9+1,1))</f>
        <v>211.70619219850786</v>
      </c>
      <c r="T17" s="62">
        <f t="shared" si="34"/>
        <v>426.883837098247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</v>
      </c>
      <c r="AI17" s="14">
        <f>IF('Données projet'!$A$62&gt;35,AI16+AH17-AQ16,IF(A17&lt;'Données projet'!$A$62,$AF$205^A17,IF(A17='Données projet'!$A$62,'Données projet'!$B$62,AI16+AH17-AQ16)))</f>
        <v>11.71339580350498</v>
      </c>
      <c r="AJ17" s="14">
        <f>AI17*VLOOKUP('Données projet'!$B$10,Paramètres!$A$1:$I$89,3,0)*VLOOKUP('Données projet'!$B$10,Paramètres!$A$1:$I$89,5,0)</f>
        <v>5.4818692360403301</v>
      </c>
      <c r="AK17" s="14">
        <f t="shared" si="35"/>
        <v>2.0723802234180093</v>
      </c>
      <c r="AL17" s="22">
        <f t="shared" si="4"/>
        <v>13.156984475223274</v>
      </c>
      <c r="AM17" s="62">
        <f t="shared" si="5"/>
        <v>177.87792992463409</v>
      </c>
      <c r="AN17" s="62">
        <f ca="1">AVERAGE(OFFSET($AM$3,0,0,'Données projet'!$E$10+1,1))-AVERAGE(OFFSET($H$3,0,0,'Données projet'!$E$10+1,1))</f>
        <v>374.62597460242665</v>
      </c>
      <c r="AO17" s="62">
        <f t="shared" si="36"/>
        <v>277.50105097454616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194.61192607876612</v>
      </c>
      <c r="BI17" s="62">
        <f ca="1">AVERAGE(OFFSET($BH$3,0,0,'Données projet'!$E$11+1,1))-AVERAGE(OFFSET($H$3,0,0,'Données projet'!$E$11+1,1))</f>
        <v>409.68685886029164</v>
      </c>
      <c r="BJ17" s="62">
        <f t="shared" si="38"/>
        <v>330.8416508650887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315.09512602267358</v>
      </c>
      <c r="S18" s="62">
        <f ca="1">AVERAGE(OFFSET($R$3,0,0,'Données projet'!$E$9+1,1))-AVERAGE(OFFSET($H$3,0,0,'Données projet'!$E$9+1,1))</f>
        <v>211.70619219850786</v>
      </c>
      <c r="T18" s="62">
        <f t="shared" si="34"/>
        <v>426.883837098247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</v>
      </c>
      <c r="AI18" s="14">
        <f>IF('Données projet'!$A$62&gt;35,AI17+AH18-AQ17,IF(A18&lt;'Données projet'!$A$62,$AF$205^A18,IF(A18='Données projet'!$A$62,'Données projet'!$B$62,AI17+AH18-AQ17)))</f>
        <v>13.964240043768939</v>
      </c>
      <c r="AJ18" s="14">
        <f>AI18*VLOOKUP('Données projet'!$B$10,Paramètres!$A$1:$I$89,3,0)*VLOOKUP('Données projet'!$B$10,Paramètres!$A$1:$I$89,5,0)</f>
        <v>6.5352643404838631</v>
      </c>
      <c r="AK18" s="14">
        <f t="shared" si="35"/>
        <v>2.4205752698614362</v>
      </c>
      <c r="AL18" s="22">
        <f t="shared" si="4"/>
        <v>15.598087321351393</v>
      </c>
      <c r="AM18" s="62">
        <f t="shared" si="5"/>
        <v>183.43314721933055</v>
      </c>
      <c r="AN18" s="62">
        <f ca="1">AVERAGE(OFFSET($AM$3,0,0,'Données projet'!$E$10+1,1))-AVERAGE(OFFSET($H$3,0,0,'Données projet'!$E$10+1,1))</f>
        <v>374.62597460242665</v>
      </c>
      <c r="AO18" s="62">
        <f t="shared" si="36"/>
        <v>277.50105097454616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204.79583848981247</v>
      </c>
      <c r="BI18" s="62">
        <f ca="1">AVERAGE(OFFSET($BH$3,0,0,'Données projet'!$E$11+1,1))-AVERAGE(OFFSET($H$3,0,0,'Données projet'!$E$11+1,1))</f>
        <v>409.68685886029164</v>
      </c>
      <c r="BJ18" s="62">
        <f t="shared" si="38"/>
        <v>330.8416508650887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342.34851034317109</v>
      </c>
      <c r="S19" s="62">
        <f ca="1">AVERAGE(OFFSET($R$3,0,0,'Données projet'!$E$9+1,1))-AVERAGE(OFFSET($H$3,0,0,'Données projet'!$E$9+1,1))</f>
        <v>211.70619219850786</v>
      </c>
      <c r="T19" s="62">
        <f t="shared" si="34"/>
        <v>426.883837098247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</v>
      </c>
      <c r="AI19" s="14">
        <f>IF('Données projet'!$A$62&gt;35,AI18+AH19-AQ18,IF(A19&lt;'Données projet'!$A$62,$AF$205^A19,IF(A19='Données projet'!$A$62,'Données projet'!$B$62,AI18+AH19-AQ18)))</f>
        <v>16.647606148649942</v>
      </c>
      <c r="AJ19" s="14">
        <f>AI19*VLOOKUP('Données projet'!$B$10,Paramètres!$A$1:$I$89,3,0)*VLOOKUP('Données projet'!$B$10,Paramètres!$A$1:$I$89,5,0)</f>
        <v>7.791079677568173</v>
      </c>
      <c r="AK19" s="14">
        <f t="shared" si="35"/>
        <v>2.8272729930809319</v>
      </c>
      <c r="AL19" s="22">
        <f t="shared" si="4"/>
        <v>18.493630901380524</v>
      </c>
      <c r="AM19" s="62">
        <f t="shared" si="5"/>
        <v>189.40998514743833</v>
      </c>
      <c r="AN19" s="62">
        <f ca="1">AVERAGE(OFFSET($AM$3,0,0,'Données projet'!$E$10+1,1))-AVERAGE(OFFSET($H$3,0,0,'Données projet'!$E$10+1,1))</f>
        <v>374.62597460242665</v>
      </c>
      <c r="AO19" s="62">
        <f t="shared" si="36"/>
        <v>277.50105097454616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216.62463593633922</v>
      </c>
      <c r="BI19" s="62">
        <f ca="1">AVERAGE(OFFSET($BH$3,0,0,'Données projet'!$E$11+1,1))-AVERAGE(OFFSET($H$3,0,0,'Données projet'!$E$11+1,1))</f>
        <v>409.68685886029164</v>
      </c>
      <c r="BJ19" s="62">
        <f t="shared" si="38"/>
        <v>330.8416508650887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369.48934116986425</v>
      </c>
      <c r="S20" s="62">
        <f ca="1">AVERAGE(OFFSET($R$3,0,0,'Données projet'!$E$9+1,1))-AVERAGE(OFFSET($H$3,0,0,'Données projet'!$E$9+1,1))</f>
        <v>211.70619219850786</v>
      </c>
      <c r="T20" s="62">
        <f t="shared" si="34"/>
        <v>426.883837098247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</v>
      </c>
      <c r="AI20" s="14">
        <f>IF('Données projet'!$A$62&gt;35,AI19+AH20-AQ19,IF(A20&lt;'Données projet'!$A$62,$AF$205^A20,IF(A20='Données projet'!$A$62,'Données projet'!$B$62,AI19+AH20-AQ19)))</f>
        <v>19.846607449592845</v>
      </c>
      <c r="AJ20" s="14">
        <f>AI20*VLOOKUP('Données projet'!$B$10,Paramètres!$A$1:$I$89,3,0)*VLOOKUP('Données projet'!$B$10,Paramètres!$A$1:$I$89,5,0)</f>
        <v>9.2882122864094523</v>
      </c>
      <c r="AK20" s="14">
        <f t="shared" si="35"/>
        <v>3.3023028355827138</v>
      </c>
      <c r="AL20" s="22">
        <f t="shared" si="4"/>
        <v>21.928480504136356</v>
      </c>
      <c r="AM20" s="62">
        <f t="shared" si="5"/>
        <v>195.89387835315179</v>
      </c>
      <c r="AN20" s="62">
        <f ca="1">AVERAGE(OFFSET($AM$3,0,0,'Données projet'!$E$10+1,1))-AVERAGE(OFFSET($H$3,0,0,'Données projet'!$E$10+1,1))</f>
        <v>374.62597460242665</v>
      </c>
      <c r="AO20" s="62">
        <f t="shared" si="36"/>
        <v>277.50105097454616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230.49824278944962</v>
      </c>
      <c r="BI20" s="62">
        <f ca="1">AVERAGE(OFFSET($BH$3,0,0,'Données projet'!$E$11+1,1))-AVERAGE(OFFSET($H$3,0,0,'Données projet'!$E$11+1,1))</f>
        <v>409.68685886029164</v>
      </c>
      <c r="BJ20" s="62">
        <f t="shared" si="38"/>
        <v>330.8416508650887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396.52947215501308</v>
      </c>
      <c r="S21" s="62">
        <f ca="1">AVERAGE(OFFSET($R$3,0,0,'Données projet'!$E$9+1,1))-AVERAGE(OFFSET($H$3,0,0,'Données projet'!$E$9+1,1))</f>
        <v>211.70619219850786</v>
      </c>
      <c r="T21" s="62">
        <f t="shared" si="34"/>
        <v>426.883837098247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</v>
      </c>
      <c r="AI21" s="14">
        <f>IF('Données projet'!$A$62&gt;35,AI20+AH21-AQ20,IF(A21&lt;'Données projet'!$A$62,$AF$205^A21,IF(A21='Données projet'!$A$62,'Données projet'!$B$62,AI20+AH21-AQ20)))</f>
        <v>23.660328322350242</v>
      </c>
      <c r="AJ21" s="14">
        <f>AI21*VLOOKUP('Données projet'!$B$10,Paramètres!$A$1:$I$89,3,0)*VLOOKUP('Données projet'!$B$10,Paramètres!$A$1:$I$89,5,0)</f>
        <v>11.073033654859913</v>
      </c>
      <c r="AK21" s="14">
        <f t="shared" si="35"/>
        <v>3.8571457530226052</v>
      </c>
      <c r="AL21" s="22">
        <f t="shared" si="4"/>
        <v>26.003395802062048</v>
      </c>
      <c r="AM21" s="62">
        <f t="shared" si="5"/>
        <v>202.98614598724015</v>
      </c>
      <c r="AN21" s="62">
        <f ca="1">AVERAGE(OFFSET($AM$3,0,0,'Données projet'!$E$10+1,1))-AVERAGE(OFFSET($H$3,0,0,'Données projet'!$E$10+1,1))</f>
        <v>374.62597460242665</v>
      </c>
      <c r="AO21" s="62">
        <f t="shared" si="36"/>
        <v>277.50105097454616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246.91190384567213</v>
      </c>
      <c r="BI21" s="62">
        <f ca="1">AVERAGE(OFFSET($BH$3,0,0,'Données projet'!$E$11+1,1))-AVERAGE(OFFSET($H$3,0,0,'Données projet'!$E$11+1,1))</f>
        <v>409.68685886029164</v>
      </c>
      <c r="BJ21" s="62">
        <f t="shared" si="38"/>
        <v>330.8416508650887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370.83566994478031</v>
      </c>
      <c r="S22" s="62">
        <f ca="1">AVERAGE(OFFSET($R$3,0,0,'Données projet'!$E$9+1,1))-AVERAGE(OFFSET($H$3,0,0,'Données projet'!$E$9+1,1))</f>
        <v>211.70619219850786</v>
      </c>
      <c r="T22" s="62">
        <f t="shared" si="34"/>
        <v>426.883837098247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</v>
      </c>
      <c r="AI22" s="14">
        <f>IF('Données projet'!$A$62&gt;35,AI21+AH22-AQ21,IF(A22&lt;'Données projet'!$A$62,$AF$205^A22,IF(A22='Données projet'!$A$62,'Données projet'!$B$62,AI21+AH22-AQ21)))</f>
        <v>28.206893180269638</v>
      </c>
      <c r="AJ22" s="14">
        <f>AI22*VLOOKUP('Données projet'!$B$10,Paramètres!$A$1:$I$89,3,0)*VLOOKUP('Données projet'!$B$10,Paramètres!$A$1:$I$89,5,0)</f>
        <v>13.200826008366192</v>
      </c>
      <c r="AK22" s="14">
        <f t="shared" si="35"/>
        <v>4.5052116964418483</v>
      </c>
      <c r="AL22" s="22">
        <f t="shared" si="4"/>
        <v>30.838015669207337</v>
      </c>
      <c r="AM22" s="62">
        <f t="shared" si="5"/>
        <v>210.8069766963809</v>
      </c>
      <c r="AN22" s="62">
        <f ca="1">AVERAGE(OFFSET($AM$3,0,0,'Données projet'!$E$10+1,1))-AVERAGE(OFFSET($H$3,0,0,'Données projet'!$E$10+1,1))</f>
        <v>374.62597460242665</v>
      </c>
      <c r="AO22" s="62">
        <f t="shared" si="36"/>
        <v>277.50105097454616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266.47899982464895</v>
      </c>
      <c r="BI22" s="62">
        <f ca="1">AVERAGE(OFFSET($BH$3,0,0,'Données projet'!$E$11+1,1))-AVERAGE(OFFSET($H$3,0,0,'Données projet'!$E$11+1,1))</f>
        <v>409.68685886029164</v>
      </c>
      <c r="BJ22" s="62">
        <f t="shared" si="38"/>
        <v>330.8416508650887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396.79422396004782</v>
      </c>
      <c r="S23" s="62">
        <f ca="1">AVERAGE(OFFSET($R$3,0,0,'Données projet'!$E$9+1,1))-AVERAGE(OFFSET($H$3,0,0,'Données projet'!$E$9+1,1))</f>
        <v>211.70619219850786</v>
      </c>
      <c r="T23" s="62">
        <f t="shared" si="34"/>
        <v>426.883837098247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</v>
      </c>
      <c r="AI23" s="14">
        <f>IF('Données projet'!$A$62&gt;35,AI22+AH23-AQ22,IF(A23&lt;'Données projet'!$A$62,$AF$205^A23,IF(A23='Données projet'!$A$62,'Données projet'!$B$62,AI22+AH23-AQ22)))</f>
        <v>33.627125204833582</v>
      </c>
      <c r="AJ23" s="14">
        <f>AI23*VLOOKUP('Données projet'!$B$10,Paramètres!$A$1:$I$89,3,0)*VLOOKUP('Données projet'!$B$10,Paramètres!$A$1:$I$89,5,0)</f>
        <v>15.737494595862117</v>
      </c>
      <c r="AK23" s="14">
        <f t="shared" si="35"/>
        <v>5.2621637162274721</v>
      </c>
      <c r="AL23" s="22">
        <f t="shared" si="4"/>
        <v>36.574404893556029</v>
      </c>
      <c r="AM23" s="62">
        <f t="shared" si="5"/>
        <v>219.49897550385973</v>
      </c>
      <c r="AN23" s="62">
        <f ca="1">AVERAGE(OFFSET($AM$3,0,0,'Données projet'!$E$10+1,1))-AVERAGE(OFFSET($H$3,0,0,'Données projet'!$E$10+1,1))</f>
        <v>374.62597460242665</v>
      </c>
      <c r="AO23" s="62">
        <f t="shared" si="36"/>
        <v>277.50105097454616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289.9593361155496</v>
      </c>
      <c r="BI23" s="62">
        <f ca="1">AVERAGE(OFFSET($BH$3,0,0,'Données projet'!$E$11+1,1))-AVERAGE(OFFSET($H$3,0,0,'Données projet'!$E$11+1,1))</f>
        <v>409.68685886029164</v>
      </c>
      <c r="BJ23" s="62">
        <f t="shared" si="38"/>
        <v>330.8416508650887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422.66571783960171</v>
      </c>
      <c r="S24" s="62">
        <f ca="1">AVERAGE(OFFSET($R$3,0,0,'Données projet'!$E$9+1,1))-AVERAGE(OFFSET($H$3,0,0,'Données projet'!$E$9+1,1))</f>
        <v>211.70619219850786</v>
      </c>
      <c r="T24" s="62">
        <f t="shared" si="34"/>
        <v>426.883837098247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40.088908137267765</v>
      </c>
      <c r="AJ24" s="14">
        <f>AI24*VLOOKUP('Données projet'!$B$10,Paramètres!$A$1:$I$89,3,0)*VLOOKUP('Données projet'!$B$10,Paramètres!$A$1:$I$89,5,0)</f>
        <v>18.761609008241315</v>
      </c>
      <c r="AK24" s="14">
        <f t="shared" si="35"/>
        <v>6.1462965210381464</v>
      </c>
      <c r="AL24" s="22">
        <f t="shared" si="4"/>
        <v>43.381268796828387</v>
      </c>
      <c r="AM24" s="62">
        <f t="shared" si="5"/>
        <v>229.23137859482409</v>
      </c>
      <c r="AN24" s="62">
        <f ca="1">AVERAGE(OFFSET($AM$3,0,0,'Données projet'!$E$10+1,1))-AVERAGE(OFFSET($H$3,0,0,'Données projet'!$E$10+1,1))</f>
        <v>374.62597460242665</v>
      </c>
      <c r="AO24" s="62">
        <f t="shared" si="36"/>
        <v>277.50105097454616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318.29422057558969</v>
      </c>
      <c r="BI24" s="62">
        <f ca="1">AVERAGE(OFFSET($BH$3,0,0,'Données projet'!$E$11+1,1))-AVERAGE(OFFSET($H$3,0,0,'Données projet'!$E$11+1,1))</f>
        <v>409.68685886029164</v>
      </c>
      <c r="BJ24" s="62">
        <f t="shared" si="38"/>
        <v>330.8416508650887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448.45697136053934</v>
      </c>
      <c r="S25" s="62">
        <f ca="1">AVERAGE(OFFSET($R$3,0,0,'Données projet'!$E$9+1,1))-AVERAGE(OFFSET($H$3,0,0,'Données projet'!$E$9+1,1))</f>
        <v>211.70619219850786</v>
      </c>
      <c r="T25" s="62">
        <f t="shared" si="34"/>
        <v>426.883837098247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47.792386231317963</v>
      </c>
      <c r="AJ25" s="14">
        <f>AI25*VLOOKUP('Données projet'!$B$10,Paramètres!$A$1:$I$89,3,0)*VLOOKUP('Données projet'!$B$10,Paramètres!$A$1:$I$89,5,0)</f>
        <v>22.366836756256806</v>
      </c>
      <c r="AK25" s="14">
        <f t="shared" si="35"/>
        <v>7.178978641053865</v>
      </c>
      <c r="AL25" s="22">
        <f t="shared" si="4"/>
        <v>51.458961816982743</v>
      </c>
      <c r="AM25" s="62">
        <f t="shared" si="5"/>
        <v>240.20506206136574</v>
      </c>
      <c r="AN25" s="62">
        <f ca="1">AVERAGE(OFFSET($AM$3,0,0,'Données projet'!$E$10+1,1))-AVERAGE(OFFSET($H$3,0,0,'Données projet'!$E$10+1,1))</f>
        <v>374.62597460242665</v>
      </c>
      <c r="AO25" s="62">
        <f t="shared" si="36"/>
        <v>277.50105097454616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352.64996312081405</v>
      </c>
      <c r="BI25" s="62">
        <f ca="1">AVERAGE(OFFSET($BH$3,0,0,'Données projet'!$E$11+1,1))-AVERAGE(OFFSET($H$3,0,0,'Données projet'!$E$11+1,1))</f>
        <v>409.68685886029164</v>
      </c>
      <c r="BJ25" s="62">
        <f t="shared" si="38"/>
        <v>330.8416508650887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474.17359308901416</v>
      </c>
      <c r="S26" s="62">
        <f ca="1">AVERAGE(OFFSET($R$3,0,0,'Données projet'!$E$9+1,1))-AVERAGE(OFFSET($H$3,0,0,'Données projet'!$E$9+1,1))</f>
        <v>211.70619219850786</v>
      </c>
      <c r="T26" s="62">
        <f t="shared" si="34"/>
        <v>426.883837098247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56.976163428110333</v>
      </c>
      <c r="AJ26" s="14">
        <f>AI26*VLOOKUP('Données projet'!$B$10,Paramètres!$A$1:$I$89,3,0)*VLOOKUP('Données projet'!$B$10,Paramètres!$A$1:$I$89,5,0)</f>
        <v>26.664844484355637</v>
      </c>
      <c r="AK26" s="14">
        <f t="shared" si="35"/>
        <v>8.3851688821551527</v>
      </c>
      <c r="AL26" s="22">
        <f t="shared" si="4"/>
        <v>61.045439946672957</v>
      </c>
      <c r="AM26" s="62">
        <f t="shared" si="5"/>
        <v>252.65849450073918</v>
      </c>
      <c r="AN26" s="62">
        <f ca="1">AVERAGE(OFFSET($AM$3,0,0,'Données projet'!$E$10+1,1))-AVERAGE(OFFSET($H$3,0,0,'Données projet'!$E$10+1,1))</f>
        <v>374.62597460242665</v>
      </c>
      <c r="AO26" s="62">
        <f t="shared" si="36"/>
        <v>277.50105097454616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350.75345382481714</v>
      </c>
      <c r="BI26" s="62">
        <f ca="1">AVERAGE(OFFSET($BH$3,0,0,'Données projet'!$E$11+1,1))-AVERAGE(OFFSET($H$3,0,0,'Données projet'!$E$11+1,1))</f>
        <v>409.68685886029164</v>
      </c>
      <c r="BJ26" s="62">
        <f t="shared" si="38"/>
        <v>330.8416508650887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429.64823315533664</v>
      </c>
      <c r="S27" s="62">
        <f ca="1">AVERAGE(OFFSET($R$3,0,0,'Données projet'!$E$9+1,1))-AVERAGE(OFFSET($H$3,0,0,'Données projet'!$E$9+1,1))</f>
        <v>211.70619219850786</v>
      </c>
      <c r="T27" s="62">
        <f t="shared" si="34"/>
        <v>426.883837098247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67.924693763448758</v>
      </c>
      <c r="AJ27" s="14">
        <f>AI27*VLOOKUP('Données projet'!$B$10,Paramètres!$A$1:$I$89,3,0)*VLOOKUP('Données projet'!$B$10,Paramètres!$A$1:$I$89,5,0)</f>
        <v>31.788756681294021</v>
      </c>
      <c r="AK27" s="14">
        <f t="shared" si="35"/>
        <v>9.7940195531688623</v>
      </c>
      <c r="AL27" s="22">
        <f t="shared" si="4"/>
        <v>72.423335275022851</v>
      </c>
      <c r="AM27" s="62">
        <f t="shared" si="5"/>
        <v>266.87481171412492</v>
      </c>
      <c r="AN27" s="62">
        <f ca="1">AVERAGE(OFFSET($AM$3,0,0,'Données projet'!$E$10+1,1))-AVERAGE(OFFSET($H$3,0,0,'Données projet'!$E$10+1,1))</f>
        <v>374.62597460242665</v>
      </c>
      <c r="AO27" s="62">
        <f t="shared" si="36"/>
        <v>277.50105097454616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369.60161638074442</v>
      </c>
      <c r="BI27" s="62">
        <f ca="1">AVERAGE(OFFSET($BH$3,0,0,'Données projet'!$E$11+1,1))-AVERAGE(OFFSET($H$3,0,0,'Données projet'!$E$11+1,1))</f>
        <v>409.68685886029164</v>
      </c>
      <c r="BJ27" s="62">
        <f t="shared" si="38"/>
        <v>330.8416508650887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451.94205212819901</v>
      </c>
      <c r="S28" s="62">
        <f ca="1">AVERAGE(OFFSET($R$3,0,0,'Données projet'!$E$9+1,1))-AVERAGE(OFFSET($H$3,0,0,'Données projet'!$E$9+1,1))</f>
        <v>211.70619219850786</v>
      </c>
      <c r="T28" s="62">
        <f t="shared" si="34"/>
        <v>426.883837098247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80.977091914581294</v>
      </c>
      <c r="AJ28" s="14">
        <f>AI28*VLOOKUP('Données projet'!$B$10,Paramètres!$A$1:$I$89,3,0)*VLOOKUP('Données projet'!$B$10,Paramètres!$A$1:$I$89,5,0)</f>
        <v>37.897279016024044</v>
      </c>
      <c r="AK28" s="14">
        <f t="shared" si="35"/>
        <v>11.43958104552808</v>
      </c>
      <c r="AL28" s="22">
        <f t="shared" si="4"/>
        <v>85.928364607203278</v>
      </c>
      <c r="AM28" s="62">
        <f t="shared" si="5"/>
        <v>283.19022548047258</v>
      </c>
      <c r="AN28" s="62">
        <f ca="1">AVERAGE(OFFSET($AM$3,0,0,'Données projet'!$E$10+1,1))-AVERAGE(OFFSET($H$3,0,0,'Données projet'!$E$10+1,1))</f>
        <v>374.62597460242665</v>
      </c>
      <c r="AO28" s="62">
        <f t="shared" si="36"/>
        <v>277.50105097454616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388.38737385957035</v>
      </c>
      <c r="BI28" s="62">
        <f ca="1">AVERAGE(OFFSET($BH$3,0,0,'Données projet'!$E$11+1,1))-AVERAGE(OFFSET($H$3,0,0,'Données projet'!$E$11+1,1))</f>
        <v>409.68685886029164</v>
      </c>
      <c r="BJ28" s="62">
        <f t="shared" si="38"/>
        <v>330.8416508650887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15.34038764069177</v>
      </c>
      <c r="BS28" s="24">
        <f t="shared" si="9"/>
        <v>15.34038764069177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474.174587646997</v>
      </c>
      <c r="S29" s="62">
        <f ca="1">AVERAGE(OFFSET($R$3,0,0,'Données projet'!$E$9+1,1))-AVERAGE(OFFSET($H$3,0,0,'Données projet'!$E$9+1,1))</f>
        <v>211.70619219850786</v>
      </c>
      <c r="T29" s="62">
        <f t="shared" si="34"/>
        <v>426.883837098247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96.537636780206071</v>
      </c>
      <c r="AJ29" s="14">
        <f>AI29*VLOOKUP('Données projet'!$B$10,Paramètres!$A$1:$I$89,3,0)*VLOOKUP('Données projet'!$B$10,Paramètres!$A$1:$I$89,5,0)</f>
        <v>45.179614013136444</v>
      </c>
      <c r="AK29" s="14">
        <f t="shared" si="35"/>
        <v>13.361624794271938</v>
      </c>
      <c r="AL29" s="22">
        <f t="shared" si="4"/>
        <v>101.95932425623626</v>
      </c>
      <c r="AM29" s="62">
        <f t="shared" si="5"/>
        <v>302.00401849989424</v>
      </c>
      <c r="AN29" s="62">
        <f ca="1">AVERAGE(OFFSET($AM$3,0,0,'Données projet'!$E$10+1,1))-AVERAGE(OFFSET($H$3,0,0,'Données projet'!$E$10+1,1))</f>
        <v>374.62597460242665</v>
      </c>
      <c r="AO29" s="62">
        <f t="shared" si="36"/>
        <v>277.50105097454616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386.51047252773651</v>
      </c>
      <c r="BI29" s="62">
        <f ca="1">AVERAGE(OFFSET($BH$3,0,0,'Données projet'!$E$11+1,1))-AVERAGE(OFFSET($H$3,0,0,'Données projet'!$E$11+1,1))</f>
        <v>409.68685886029164</v>
      </c>
      <c r="BJ29" s="62">
        <f t="shared" si="38"/>
        <v>330.8416508650887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10.847292126763454</v>
      </c>
      <c r="BS29" s="24">
        <f t="shared" si="9"/>
        <v>10.847292126763454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496.34904711149841</v>
      </c>
      <c r="S30" s="62">
        <f ca="1">AVERAGE(OFFSET($R$3,0,0,'Données projet'!$E$9+1,1))-AVERAGE(OFFSET($H$3,0,0,'Données projet'!$E$9+1,1))</f>
        <v>211.70619219850786</v>
      </c>
      <c r="T30" s="62">
        <f t="shared" si="34"/>
        <v>426.883837098247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115.08829342671002</v>
      </c>
      <c r="AJ30" s="14">
        <f>AI30*VLOOKUP('Données projet'!$B$10,Paramètres!$A$1:$I$89,3,0)*VLOOKUP('Données projet'!$B$10,Paramètres!$A$1:$I$89,5,0)</f>
        <v>53.861321323700288</v>
      </c>
      <c r="AK30" s="14">
        <f t="shared" si="35"/>
        <v>15.606604510459258</v>
      </c>
      <c r="AL30" s="22">
        <f t="shared" si="4"/>
        <v>120.98997082782786</v>
      </c>
      <c r="AM30" s="62">
        <f t="shared" si="5"/>
        <v>323.79042532745774</v>
      </c>
      <c r="AN30" s="62">
        <f ca="1">AVERAGE(OFFSET($AM$3,0,0,'Données projet'!$E$10+1,1))-AVERAGE(OFFSET($H$3,0,0,'Données projet'!$E$10+1,1))</f>
        <v>374.62597460242665</v>
      </c>
      <c r="AO30" s="62">
        <f t="shared" si="36"/>
        <v>277.50105097454616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406.5976059355832</v>
      </c>
      <c r="BI30" s="62">
        <f ca="1">AVERAGE(OFFSET($BH$3,0,0,'Données projet'!$E$11+1,1))-AVERAGE(OFFSET($H$3,0,0,'Données projet'!$E$11+1,1))</f>
        <v>409.68685886029164</v>
      </c>
      <c r="BJ30" s="62">
        <f t="shared" si="38"/>
        <v>330.8416508650887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7.6701938203458866</v>
      </c>
      <c r="BS30" s="24">
        <f t="shared" si="9"/>
        <v>7.6701938203458866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518.46823896547028</v>
      </c>
      <c r="S31" s="62">
        <f ca="1">AVERAGE(OFFSET($R$3,0,0,'Données projet'!$E$9+1,1))-AVERAGE(OFFSET($H$3,0,0,'Données projet'!$E$9+1,1))</f>
        <v>211.70619219850786</v>
      </c>
      <c r="T31" s="62">
        <f t="shared" si="34"/>
        <v>426.883837098247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137.20364124956808</v>
      </c>
      <c r="AJ31" s="14">
        <f>AI31*VLOOKUP('Données projet'!$B$10,Paramètres!$A$1:$I$89,3,0)*VLOOKUP('Données projet'!$B$10,Paramètres!$A$1:$I$89,5,0)</f>
        <v>64.211304104797861</v>
      </c>
      <c r="AK31" s="14">
        <f t="shared" si="35"/>
        <v>18.228778916940001</v>
      </c>
      <c r="AL31" s="22">
        <f t="shared" si="4"/>
        <v>143.58314459619342</v>
      </c>
      <c r="AM31" s="62">
        <f t="shared" si="5"/>
        <v>349.11275589538701</v>
      </c>
      <c r="AN31" s="62">
        <f ca="1">AVERAGE(OFFSET($AM$3,0,0,'Données projet'!$E$10+1,1))-AVERAGE(OFFSET($H$3,0,0,'Données projet'!$E$10+1,1))</f>
        <v>374.62597460242665</v>
      </c>
      <c r="AO31" s="62">
        <f t="shared" si="36"/>
        <v>277.50105097454616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426.62403534833874</v>
      </c>
      <c r="BI31" s="62">
        <f ca="1">AVERAGE(OFFSET($BH$3,0,0,'Données projet'!$E$11+1,1))-AVERAGE(OFFSET($H$3,0,0,'Données projet'!$E$11+1,1))</f>
        <v>409.68685886029164</v>
      </c>
      <c r="BJ31" s="62">
        <f t="shared" si="38"/>
        <v>330.8416508650887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5.4236460633817281</v>
      </c>
      <c r="BS31" s="24">
        <f t="shared" si="9"/>
        <v>5.4236460633817281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540.53465000926337</v>
      </c>
      <c r="S32" s="62">
        <f ca="1">AVERAGE(OFFSET($R$3,0,0,'Données projet'!$E$9+1,1))-AVERAGE(OFFSET($H$3,0,0,'Données projet'!$E$9+1,1))</f>
        <v>211.70619219850786</v>
      </c>
      <c r="T32" s="62">
        <f t="shared" si="34"/>
        <v>426.883837098247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163.5686707278193</v>
      </c>
      <c r="AJ32" s="14">
        <f>AI32*VLOOKUP('Données projet'!$B$10,Paramètres!$A$1:$I$89,3,0)*VLOOKUP('Données projet'!$B$10,Paramètres!$A$1:$I$89,5,0)</f>
        <v>76.550137900619433</v>
      </c>
      <c r="AK32" s="14">
        <f t="shared" si="35"/>
        <v>21.291523122789648</v>
      </c>
      <c r="AL32" s="22">
        <f t="shared" si="4"/>
        <v>170.40755961577079</v>
      </c>
      <c r="AM32" s="62">
        <f t="shared" si="5"/>
        <v>378.64018576861224</v>
      </c>
      <c r="AN32" s="62">
        <f ca="1">AVERAGE(OFFSET($AM$3,0,0,'Données projet'!$E$10+1,1))-AVERAGE(OFFSET($H$3,0,0,'Données projet'!$E$10+1,1))</f>
        <v>374.62597460242665</v>
      </c>
      <c r="AO32" s="62">
        <f t="shared" si="36"/>
        <v>277.50105097454616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446.59326592406347</v>
      </c>
      <c r="BI32" s="62">
        <f ca="1">AVERAGE(OFFSET($BH$3,0,0,'Données projet'!$E$11+1,1))-AVERAGE(OFFSET($H$3,0,0,'Données projet'!$E$11+1,1))</f>
        <v>409.68685886029164</v>
      </c>
      <c r="BJ32" s="62">
        <f t="shared" si="38"/>
        <v>330.8416508650887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3.8350969101729437</v>
      </c>
      <c r="BS32" s="24">
        <f t="shared" si="9"/>
        <v>3.8350969101729437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562.55050376491363</v>
      </c>
      <c r="S33" s="62">
        <f ca="1">AVERAGE(OFFSET($R$3,0,0,'Données projet'!$E$9+1,1))-AVERAGE(OFFSET($H$3,0,0,'Données projet'!$E$9+1,1))</f>
        <v>211.70619219850786</v>
      </c>
      <c r="T33" s="62">
        <f t="shared" si="34"/>
        <v>426.883837098247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195</v>
      </c>
      <c r="AJ33" s="14">
        <f>AI33*VLOOKUP('Données projet'!$B$10,Paramètres!$A$1:$I$89,3,0)*VLOOKUP('Données projet'!$B$10,Paramètres!$A$1:$I$89,5,0)</f>
        <v>91.26</v>
      </c>
      <c r="AK33" s="14">
        <f t="shared" si="35"/>
        <v>24.868860330902777</v>
      </c>
      <c r="AL33" s="22">
        <f t="shared" si="4"/>
        <v>202.25776507632233</v>
      </c>
      <c r="AM33" s="62">
        <f t="shared" si="5"/>
        <v>413.16771764121279</v>
      </c>
      <c r="AN33" s="62">
        <f ca="1">AVERAGE(OFFSET($AM$3,0,0,'Données projet'!$E$10+1,1))-AVERAGE(OFFSET($H$3,0,0,'Données projet'!$E$10+1,1))</f>
        <v>374.62597460242665</v>
      </c>
      <c r="AO33" s="62">
        <f t="shared" si="36"/>
        <v>277.50105097454616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466.50831753175532</v>
      </c>
      <c r="BI33" s="62">
        <f ca="1">AVERAGE(OFFSET($BH$3,0,0,'Données projet'!$E$11+1,1))-AVERAGE(OFFSET($H$3,0,0,'Données projet'!$E$11+1,1))</f>
        <v>409.68685886029164</v>
      </c>
      <c r="BJ33" s="62">
        <f t="shared" si="38"/>
        <v>330.8416508650887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4.8357919106233389</v>
      </c>
      <c r="BR33" s="23">
        <f>EXP(-LN(2)/2)*BR32+(1-EXP(-LN(2)/2))/(LN(2)/2)*BL33*BO33*VLOOKUP('Données projet'!$B$11,Paramètres!$A$1:$I$89,3,0)*0.475*44/12</f>
        <v>16.524151275675727</v>
      </c>
      <c r="BS33" s="24">
        <f t="shared" si="9"/>
        <v>21.359943186299066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581.83861211902683</v>
      </c>
      <c r="S34" s="62">
        <f ca="1">AVERAGE(OFFSET($R$3,0,0,'Données projet'!$E$9+1,1))-AVERAGE(OFFSET($H$3,0,0,'Données projet'!$E$9+1,1))</f>
        <v>211.70619219850786</v>
      </c>
      <c r="T34" s="62">
        <f t="shared" si="34"/>
        <v>426.883837098247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17</v>
      </c>
      <c r="AI34" s="14">
        <f>IF('Données projet'!$A$62&gt;35,AI33+AH34-AQ33,IF(A34&lt;'Données projet'!$A$62,$AF$205^A34,IF(A34='Données projet'!$A$62,'Données projet'!$B$62,AI33+AH34-AQ33)))</f>
        <v>212</v>
      </c>
      <c r="AJ34" s="14">
        <f>AI34*VLOOKUP('Données projet'!$B$10,Paramètres!$A$1:$I$89,3,0)*VLOOKUP('Données projet'!$B$10,Paramètres!$A$1:$I$89,5,0)</f>
        <v>99.215999999999994</v>
      </c>
      <c r="AK34" s="14">
        <f t="shared" si="35"/>
        <v>26.775134885576414</v>
      </c>
      <c r="AL34" s="22">
        <f t="shared" si="4"/>
        <v>219.43455992571219</v>
      </c>
      <c r="AM34" s="62">
        <f t="shared" si="5"/>
        <v>431.7743738758615</v>
      </c>
      <c r="AN34" s="62">
        <f ca="1">AVERAGE(OFFSET($AM$3,0,0,'Données projet'!$E$10+1,1))-AVERAGE(OFFSET($H$3,0,0,'Données projet'!$E$10+1,1))</f>
        <v>374.62597460242665</v>
      </c>
      <c r="AO34" s="62">
        <f t="shared" si="36"/>
        <v>277.50105097454616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442.97297823704645</v>
      </c>
      <c r="BI34" s="62">
        <f ca="1">AVERAGE(OFFSET($BH$3,0,0,'Données projet'!$E$11+1,1))-AVERAGE(OFFSET($H$3,0,0,'Données projet'!$E$11+1,1))</f>
        <v>409.68685886029164</v>
      </c>
      <c r="BJ34" s="62">
        <f t="shared" si="38"/>
        <v>330.8416508650887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4.7035569265240991</v>
      </c>
      <c r="BR34" s="23">
        <f>EXP(-LN(2)/2)*BR33+(1-EXP(-LN(2)/2))/(LN(2)/2)*BL34*BO34*VLOOKUP('Données projet'!$B$11,Paramètres!$A$1:$I$89,3,0)*0.475*44/12</f>
        <v>11.684339420382647</v>
      </c>
      <c r="BS34" s="24">
        <f t="shared" si="9"/>
        <v>16.387896346906746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601.08309165383571</v>
      </c>
      <c r="S35" s="62">
        <f ca="1">AVERAGE(OFFSET($R$3,0,0,'Données projet'!$E$9+1,1))-AVERAGE(OFFSET($H$3,0,0,'Données projet'!$E$9+1,1))</f>
        <v>211.70619219850786</v>
      </c>
      <c r="T35" s="62">
        <f t="shared" si="34"/>
        <v>426.883837098247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17</v>
      </c>
      <c r="AI35" s="14">
        <f>IF('Données projet'!$A$62&gt;35,AI34+AH35-AQ34,IF(A35&lt;'Données projet'!$A$62,$AF$205^A35,IF(A35='Données projet'!$A$62,'Données projet'!$B$62,AI34+AH35-AQ34)))</f>
        <v>229</v>
      </c>
      <c r="AJ35" s="14">
        <f>AI35*VLOOKUP('Données projet'!$B$10,Paramètres!$A$1:$I$89,3,0)*VLOOKUP('Données projet'!$B$10,Paramètres!$A$1:$I$89,5,0)</f>
        <v>107.172</v>
      </c>
      <c r="AK35" s="14">
        <f t="shared" si="35"/>
        <v>28.663679082578788</v>
      </c>
      <c r="AL35" s="22">
        <f t="shared" si="4"/>
        <v>236.58047440215805</v>
      </c>
      <c r="AM35" s="62">
        <f t="shared" si="5"/>
        <v>450.32534483922319</v>
      </c>
      <c r="AN35" s="62">
        <f ca="1">AVERAGE(OFFSET($AM$3,0,0,'Données projet'!$E$10+1,1))-AVERAGE(OFFSET($H$3,0,0,'Données projet'!$E$10+1,1))</f>
        <v>374.62597460242665</v>
      </c>
      <c r="AO35" s="62">
        <f t="shared" si="36"/>
        <v>277.50105097454616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463.17165786071587</v>
      </c>
      <c r="BI35" s="62">
        <f ca="1">AVERAGE(OFFSET($BH$3,0,0,'Données projet'!$E$11+1,1))-AVERAGE(OFFSET($H$3,0,0,'Données projet'!$E$11+1,1))</f>
        <v>409.68685886029164</v>
      </c>
      <c r="BJ35" s="62">
        <f t="shared" si="38"/>
        <v>330.8416508650887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4.5749379150189888</v>
      </c>
      <c r="BR35" s="23">
        <f>EXP(-LN(2)/2)*BR34+(1-EXP(-LN(2)/2))/(LN(2)/2)*BL35*BO35*VLOOKUP('Données projet'!$B$11,Paramètres!$A$1:$I$89,3,0)*0.475*44/12</f>
        <v>8.2620756378378655</v>
      </c>
      <c r="BS35" s="24">
        <f t="shared" si="9"/>
        <v>12.837013552856854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620.28536132222484</v>
      </c>
      <c r="S36" s="62">
        <f ca="1">AVERAGE(OFFSET($R$3,0,0,'Données projet'!$E$9+1,1))-AVERAGE(OFFSET($H$3,0,0,'Données projet'!$E$9+1,1))</f>
        <v>211.70619219850786</v>
      </c>
      <c r="T36" s="62">
        <f t="shared" si="34"/>
        <v>426.883837098247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17</v>
      </c>
      <c r="AI36" s="14">
        <f>IF('Données projet'!$A$62&gt;35,AI35+AH36-AQ35,IF(A36&lt;'Données projet'!$A$62,$AF$205^A36,IF(A36='Données projet'!$A$62,'Données projet'!$B$62,AI35+AH36-AQ35)))</f>
        <v>246</v>
      </c>
      <c r="AJ36" s="14">
        <f>AI36*VLOOKUP('Données projet'!$B$10,Paramètres!$A$1:$I$89,3,0)*VLOOKUP('Données projet'!$B$10,Paramètres!$A$1:$I$89,5,0)</f>
        <v>115.128</v>
      </c>
      <c r="AK36" s="14">
        <f t="shared" si="35"/>
        <v>30.53595882135</v>
      </c>
      <c r="AL36" s="22">
        <f t="shared" si="4"/>
        <v>253.69806161385125</v>
      </c>
      <c r="AM36" s="62">
        <f t="shared" si="5"/>
        <v>468.82361394901989</v>
      </c>
      <c r="AN36" s="62">
        <f ca="1">AVERAGE(OFFSET($AM$3,0,0,'Données projet'!$E$10+1,1))-AVERAGE(OFFSET($H$3,0,0,'Données projet'!$E$10+1,1))</f>
        <v>374.62597460242665</v>
      </c>
      <c r="AO36" s="62">
        <f t="shared" si="36"/>
        <v>277.50105097454616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483.31384995213097</v>
      </c>
      <c r="BI36" s="62">
        <f ca="1">AVERAGE(OFFSET($BH$3,0,0,'Données projet'!$E$11+1,1))-AVERAGE(OFFSET($H$3,0,0,'Données projet'!$E$11+1,1))</f>
        <v>409.68685886029164</v>
      </c>
      <c r="BJ36" s="62">
        <f t="shared" si="38"/>
        <v>330.8416508650887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4.4498359971472654</v>
      </c>
      <c r="BR36" s="23">
        <f>EXP(-LN(2)/2)*BR35+(1-EXP(-LN(2)/2))/(LN(2)/2)*BL36*BO36*VLOOKUP('Données projet'!$B$11,Paramètres!$A$1:$I$89,3,0)*0.475*44/12</f>
        <v>5.8421697101913246</v>
      </c>
      <c r="BS36" s="24">
        <f t="shared" si="9"/>
        <v>10.292005707338589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639.44673857065982</v>
      </c>
      <c r="S37" s="62">
        <f ca="1">AVERAGE(OFFSET($R$3,0,0,'Données projet'!$E$9+1,1))-AVERAGE(OFFSET($H$3,0,0,'Données projet'!$E$9+1,1))</f>
        <v>211.70619219850786</v>
      </c>
      <c r="T37" s="62">
        <f t="shared" si="34"/>
        <v>426.883837098247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17</v>
      </c>
      <c r="AI37" s="14">
        <f>IF('Données projet'!$A$62&gt;35,AI36+AH37-AQ36,IF(A37&lt;'Données projet'!$A$62,$AF$205^A37,IF(A37='Données projet'!$A$62,'Données projet'!$B$62,AI36+AH37-AQ36)))</f>
        <v>263</v>
      </c>
      <c r="AJ37" s="14">
        <f>AI37*VLOOKUP('Données projet'!$B$10,Paramètres!$A$1:$I$89,3,0)*VLOOKUP('Données projet'!$B$10,Paramètres!$A$1:$I$89,5,0)</f>
        <v>123.08399999999999</v>
      </c>
      <c r="AK37" s="14">
        <f t="shared" si="35"/>
        <v>32.393225926509828</v>
      </c>
      <c r="AL37" s="22">
        <f t="shared" si="4"/>
        <v>270.78950182200458</v>
      </c>
      <c r="AM37" s="62">
        <f t="shared" si="5"/>
        <v>487.271784311087</v>
      </c>
      <c r="AN37" s="62">
        <f ca="1">AVERAGE(OFFSET($AM$3,0,0,'Données projet'!$E$10+1,1))-AVERAGE(OFFSET($H$3,0,0,'Données projet'!$E$10+1,1))</f>
        <v>374.62597460242665</v>
      </c>
      <c r="AO37" s="62">
        <f t="shared" si="36"/>
        <v>277.50105097454616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503.40253953496938</v>
      </c>
      <c r="BI37" s="62">
        <f ca="1">AVERAGE(OFFSET($BH$3,0,0,'Données projet'!$E$11+1,1))-AVERAGE(OFFSET($H$3,0,0,'Données projet'!$E$11+1,1))</f>
        <v>409.68685886029164</v>
      </c>
      <c r="BJ37" s="62">
        <f t="shared" si="38"/>
        <v>330.8416508650887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4.3281549977985687</v>
      </c>
      <c r="BR37" s="23">
        <f>EXP(-LN(2)/2)*BR36+(1-EXP(-LN(2)/2))/(LN(2)/2)*BL37*BO37*VLOOKUP('Données projet'!$B$11,Paramètres!$A$1:$I$89,3,0)*0.475*44/12</f>
        <v>4.1310378189189327</v>
      </c>
      <c r="BS37" s="24">
        <f t="shared" si="9"/>
        <v>8.4591928167175006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211.70619219850786</v>
      </c>
      <c r="T38" s="62">
        <f t="shared" si="34"/>
        <v>426.883837098247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280</v>
      </c>
      <c r="AG38" s="13">
        <f>VLOOKUP(A38,'Données projet'!$A$61:$I$81,9,0)</f>
        <v>17</v>
      </c>
      <c r="AH38" s="13">
        <f t="array" ref="AH38">INDEX(AG:AG,MIN(IF(ISNUMBER(AG38:AG234),ROW(AG38:AG234),"")))</f>
        <v>17</v>
      </c>
      <c r="AI38" s="14">
        <f>IF('Données projet'!$A$62&gt;35,AI37+AH38-AQ37,IF(A38&lt;'Données projet'!$A$62,$AF$205^A38,IF(A38='Données projet'!$A$62,'Données projet'!$B$62,AI37+AH38-AQ37)))</f>
        <v>280</v>
      </c>
      <c r="AJ38" s="14">
        <f>AI38*VLOOKUP('Données projet'!$B$10,Paramètres!$A$1:$I$89,3,0)*VLOOKUP('Données projet'!$B$10,Paramètres!$A$1:$I$89,5,0)</f>
        <v>131.04</v>
      </c>
      <c r="AK38" s="14">
        <f t="shared" si="35"/>
        <v>34.236561238949918</v>
      </c>
      <c r="AL38" s="22">
        <f t="shared" si="4"/>
        <v>287.85667749117107</v>
      </c>
      <c r="AM38" s="62">
        <f t="shared" si="5"/>
        <v>505.67215389919102</v>
      </c>
      <c r="AN38" s="62">
        <f ca="1">AVERAGE(OFFSET($AM$3,0,0,'Données projet'!$E$10+1,1))-AVERAGE(OFFSET($H$3,0,0,'Données projet'!$E$10+1,1))</f>
        <v>374.62597460242665</v>
      </c>
      <c r="AO38" s="62">
        <f t="shared" si="36"/>
        <v>277.50105097454616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523.44034235376432</v>
      </c>
      <c r="BI38" s="62">
        <f ca="1">AVERAGE(OFFSET($BH$3,0,0,'Données projet'!$E$11+1,1))-AVERAGE(OFFSET($H$3,0,0,'Données projet'!$E$11+1,1))</f>
        <v>409.68685886029164</v>
      </c>
      <c r="BJ38" s="62">
        <f t="shared" si="38"/>
        <v>330.8416508650887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4.2098013717759875</v>
      </c>
      <c r="BR38" s="23">
        <f>EXP(-LN(2)/2)*BR37+(1-EXP(-LN(2)/2))/(LN(2)/2)*BL38*BO38*VLOOKUP('Données projet'!$B$11,Paramètres!$A$1:$I$89,3,0)*0.475*44/12</f>
        <v>2.9210848550956623</v>
      </c>
      <c r="BS38" s="24">
        <f t="shared" si="9"/>
        <v>7.1308862268716497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211.70619219850786</v>
      </c>
      <c r="T39" s="62">
        <f t="shared" si="34"/>
        <v>426.883837098247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299.57142857142856</v>
      </c>
      <c r="AJ39" s="14">
        <f>AI39*VLOOKUP('Données projet'!$B$10,Paramètres!$A$1:$I$89,3,0)*VLOOKUP('Données projet'!$B$10,Paramètres!$A$1:$I$89,5,0)</f>
        <v>140.19942857142857</v>
      </c>
      <c r="AK39" s="14">
        <f t="shared" si="35"/>
        <v>36.342687994625102</v>
      </c>
      <c r="AL39" s="22">
        <f t="shared" si="4"/>
        <v>307.47751968587681</v>
      </c>
      <c r="AM39" s="62">
        <f t="shared" si="5"/>
        <v>526.60306207891574</v>
      </c>
      <c r="AN39" s="62">
        <f ca="1">AVERAGE(OFFSET($AM$3,0,0,'Données projet'!$E$10+1,1))-AVERAGE(OFFSET($H$3,0,0,'Données projet'!$E$10+1,1))</f>
        <v>374.62597460242665</v>
      </c>
      <c r="AO39" s="62">
        <f t="shared" si="36"/>
        <v>277.50105097454616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490.65176354524328</v>
      </c>
      <c r="BI39" s="62">
        <f ca="1">AVERAGE(OFFSET($BH$3,0,0,'Données projet'!$E$11+1,1))-AVERAGE(OFFSET($H$3,0,0,'Données projet'!$E$11+1,1))</f>
        <v>409.68685886029164</v>
      </c>
      <c r="BJ39" s="62">
        <f t="shared" si="38"/>
        <v>330.8416508650887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4.0946841318809408</v>
      </c>
      <c r="BR39" s="23">
        <f>EXP(-LN(2)/2)*BR38+(1-EXP(-LN(2)/2))/(LN(2)/2)*BL39*BO39*VLOOKUP('Données projet'!$B$11,Paramètres!$A$1:$I$89,3,0)*0.475*44/12</f>
        <v>2.0655189094594664</v>
      </c>
      <c r="BS39" s="24">
        <f t="shared" si="9"/>
        <v>6.1602030413404076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211.70619219850786</v>
      </c>
      <c r="T40" s="62">
        <f t="shared" si="34"/>
        <v>426.883837098247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319.14285714285711</v>
      </c>
      <c r="AJ40" s="14">
        <f>AI40*VLOOKUP('Données projet'!$B$10,Paramètres!$A$1:$I$89,3,0)*VLOOKUP('Données projet'!$B$10,Paramètres!$A$1:$I$89,5,0)</f>
        <v>149.35885714285715</v>
      </c>
      <c r="AK40" s="14">
        <f t="shared" si="35"/>
        <v>38.432847302798578</v>
      </c>
      <c r="AL40" s="22">
        <f t="shared" si="4"/>
        <v>327.07055190951706</v>
      </c>
      <c r="AM40" s="62">
        <f t="shared" si="5"/>
        <v>547.48343357160388</v>
      </c>
      <c r="AN40" s="62">
        <f ca="1">AVERAGE(OFFSET($AM$3,0,0,'Données projet'!$E$10+1,1))-AVERAGE(OFFSET($H$3,0,0,'Données projet'!$E$10+1,1))</f>
        <v>374.62597460242665</v>
      </c>
      <c r="AO40" s="62">
        <f t="shared" si="36"/>
        <v>277.50105097454616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510.40969326440091</v>
      </c>
      <c r="BI40" s="62">
        <f ca="1">AVERAGE(OFFSET($BH$3,0,0,'Données projet'!$E$11+1,1))-AVERAGE(OFFSET($H$3,0,0,'Données projet'!$E$11+1,1))</f>
        <v>409.68685886029164</v>
      </c>
      <c r="BJ40" s="62">
        <f t="shared" si="38"/>
        <v>330.8416508650887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3.9827147789645765</v>
      </c>
      <c r="BR40" s="23">
        <f>EXP(-LN(2)/2)*BR39+(1-EXP(-LN(2)/2))/(LN(2)/2)*BL40*BO40*VLOOKUP('Données projet'!$B$11,Paramètres!$A$1:$I$89,3,0)*0.475*44/12</f>
        <v>1.4605424275478311</v>
      </c>
      <c r="BS40" s="24">
        <f t="shared" si="9"/>
        <v>5.4432572065124081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211.70619219850786</v>
      </c>
      <c r="T41" s="62">
        <f t="shared" si="34"/>
        <v>426.883837098247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338.71428571428567</v>
      </c>
      <c r="AJ41" s="14">
        <f>AI41*VLOOKUP('Données projet'!$B$10,Paramètres!$A$1:$I$89,3,0)*VLOOKUP('Données projet'!$B$10,Paramètres!$A$1:$I$89,5,0)</f>
        <v>158.5182857142857</v>
      </c>
      <c r="AK41" s="14">
        <f t="shared" si="35"/>
        <v>40.508129862224799</v>
      </c>
      <c r="AL41" s="22">
        <f t="shared" si="4"/>
        <v>346.63767379575575</v>
      </c>
      <c r="AM41" s="62">
        <f t="shared" si="5"/>
        <v>568.31556226863165</v>
      </c>
      <c r="AN41" s="62">
        <f ca="1">AVERAGE(OFFSET($AM$3,0,0,'Données projet'!$E$10+1,1))-AVERAGE(OFFSET($H$3,0,0,'Données projet'!$E$10+1,1))</f>
        <v>374.62597460242665</v>
      </c>
      <c r="AO41" s="62">
        <f t="shared" si="36"/>
        <v>277.50105097454616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530.11900796945133</v>
      </c>
      <c r="BI41" s="62">
        <f ca="1">AVERAGE(OFFSET($BH$3,0,0,'Données projet'!$E$11+1,1))-AVERAGE(OFFSET($H$3,0,0,'Données projet'!$E$11+1,1))</f>
        <v>409.68685886029164</v>
      </c>
      <c r="BJ41" s="62">
        <f t="shared" si="38"/>
        <v>330.8416508650887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3.8738072338919225</v>
      </c>
      <c r="BR41" s="23">
        <f>EXP(-LN(2)/2)*BR40+(1-EXP(-LN(2)/2))/(LN(2)/2)*BL41*BO41*VLOOKUP('Données projet'!$B$11,Paramètres!$A$1:$I$89,3,0)*0.475*44/12</f>
        <v>1.0327594547297332</v>
      </c>
      <c r="BS41" s="24">
        <f t="shared" si="9"/>
        <v>4.9065666886216555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211.70619219850786</v>
      </c>
      <c r="T42" s="62">
        <f t="shared" si="34"/>
        <v>426.883837098247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358.28571428571422</v>
      </c>
      <c r="AJ42" s="14">
        <f>AI42*VLOOKUP('Données projet'!$B$10,Paramètres!$A$1:$I$89,3,0)*VLOOKUP('Données projet'!$B$10,Paramètres!$A$1:$I$89,5,0)</f>
        <v>167.67771428571425</v>
      </c>
      <c r="AK42" s="14">
        <f t="shared" si="35"/>
        <v>42.569493207492975</v>
      </c>
      <c r="AL42" s="22">
        <f t="shared" si="4"/>
        <v>366.18055305066923</v>
      </c>
      <c r="AM42" s="62">
        <f t="shared" si="5"/>
        <v>589.10150329429871</v>
      </c>
      <c r="AN42" s="62">
        <f ca="1">AVERAGE(OFFSET($AM$3,0,0,'Données projet'!$E$10+1,1))-AVERAGE(OFFSET($H$3,0,0,'Données projet'!$E$10+1,1))</f>
        <v>374.62597460242665</v>
      </c>
      <c r="AO42" s="62">
        <f t="shared" si="36"/>
        <v>277.50105097454616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549.78188743910221</v>
      </c>
      <c r="BI42" s="62">
        <f ca="1">AVERAGE(OFFSET($BH$3,0,0,'Données projet'!$E$11+1,1))-AVERAGE(OFFSET($H$3,0,0,'Données projet'!$E$11+1,1))</f>
        <v>409.68685886029164</v>
      </c>
      <c r="BJ42" s="62">
        <f t="shared" si="38"/>
        <v>330.8416508650887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3.7678777713664791</v>
      </c>
      <c r="BR42" s="23">
        <f>EXP(-LN(2)/2)*BR41+(1-EXP(-LN(2)/2))/(LN(2)/2)*BL42*BO42*VLOOKUP('Données projet'!$B$11,Paramètres!$A$1:$I$89,3,0)*0.475*44/12</f>
        <v>0.73027121377391557</v>
      </c>
      <c r="BS42" s="24">
        <f t="shared" si="9"/>
        <v>4.4981489851403946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211.70619219850786</v>
      </c>
      <c r="T43" s="62">
        <f t="shared" si="34"/>
        <v>426.883837098247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377.85714285714278</v>
      </c>
      <c r="AJ43" s="14">
        <f>AI43*VLOOKUP('Données projet'!$B$10,Paramètres!$A$1:$I$89,3,0)*VLOOKUP('Données projet'!$B$10,Paramètres!$A$1:$I$89,5,0)</f>
        <v>176.83714285714279</v>
      </c>
      <c r="AK43" s="14">
        <f t="shared" si="35"/>
        <v>44.617784353930041</v>
      </c>
      <c r="AL43" s="22">
        <f t="shared" si="4"/>
        <v>385.70066489261848</v>
      </c>
      <c r="AM43" s="62">
        <f t="shared" si="5"/>
        <v>609.84311256434876</v>
      </c>
      <c r="AN43" s="62">
        <f ca="1">AVERAGE(OFFSET($AM$3,0,0,'Données projet'!$E$10+1,1))-AVERAGE(OFFSET($H$3,0,0,'Données projet'!$E$10+1,1))</f>
        <v>374.62597460242665</v>
      </c>
      <c r="AO43" s="62">
        <f t="shared" si="36"/>
        <v>277.50105097454616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569.40028623865931</v>
      </c>
      <c r="BI43" s="62">
        <f ca="1">AVERAGE(OFFSET($BH$3,0,0,'Données projet'!$E$11+1,1))-AVERAGE(OFFSET($H$3,0,0,'Données projet'!$E$11+1,1))</f>
        <v>409.68685886029164</v>
      </c>
      <c r="BJ43" s="62">
        <f t="shared" si="38"/>
        <v>330.8416508650887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3.6648449555643823</v>
      </c>
      <c r="BR43" s="23">
        <f>EXP(-LN(2)/2)*BR42+(1-EXP(-LN(2)/2))/(LN(2)/2)*BL43*BO43*VLOOKUP('Données projet'!$B$11,Paramètres!$A$1:$I$89,3,0)*0.475*44/12</f>
        <v>0.51637972736486659</v>
      </c>
      <c r="BS43" s="24">
        <f t="shared" si="9"/>
        <v>4.1812246829292485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211.70619219850786</v>
      </c>
      <c r="T44" s="62">
        <f t="shared" si="34"/>
        <v>426.883837098247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397.42857142857133</v>
      </c>
      <c r="AJ44" s="14">
        <f>AI44*VLOOKUP('Données projet'!$B$10,Paramètres!$A$1:$I$89,3,0)*VLOOKUP('Données projet'!$B$10,Paramètres!$A$1:$I$89,5,0)</f>
        <v>185.9965714285714</v>
      </c>
      <c r="AK44" s="14">
        <f t="shared" si="35"/>
        <v>46.653757617185917</v>
      </c>
      <c r="AL44" s="22">
        <f t="shared" si="4"/>
        <v>405.19932308802726</v>
      </c>
      <c r="AM44" s="62">
        <f t="shared" si="5"/>
        <v>630.54207793833984</v>
      </c>
      <c r="AN44" s="62">
        <f ca="1">AVERAGE(OFFSET($AM$3,0,0,'Données projet'!$E$10+1,1))-AVERAGE(OFFSET($H$3,0,0,'Données projet'!$E$10+1,1))</f>
        <v>374.62597460242665</v>
      </c>
      <c r="AO44" s="62">
        <f t="shared" si="36"/>
        <v>277.50105097454616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539.41467371184058</v>
      </c>
      <c r="BI44" s="62">
        <f ca="1">AVERAGE(OFFSET($BH$3,0,0,'Données projet'!$E$11+1,1))-AVERAGE(OFFSET($H$3,0,0,'Données projet'!$E$11+1,1))</f>
        <v>409.68685886029164</v>
      </c>
      <c r="BJ44" s="62">
        <f t="shared" si="38"/>
        <v>330.8416508650887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3.5646295775286543</v>
      </c>
      <c r="BR44" s="23">
        <f>EXP(-LN(2)/2)*BR43+(1-EXP(-LN(2)/2))/(LN(2)/2)*BL44*BO44*VLOOKUP('Données projet'!$B$11,Paramètres!$A$1:$I$89,3,0)*0.475*44/12</f>
        <v>0.36513560688695779</v>
      </c>
      <c r="BS44" s="24">
        <f t="shared" si="9"/>
        <v>3.9297651844156123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211.70619219850786</v>
      </c>
      <c r="T45" s="62">
        <f t="shared" si="34"/>
        <v>426.883837098247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417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416.99999999999989</v>
      </c>
      <c r="AJ45" s="14">
        <f>AI45*VLOOKUP('Données projet'!$B$10,Paramètres!$A$1:$I$89,3,0)*VLOOKUP('Données projet'!$B$10,Paramètres!$A$1:$I$89,5,0)</f>
        <v>195.15599999999995</v>
      </c>
      <c r="AK45" s="14">
        <f t="shared" si="35"/>
        <v>48.678088823054175</v>
      </c>
      <c r="AL45" s="22">
        <f t="shared" si="4"/>
        <v>424.67770470015256</v>
      </c>
      <c r="AM45" s="62">
        <f t="shared" si="5"/>
        <v>651.19994408298396</v>
      </c>
      <c r="AN45" s="62">
        <f ca="1">AVERAGE(OFFSET($AM$3,0,0,'Données projet'!$E$10+1,1))-AVERAGE(OFFSET($H$3,0,0,'Données projet'!$E$10+1,1))</f>
        <v>374.62597460242665</v>
      </c>
      <c r="AO45" s="62">
        <f t="shared" si="36"/>
        <v>277.50105097454616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561.81784647862253</v>
      </c>
      <c r="BI45" s="62">
        <f ca="1">AVERAGE(OFFSET($BH$3,0,0,'Données projet'!$E$11+1,1))-AVERAGE(OFFSET($H$3,0,0,'Données projet'!$E$11+1,1))</f>
        <v>409.68685886029164</v>
      </c>
      <c r="BJ45" s="62">
        <f t="shared" si="38"/>
        <v>330.8416508650887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3.467154594275411</v>
      </c>
      <c r="BR45" s="23">
        <f>EXP(-LN(2)/2)*BR44+(1-EXP(-LN(2)/2))/(LN(2)/2)*BL45*BO45*VLOOKUP('Données projet'!$B$11,Paramètres!$A$1:$I$89,3,0)*0.475*44/12</f>
        <v>0.2581898636824333</v>
      </c>
      <c r="BS45" s="24">
        <f t="shared" si="9"/>
        <v>3.7253444579578443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211.70619219850786</v>
      </c>
      <c r="T46" s="62">
        <f t="shared" si="34"/>
        <v>426.883837098247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256</v>
      </c>
      <c r="AG46" s="13">
        <f>VLOOKUP(A46,'Données projet'!$A$61:$I$81,9,0)</f>
        <v>21</v>
      </c>
      <c r="AH46" s="13">
        <f t="array" ref="AH46">INDEX(AG:AG,MIN(IF(ISNUMBER(AG46:AG242),ROW(AG46:AG242),"")))</f>
        <v>21</v>
      </c>
      <c r="AI46" s="14">
        <f>IF('Données projet'!$A$62&gt;35,AI45+AH46-AQ45,IF(A46&lt;'Données projet'!$A$62,$AF$205^A46,IF(A46='Données projet'!$A$62,'Données projet'!$B$62,AI45+AH46-AQ45)))</f>
        <v>255.99999999999989</v>
      </c>
      <c r="AJ46" s="14">
        <f>AI46*VLOOKUP('Données projet'!$B$10,Paramètres!$A$1:$I$89,3,0)*VLOOKUP('Données projet'!$B$10,Paramètres!$A$1:$I$89,5,0)</f>
        <v>119.80799999999995</v>
      </c>
      <c r="AK46" s="14">
        <f t="shared" si="35"/>
        <v>31.630214274643535</v>
      </c>
      <c r="AL46" s="22">
        <f t="shared" si="4"/>
        <v>263.75488986167073</v>
      </c>
      <c r="AM46" s="62">
        <f t="shared" si="5"/>
        <v>491.43615235731409</v>
      </c>
      <c r="AN46" s="62">
        <f ca="1">AVERAGE(OFFSET($AM$3,0,0,'Données projet'!$E$10+1,1))-AVERAGE(OFFSET($H$3,0,0,'Données projet'!$E$10+1,1))</f>
        <v>374.62597460242665</v>
      </c>
      <c r="AO46" s="62">
        <f t="shared" si="36"/>
        <v>277.50105097454616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584.17097382642714</v>
      </c>
      <c r="BI46" s="62">
        <f ca="1">AVERAGE(OFFSET($BH$3,0,0,'Données projet'!$E$11+1,1))-AVERAGE(OFFSET($H$3,0,0,'Données projet'!$E$11+1,1))</f>
        <v>409.68685886029164</v>
      </c>
      <c r="BJ46" s="62">
        <f t="shared" si="38"/>
        <v>330.8416508650887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3.3723450695652142</v>
      </c>
      <c r="BR46" s="23">
        <f>EXP(-LN(2)/2)*BR45+(1-EXP(-LN(2)/2))/(LN(2)/2)*BL46*BO46*VLOOKUP('Données projet'!$B$11,Paramètres!$A$1:$I$89,3,0)*0.475*44/12</f>
        <v>0.18256780344347889</v>
      </c>
      <c r="BS46" s="24">
        <f t="shared" si="9"/>
        <v>3.5549128730086932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211.70619219850786</v>
      </c>
      <c r="T47" s="62">
        <f t="shared" si="34"/>
        <v>426.883837098247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</v>
      </c>
      <c r="AI47" s="14">
        <f>IF('Données projet'!$A$62&gt;35,AI46+AH47-AQ46,IF(A47&lt;'Données projet'!$A$62,$AF$205^A47,IF(A47='Données projet'!$A$62,'Données projet'!$B$62,AI46+AH47-AQ46)))</f>
        <v>273.49999999999989</v>
      </c>
      <c r="AJ47" s="14">
        <f>AI47*VLOOKUP('Données projet'!$B$10,Paramètres!$A$1:$I$89,3,0)*VLOOKUP('Données projet'!$B$10,Paramètres!$A$1:$I$89,5,0)</f>
        <v>127.99799999999995</v>
      </c>
      <c r="AK47" s="14">
        <f t="shared" si="35"/>
        <v>33.533338894635314</v>
      </c>
      <c r="AL47" s="22">
        <f t="shared" si="4"/>
        <v>281.33374857482306</v>
      </c>
      <c r="AM47" s="62">
        <f t="shared" si="5"/>
        <v>510.15392772345865</v>
      </c>
      <c r="AN47" s="62">
        <f ca="1">AVERAGE(OFFSET($AM$3,0,0,'Données projet'!$E$10+1,1))-AVERAGE(OFFSET($H$3,0,0,'Données projet'!$E$10+1,1))</f>
        <v>374.62597460242665</v>
      </c>
      <c r="AO47" s="62">
        <f t="shared" si="36"/>
        <v>277.50105097454616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606.47641590597289</v>
      </c>
      <c r="BI47" s="62">
        <f ca="1">AVERAGE(OFFSET($BH$3,0,0,'Données projet'!$E$11+1,1))-AVERAGE(OFFSET($H$3,0,0,'Données projet'!$E$11+1,1))</f>
        <v>409.68685886029164</v>
      </c>
      <c r="BJ47" s="62">
        <f t="shared" si="38"/>
        <v>330.8416508650887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3.2801281162940339</v>
      </c>
      <c r="BR47" s="23">
        <f>EXP(-LN(2)/2)*BR46+(1-EXP(-LN(2)/2))/(LN(2)/2)*BL47*BO47*VLOOKUP('Données projet'!$B$11,Paramètres!$A$1:$I$89,3,0)*0.475*44/12</f>
        <v>0.12909493184121665</v>
      </c>
      <c r="BS47" s="24">
        <f t="shared" si="9"/>
        <v>3.4092230481352503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211.70619219850786</v>
      </c>
      <c r="T48" s="62">
        <f t="shared" si="34"/>
        <v>426.883837098247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</v>
      </c>
      <c r="AI48" s="14">
        <f>IF('Données projet'!$A$62&gt;35,AI47+AH48-AQ47,IF(A48&lt;'Données projet'!$A$62,$AF$205^A48,IF(A48='Données projet'!$A$62,'Données projet'!$B$62,AI47+AH48-AQ47)))</f>
        <v>290.99999999999989</v>
      </c>
      <c r="AJ48" s="14">
        <f>AI48*VLOOKUP('Données projet'!$B$10,Paramètres!$A$1:$I$89,3,0)*VLOOKUP('Données projet'!$B$10,Paramètres!$A$1:$I$89,5,0)</f>
        <v>136.18799999999993</v>
      </c>
      <c r="AK48" s="14">
        <f t="shared" si="35"/>
        <v>35.422331714503152</v>
      </c>
      <c r="AL48" s="22">
        <f t="shared" si="4"/>
        <v>298.88799440275955</v>
      </c>
      <c r="AM48" s="62">
        <f t="shared" si="5"/>
        <v>528.82733254669404</v>
      </c>
      <c r="AN48" s="62">
        <f ca="1">AVERAGE(OFFSET($AM$3,0,0,'Données projet'!$E$10+1,1))-AVERAGE(OFFSET($H$3,0,0,'Données projet'!$E$10+1,1))</f>
        <v>374.62597460242665</v>
      </c>
      <c r="AO48" s="62">
        <f t="shared" si="36"/>
        <v>277.50105097454616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628.73628368121558</v>
      </c>
      <c r="BI48" s="62">
        <f ca="1">AVERAGE(OFFSET($BH$3,0,0,'Données projet'!$E$11+1,1))-AVERAGE(OFFSET($H$3,0,0,'Données projet'!$E$11+1,1))</f>
        <v>409.68685886029164</v>
      </c>
      <c r="BJ48" s="62">
        <f t="shared" si="38"/>
        <v>330.8416508650887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3.1904328404595326</v>
      </c>
      <c r="BR48" s="23">
        <f>EXP(-LN(2)/2)*BR47+(1-EXP(-LN(2)/2))/(LN(2)/2)*BL48*BO48*VLOOKUP('Données projet'!$B$11,Paramètres!$A$1:$I$89,3,0)*0.475*44/12</f>
        <v>9.1283901721739447E-2</v>
      </c>
      <c r="BS48" s="24">
        <f t="shared" si="9"/>
        <v>3.2817167421812719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211.70619219850786</v>
      </c>
      <c r="T49" s="62">
        <f t="shared" si="34"/>
        <v>426.883837098247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308.49999999999989</v>
      </c>
      <c r="AJ49" s="14">
        <f>AI49*VLOOKUP('Données projet'!$B$10,Paramètres!$A$1:$I$89,3,0)*VLOOKUP('Données projet'!$B$10,Paramètres!$A$1:$I$89,5,0)</f>
        <v>144.37799999999996</v>
      </c>
      <c r="AK49" s="14">
        <f t="shared" si="35"/>
        <v>37.298139369272413</v>
      </c>
      <c r="AL49" s="22">
        <f t="shared" si="4"/>
        <v>316.41927606814937</v>
      </c>
      <c r="AM49" s="62">
        <f t="shared" si="5"/>
        <v>547.45835830087913</v>
      </c>
      <c r="AN49" s="62">
        <f ca="1">AVERAGE(OFFSET($AM$3,0,0,'Données projet'!$E$10+1,1))-AVERAGE(OFFSET($H$3,0,0,'Données projet'!$E$10+1,1))</f>
        <v>374.62597460242665</v>
      </c>
      <c r="AO49" s="62">
        <f t="shared" si="36"/>
        <v>277.50105097454616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584.46633556304732</v>
      </c>
      <c r="BI49" s="62">
        <f ca="1">AVERAGE(OFFSET($BH$3,0,0,'Données projet'!$E$11+1,1))-AVERAGE(OFFSET($H$3,0,0,'Données projet'!$E$11+1,1))</f>
        <v>409.68685886029164</v>
      </c>
      <c r="BJ49" s="62">
        <f t="shared" si="38"/>
        <v>330.8416508650887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3.1031902866595953</v>
      </c>
      <c r="BR49" s="23">
        <f>EXP(-LN(2)/2)*BR48+(1-EXP(-LN(2)/2))/(LN(2)/2)*BL49*BO49*VLOOKUP('Données projet'!$B$11,Paramètres!$A$1:$I$89,3,0)*0.475*44/12</f>
        <v>6.4547465920608324E-2</v>
      </c>
      <c r="BS49" s="24">
        <f t="shared" si="9"/>
        <v>3.1677377525802037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211.70619219850786</v>
      </c>
      <c r="T50" s="62">
        <f t="shared" si="34"/>
        <v>426.883837098247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325.99999999999989</v>
      </c>
      <c r="AJ50" s="14">
        <f>AI50*VLOOKUP('Données projet'!$B$10,Paramètres!$A$1:$I$89,3,0)*VLOOKUP('Données projet'!$B$10,Paramètres!$A$1:$I$89,5,0)</f>
        <v>152.56799999999996</v>
      </c>
      <c r="AK50" s="14">
        <f t="shared" si="35"/>
        <v>39.161595030150863</v>
      </c>
      <c r="AL50" s="22">
        <f t="shared" si="4"/>
        <v>333.92904467751265</v>
      </c>
      <c r="AM50" s="62">
        <f t="shared" si="5"/>
        <v>566.04879289775636</v>
      </c>
      <c r="AN50" s="62">
        <f ca="1">AVERAGE(OFFSET($AM$3,0,0,'Données projet'!$E$10+1,1))-AVERAGE(OFFSET($H$3,0,0,'Données projet'!$E$10+1,1))</f>
        <v>374.62597460242665</v>
      </c>
      <c r="AO50" s="62">
        <f t="shared" si="36"/>
        <v>277.50105097454616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607.73698860345019</v>
      </c>
      <c r="BI50" s="62">
        <f ca="1">AVERAGE(OFFSET($BH$3,0,0,'Données projet'!$E$11+1,1))-AVERAGE(OFFSET($H$3,0,0,'Données projet'!$E$11+1,1))</f>
        <v>409.68685886029164</v>
      </c>
      <c r="BJ50" s="62">
        <f t="shared" si="38"/>
        <v>330.8416508650887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3.018333385081204</v>
      </c>
      <c r="BR50" s="23">
        <f>EXP(-LN(2)/2)*BR49+(1-EXP(-LN(2)/2))/(LN(2)/2)*BL50*BO50*VLOOKUP('Données projet'!$B$11,Paramètres!$A$1:$I$89,3,0)*0.475*44/12</f>
        <v>4.5641950860869723E-2</v>
      </c>
      <c r="BS50" s="24">
        <f t="shared" si="9"/>
        <v>3.0639753359420738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211.70619219850786</v>
      </c>
      <c r="T51" s="62">
        <f t="shared" si="34"/>
        <v>426.883837098247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343.49999999999989</v>
      </c>
      <c r="AJ51" s="14">
        <f>AI51*VLOOKUP('Données projet'!$B$10,Paramètres!$A$1:$I$89,3,0)*VLOOKUP('Données projet'!$B$10,Paramètres!$A$1:$I$89,5,0)</f>
        <v>160.75799999999995</v>
      </c>
      <c r="AK51" s="14">
        <f t="shared" si="35"/>
        <v>41.013437365421375</v>
      </c>
      <c r="AL51" s="22">
        <f t="shared" si="4"/>
        <v>351.41858674477544</v>
      </c>
      <c r="AM51" s="62">
        <f t="shared" si="5"/>
        <v>584.60025381365699</v>
      </c>
      <c r="AN51" s="62">
        <f ca="1">AVERAGE(OFFSET($AM$3,0,0,'Données projet'!$E$10+1,1))-AVERAGE(OFFSET($H$3,0,0,'Données projet'!$E$10+1,1))</f>
        <v>374.62597460242665</v>
      </c>
      <c r="AO51" s="62">
        <f t="shared" si="36"/>
        <v>277.50105097454616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630.96035138536604</v>
      </c>
      <c r="BI51" s="62">
        <f ca="1">AVERAGE(OFFSET($BH$3,0,0,'Données projet'!$E$11+1,1))-AVERAGE(OFFSET($H$3,0,0,'Données projet'!$E$11+1,1))</f>
        <v>409.68685886029164</v>
      </c>
      <c r="BJ51" s="62">
        <f t="shared" si="38"/>
        <v>330.8416508650887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2.9357968999389041</v>
      </c>
      <c r="BR51" s="23">
        <f>EXP(-LN(2)/2)*BR50+(1-EXP(-LN(2)/2))/(LN(2)/2)*BL51*BO51*VLOOKUP('Données projet'!$B$11,Paramètres!$A$1:$I$89,3,0)*0.475*44/12</f>
        <v>3.2273732960304162E-2</v>
      </c>
      <c r="BS51" s="24">
        <f t="shared" si="9"/>
        <v>2.9680706328992081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211.70619219850786</v>
      </c>
      <c r="T52" s="62">
        <f t="shared" si="34"/>
        <v>426.883837098247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</v>
      </c>
      <c r="AG52" s="13">
        <f>VLOOKUP(A52,'Données projet'!$A$61:$I$81,9,0)</f>
        <v>17.5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360.99999999999989</v>
      </c>
      <c r="AJ52" s="14">
        <f>AI52*VLOOKUP('Données projet'!$B$10,Paramètres!$A$1:$I$89,3,0)*VLOOKUP('Données projet'!$B$10,Paramètres!$A$1:$I$89,5,0)</f>
        <v>168.94799999999995</v>
      </c>
      <c r="AK52" s="14">
        <f t="shared" si="35"/>
        <v>42.854325527446242</v>
      </c>
      <c r="AL52" s="22">
        <f t="shared" si="4"/>
        <v>368.88905029363542</v>
      </c>
      <c r="AM52" s="62">
        <f t="shared" si="5"/>
        <v>603.11421429322581</v>
      </c>
      <c r="AN52" s="62">
        <f ca="1">AVERAGE(OFFSET($AM$3,0,0,'Données projet'!$E$10+1,1))-AVERAGE(OFFSET($H$3,0,0,'Données projet'!$E$10+1,1))</f>
        <v>374.62597460242665</v>
      </c>
      <c r="AO52" s="62">
        <f t="shared" si="36"/>
        <v>277.50105097454616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654.1385618452764</v>
      </c>
      <c r="BI52" s="62">
        <f ca="1">AVERAGE(OFFSET($BH$3,0,0,'Données projet'!$E$11+1,1))-AVERAGE(OFFSET($H$3,0,0,'Données projet'!$E$11+1,1))</f>
        <v>409.68685886029164</v>
      </c>
      <c r="BJ52" s="62">
        <f t="shared" si="38"/>
        <v>330.8416508650887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2.8555173793232256</v>
      </c>
      <c r="BR52" s="23">
        <f>EXP(-LN(2)/2)*BR51+(1-EXP(-LN(2)/2))/(LN(2)/2)*BL52*BO52*VLOOKUP('Données projet'!$B$11,Paramètres!$A$1:$I$89,3,0)*0.475*44/12</f>
        <v>2.2820975430434862E-2</v>
      </c>
      <c r="BS52" s="24">
        <f t="shared" si="9"/>
        <v>2.8783383547536605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211.70619219850786</v>
      </c>
      <c r="T53" s="62">
        <f t="shared" si="34"/>
        <v>426.883837098247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278</v>
      </c>
      <c r="AG53" s="13">
        <f>VLOOKUP(A53,'Données projet'!$A$61:$I$81,9,0)</f>
        <v>17</v>
      </c>
      <c r="AH53" s="13">
        <f t="array" ref="AH53">INDEX(AG:AG,MIN(IF(ISNUMBER(AG53:AG249),ROW(AG53:AG249),"")))</f>
        <v>17</v>
      </c>
      <c r="AI53" s="14">
        <f>IF('Données projet'!$A$62&gt;35,AI52+AH53-AQ52,IF(A53&lt;'Données projet'!$A$62,$AF$205^A53,IF(A53='Données projet'!$A$62,'Données projet'!$B$62,AI52+AH53-AQ52)))</f>
        <v>277.99999999999989</v>
      </c>
      <c r="AJ53" s="14">
        <f>AI53*VLOOKUP('Données projet'!$B$10,Paramètres!$A$1:$I$89,3,0)*VLOOKUP('Données projet'!$B$10,Paramètres!$A$1:$I$89,5,0)</f>
        <v>130.10399999999996</v>
      </c>
      <c r="AK53" s="14">
        <f t="shared" si="35"/>
        <v>34.020389560268086</v>
      </c>
      <c r="AL53" s="22">
        <f t="shared" si="4"/>
        <v>285.84997848413349</v>
      </c>
      <c r="AM53" s="62">
        <f t="shared" si="5"/>
        <v>521.10053707559473</v>
      </c>
      <c r="AN53" s="62">
        <f ca="1">AVERAGE(OFFSET($AM$3,0,0,'Données projet'!$E$10+1,1))-AVERAGE(OFFSET($H$3,0,0,'Données projet'!$E$10+1,1))</f>
        <v>374.62597460242665</v>
      </c>
      <c r="AO53" s="62">
        <f t="shared" si="36"/>
        <v>277.50105097454616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677.27354568983674</v>
      </c>
      <c r="BI53" s="62">
        <f ca="1">AVERAGE(OFFSET($BH$3,0,0,'Données projet'!$E$11+1,1))-AVERAGE(OFFSET($H$3,0,0,'Données projet'!$E$11+1,1))</f>
        <v>409.68685886029164</v>
      </c>
      <c r="BJ53" s="62">
        <f t="shared" si="38"/>
        <v>330.8416508650887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2.7774331064204993</v>
      </c>
      <c r="BR53" s="23">
        <f>EXP(-LN(2)/2)*BR52+(1-EXP(-LN(2)/2))/(LN(2)/2)*BL53*BO53*VLOOKUP('Données projet'!$B$11,Paramètres!$A$1:$I$89,3,0)*0.475*44/12</f>
        <v>1.6136866480152081E-2</v>
      </c>
      <c r="BS53" s="24">
        <f t="shared" si="9"/>
        <v>2.7935699729006513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211.70619219850786</v>
      </c>
      <c r="T54" s="62">
        <f t="shared" si="34"/>
        <v>426.883837098247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294.99999999999989</v>
      </c>
      <c r="AJ54" s="14">
        <f>AI54*VLOOKUP('Données projet'!$B$10,Paramètres!$A$1:$I$89,3,0)*VLOOKUP('Données projet'!$B$10,Paramètres!$A$1:$I$89,5,0)</f>
        <v>138.05999999999995</v>
      </c>
      <c r="AK54" s="14">
        <f t="shared" si="35"/>
        <v>35.85221845159689</v>
      </c>
      <c r="AL54" s="22">
        <f t="shared" si="4"/>
        <v>302.89711380319778</v>
      </c>
      <c r="AM54" s="62">
        <f t="shared" si="5"/>
        <v>539.15527868279958</v>
      </c>
      <c r="AN54" s="62">
        <f ca="1">AVERAGE(OFFSET($AM$3,0,0,'Données projet'!$E$10+1,1))-AVERAGE(OFFSET($H$3,0,0,'Données projet'!$E$10+1,1))</f>
        <v>374.62597460242665</v>
      </c>
      <c r="AO54" s="62">
        <f t="shared" si="36"/>
        <v>277.50105097454616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633.30493907374387</v>
      </c>
      <c r="BI54" s="62">
        <f ca="1">AVERAGE(OFFSET($BH$3,0,0,'Données projet'!$E$11+1,1))-AVERAGE(OFFSET($H$3,0,0,'Données projet'!$E$11+1,1))</f>
        <v>409.68685886029164</v>
      </c>
      <c r="BJ54" s="62">
        <f t="shared" si="38"/>
        <v>330.8416508650887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2.7014840520665717</v>
      </c>
      <c r="BR54" s="23">
        <f>EXP(-LN(2)/2)*BR53+(1-EXP(-LN(2)/2))/(LN(2)/2)*BL54*BO54*VLOOKUP('Données projet'!$B$11,Paramètres!$A$1:$I$89,3,0)*0.475*44/12</f>
        <v>1.1410487715217431E-2</v>
      </c>
      <c r="BS54" s="24">
        <f t="shared" si="9"/>
        <v>2.712894539781789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211.70619219850786</v>
      </c>
      <c r="T55" s="62">
        <f t="shared" si="34"/>
        <v>426.883837098247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311.99999999999989</v>
      </c>
      <c r="AJ55" s="14">
        <f>AI55*VLOOKUP('Données projet'!$B$10,Paramètres!$A$1:$I$89,3,0)*VLOOKUP('Données projet'!$B$10,Paramètres!$A$1:$I$89,5,0)</f>
        <v>146.01599999999993</v>
      </c>
      <c r="AK55" s="14">
        <f t="shared" si="35"/>
        <v>37.671793767891103</v>
      </c>
      <c r="AL55" s="22">
        <f t="shared" si="4"/>
        <v>319.92290747907685</v>
      </c>
      <c r="AM55" s="62">
        <f t="shared" si="5"/>
        <v>557.17119893039023</v>
      </c>
      <c r="AN55" s="62">
        <f ca="1">AVERAGE(OFFSET($AM$3,0,0,'Données projet'!$E$10+1,1))-AVERAGE(OFFSET($H$3,0,0,'Données projet'!$E$10+1,1))</f>
        <v>374.62597460242665</v>
      </c>
      <c r="AO55" s="62">
        <f t="shared" si="36"/>
        <v>277.50105097454616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656.71670348504767</v>
      </c>
      <c r="BI55" s="62">
        <f ca="1">AVERAGE(OFFSET($BH$3,0,0,'Données projet'!$E$11+1,1))-AVERAGE(OFFSET($H$3,0,0,'Données projet'!$E$11+1,1))</f>
        <v>409.68685886029164</v>
      </c>
      <c r="BJ55" s="62">
        <f t="shared" si="38"/>
        <v>330.8416508650887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2.6276118285979395</v>
      </c>
      <c r="BR55" s="23">
        <f>EXP(-LN(2)/2)*BR54+(1-EXP(-LN(2)/2))/(LN(2)/2)*BL55*BO55*VLOOKUP('Données projet'!$B$11,Paramètres!$A$1:$I$89,3,0)*0.475*44/12</f>
        <v>8.0684332400760405E-3</v>
      </c>
      <c r="BS55" s="24">
        <f t="shared" si="9"/>
        <v>2.6356802618380155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211.70619219850786</v>
      </c>
      <c r="T56" s="62">
        <f t="shared" si="34"/>
        <v>426.883837098247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328.99999999999989</v>
      </c>
      <c r="AJ56" s="14">
        <f>AI56*VLOOKUP('Données projet'!$B$10,Paramètres!$A$1:$I$89,3,0)*VLOOKUP('Données projet'!$B$10,Paramètres!$A$1:$I$89,5,0)</f>
        <v>153.97199999999995</v>
      </c>
      <c r="AK56" s="14">
        <f t="shared" si="35"/>
        <v>39.479859284656378</v>
      </c>
      <c r="AL56" s="22">
        <f t="shared" si="4"/>
        <v>336.92865492077641</v>
      </c>
      <c r="AM56" s="62">
        <f t="shared" si="5"/>
        <v>575.1498964613736</v>
      </c>
      <c r="AN56" s="62">
        <f ca="1">AVERAGE(OFFSET($AM$3,0,0,'Données projet'!$E$10+1,1))-AVERAGE(OFFSET($H$3,0,0,'Données projet'!$E$10+1,1))</f>
        <v>374.62597460242665</v>
      </c>
      <c r="AO56" s="62">
        <f t="shared" si="36"/>
        <v>277.50105097454616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680.08548149292778</v>
      </c>
      <c r="BI56" s="62">
        <f ca="1">AVERAGE(OFFSET($BH$3,0,0,'Données projet'!$E$11+1,1))-AVERAGE(OFFSET($H$3,0,0,'Données projet'!$E$11+1,1))</f>
        <v>409.68685886029164</v>
      </c>
      <c r="BJ56" s="62">
        <f t="shared" si="38"/>
        <v>330.8416508650887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2.5557596449648283</v>
      </c>
      <c r="BR56" s="23">
        <f>EXP(-LN(2)/2)*BR55+(1-EXP(-LN(2)/2))/(LN(2)/2)*BL56*BO56*VLOOKUP('Données projet'!$B$11,Paramètres!$A$1:$I$89,3,0)*0.475*44/12</f>
        <v>5.7052438576087154E-3</v>
      </c>
      <c r="BS56" s="24">
        <f t="shared" si="9"/>
        <v>2.5614648888224369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211.70619219850786</v>
      </c>
      <c r="T57" s="62">
        <f t="shared" si="34"/>
        <v>426.883837098247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345.99999999999989</v>
      </c>
      <c r="AJ57" s="14">
        <f>AI57*VLOOKUP('Données projet'!$B$10,Paramètres!$A$1:$I$89,3,0)*VLOOKUP('Données projet'!$B$10,Paramètres!$A$1:$I$89,5,0)</f>
        <v>161.92799999999994</v>
      </c>
      <c r="AK57" s="14">
        <f t="shared" si="35"/>
        <v>41.277077571585316</v>
      </c>
      <c r="AL57" s="22">
        <f t="shared" si="4"/>
        <v>353.91551010384433</v>
      </c>
      <c r="AM57" s="62">
        <f t="shared" si="5"/>
        <v>593.09282322486672</v>
      </c>
      <c r="AN57" s="62">
        <f ca="1">AVERAGE(OFFSET($AM$3,0,0,'Données projet'!$E$10+1,1))-AVERAGE(OFFSET($H$3,0,0,'Données projet'!$E$10+1,1))</f>
        <v>374.62597460242665</v>
      </c>
      <c r="AO57" s="62">
        <f t="shared" si="36"/>
        <v>277.50105097454616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703.41306216683165</v>
      </c>
      <c r="BI57" s="62">
        <f ca="1">AVERAGE(OFFSET($BH$3,0,0,'Données projet'!$E$11+1,1))-AVERAGE(OFFSET($H$3,0,0,'Données projet'!$E$11+1,1))</f>
        <v>409.68685886029164</v>
      </c>
      <c r="BJ57" s="62">
        <f t="shared" si="38"/>
        <v>330.8416508650887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2.4858722630717067</v>
      </c>
      <c r="BR57" s="23">
        <f>EXP(-LN(2)/2)*BR56+(1-EXP(-LN(2)/2))/(LN(2)/2)*BL57*BO57*VLOOKUP('Données projet'!$B$11,Paramètres!$A$1:$I$89,3,0)*0.475*44/12</f>
        <v>4.0342166200380202E-3</v>
      </c>
      <c r="BS57" s="24">
        <f t="shared" si="9"/>
        <v>2.4899064796917449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211.70619219850786</v>
      </c>
      <c r="T58" s="62">
        <f t="shared" si="34"/>
        <v>426.883837098247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362.99999999999989</v>
      </c>
      <c r="AJ58" s="14">
        <f>AI58*VLOOKUP('Données projet'!$B$10,Paramètres!$A$1:$I$89,3,0)*VLOOKUP('Données projet'!$B$10,Paramètres!$A$1:$I$89,5,0)</f>
        <v>169.88399999999993</v>
      </c>
      <c r="AK58" s="14">
        <f t="shared" si="35"/>
        <v>43.064042412117296</v>
      </c>
      <c r="AL58" s="22">
        <f t="shared" si="4"/>
        <v>370.8845072011041</v>
      </c>
      <c r="AM58" s="62">
        <f t="shared" si="5"/>
        <v>611.00130619808726</v>
      </c>
      <c r="AN58" s="62">
        <f ca="1">AVERAGE(OFFSET($AM$3,0,0,'Données projet'!$E$10+1,1))-AVERAGE(OFFSET($H$3,0,0,'Données projet'!$E$10+1,1))</f>
        <v>374.62597460242665</v>
      </c>
      <c r="AO58" s="62">
        <f t="shared" si="36"/>
        <v>277.50105097454616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726.70107407698151</v>
      </c>
      <c r="BI58" s="62">
        <f ca="1">AVERAGE(OFFSET($BH$3,0,0,'Données projet'!$E$11+1,1))-AVERAGE(OFFSET($H$3,0,0,'Données projet'!$E$11+1,1))</f>
        <v>409.68685886029164</v>
      </c>
      <c r="BJ58" s="62">
        <f t="shared" si="38"/>
        <v>330.8416508650887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2.4178959553116703</v>
      </c>
      <c r="BR58" s="23">
        <f>EXP(-LN(2)/2)*BR57+(1-EXP(-LN(2)/2))/(LN(2)/2)*BL58*BO58*VLOOKUP('Données projet'!$B$11,Paramètres!$A$1:$I$89,3,0)*0.475*44/12</f>
        <v>2.8526219288043577E-3</v>
      </c>
      <c r="BS58" s="24">
        <f t="shared" si="9"/>
        <v>2.4207485772404747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211.70619219850786</v>
      </c>
      <c r="T59" s="62">
        <f t="shared" si="34"/>
        <v>426.883837098247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380</v>
      </c>
      <c r="AG59" s="13">
        <f>VLOOKUP(A59,'Données projet'!$A$61:$I$81,9,0)</f>
        <v>17</v>
      </c>
      <c r="AH59" s="13">
        <f t="array" ref="AH59">INDEX(AG:AG,MIN(IF(ISNUMBER(AG59:AG255),ROW(AG59:AG255),"")))</f>
        <v>17</v>
      </c>
      <c r="AI59" s="14">
        <f>IF('Données projet'!$A$62&gt;35,AI58+AH59-AQ58,IF(A59&lt;'Données projet'!$A$62,$AF$205^A59,IF(A59='Données projet'!$A$62,'Données projet'!$B$62,AI58+AH59-AQ58)))</f>
        <v>379.99999999999989</v>
      </c>
      <c r="AJ59" s="14">
        <f>AI59*VLOOKUP('Données projet'!$B$10,Paramètres!$A$1:$I$89,3,0)*VLOOKUP('Données projet'!$B$10,Paramètres!$A$1:$I$89,5,0)</f>
        <v>177.83999999999995</v>
      </c>
      <c r="AK59" s="14">
        <f t="shared" si="35"/>
        <v>44.841288830609102</v>
      </c>
      <c r="AL59" s="22">
        <f t="shared" si="4"/>
        <v>387.83657804664409</v>
      </c>
      <c r="AM59" s="62">
        <f t="shared" si="5"/>
        <v>628.87656494001567</v>
      </c>
      <c r="AN59" s="62">
        <f ca="1">AVERAGE(OFFSET($AM$3,0,0,'Données projet'!$E$10+1,1))-AVERAGE(OFFSET($H$3,0,0,'Données projet'!$E$10+1,1))</f>
        <v>374.62597460242665</v>
      </c>
      <c r="AO59" s="62">
        <f t="shared" si="36"/>
        <v>277.50105097454616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749.95100810066879</v>
      </c>
      <c r="BI59" s="62">
        <f ca="1">AVERAGE(OFFSET($BH$3,0,0,'Données projet'!$E$11+1,1))-AVERAGE(OFFSET($H$3,0,0,'Données projet'!$E$11+1,1))</f>
        <v>409.68685886029164</v>
      </c>
      <c r="BJ59" s="62">
        <f t="shared" si="38"/>
        <v>330.8416508650887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2.3517784632620504</v>
      </c>
      <c r="BR59" s="23">
        <f>EXP(-LN(2)/2)*BR58+(1-EXP(-LN(2)/2))/(LN(2)/2)*BL59*BO59*VLOOKUP('Données projet'!$B$11,Paramètres!$A$1:$I$89,3,0)*0.475*44/12</f>
        <v>2.0171083100190101E-3</v>
      </c>
      <c r="BS59" s="24">
        <f t="shared" si="9"/>
        <v>2.3537955715720695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211.70619219850786</v>
      </c>
      <c r="T60" s="62">
        <f t="shared" si="34"/>
        <v>426.883837098247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</v>
      </c>
      <c r="AG60" s="13">
        <f>VLOOKUP(A60,'Données projet'!$A$61:$I$81,9,0)</f>
        <v>15</v>
      </c>
      <c r="AH60" s="13">
        <f t="array" ref="AH60">INDEX(AG:AG,MIN(IF(ISNUMBER(AG60:AG256),ROW(AG60:AG256),"")))</f>
        <v>15</v>
      </c>
      <c r="AI60" s="14">
        <f>IF('Données projet'!$A$62&gt;35,AI59+AH60-AQ59,IF(A60&lt;'Données projet'!$A$62,$AF$205^A60,IF(A60='Données projet'!$A$62,'Données projet'!$B$62,AI59+AH60-AQ59)))</f>
        <v>315.99999999999989</v>
      </c>
      <c r="AJ60" s="14">
        <f>AI60*VLOOKUP('Données projet'!$B$10,Paramètres!$A$1:$I$89,3,0)*VLOOKUP('Données projet'!$B$10,Paramètres!$A$1:$I$89,5,0)</f>
        <v>147.88799999999995</v>
      </c>
      <c r="AK60" s="14">
        <f t="shared" si="35"/>
        <v>38.098230660204834</v>
      </c>
      <c r="AL60" s="22">
        <f t="shared" si="4"/>
        <v>323.92601839985667</v>
      </c>
      <c r="AM60" s="62">
        <f t="shared" si="5"/>
        <v>565.8731779435534</v>
      </c>
      <c r="AN60" s="62">
        <f ca="1">AVERAGE(OFFSET($AM$3,0,0,'Données projet'!$E$10+1,1))-AVERAGE(OFFSET($H$3,0,0,'Données projet'!$E$10+1,1))</f>
        <v>374.62597460242665</v>
      </c>
      <c r="AO60" s="62">
        <f t="shared" si="36"/>
        <v>277.50105097454616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773.16423603407748</v>
      </c>
      <c r="BI60" s="62">
        <f ca="1">AVERAGE(OFFSET($BH$3,0,0,'Données projet'!$E$11+1,1))-AVERAGE(OFFSET($H$3,0,0,'Données projet'!$E$11+1,1))</f>
        <v>409.68685886029164</v>
      </c>
      <c r="BJ60" s="62">
        <f t="shared" si="38"/>
        <v>330.8416508650887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2.2874689575094953</v>
      </c>
      <c r="BR60" s="23">
        <f>EXP(-LN(2)/2)*BR59+(1-EXP(-LN(2)/2))/(LN(2)/2)*BL60*BO60*VLOOKUP('Données projet'!$B$11,Paramètres!$A$1:$I$89,3,0)*0.475*44/12</f>
        <v>1.4263109644021789E-3</v>
      </c>
      <c r="BS60" s="24">
        <f t="shared" si="9"/>
        <v>2.2888952684738975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211.70619219850786</v>
      </c>
      <c r="T61" s="62">
        <f t="shared" si="34"/>
        <v>426.883837098247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16.666666666666668</v>
      </c>
      <c r="AI61" s="14">
        <f>IF('Données projet'!$A$62&gt;35,AI60+AH61-AQ60,IF(A61&lt;'Données projet'!$A$62,$AF$205^A61,IF(A61='Données projet'!$A$62,'Données projet'!$B$62,AI60+AH61-AQ60)))</f>
        <v>332.66666666666657</v>
      </c>
      <c r="AJ61" s="14">
        <f>AI61*VLOOKUP('Données projet'!$B$10,Paramètres!$A$1:$I$89,3,0)*VLOOKUP('Données projet'!$B$10,Paramètres!$A$1:$I$89,5,0)</f>
        <v>155.68799999999996</v>
      </c>
      <c r="AK61" s="14">
        <f t="shared" si="35"/>
        <v>39.868390761764985</v>
      </c>
      <c r="AL61" s="22">
        <f t="shared" si="4"/>
        <v>340.5940472434072</v>
      </c>
      <c r="AM61" s="62">
        <f t="shared" si="5"/>
        <v>583.43264202008027</v>
      </c>
      <c r="AN61" s="62">
        <f ca="1">AVERAGE(OFFSET($AM$3,0,0,'Données projet'!$E$10+1,1))-AVERAGE(OFFSET($H$3,0,0,'Données projet'!$E$10+1,1))</f>
        <v>374.62597460242665</v>
      </c>
      <c r="AO61" s="62">
        <f t="shared" si="36"/>
        <v>277.50105097454616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796.34202593055784</v>
      </c>
      <c r="BI61" s="62">
        <f ca="1">AVERAGE(OFFSET($BH$3,0,0,'Données projet'!$E$11+1,1))-AVERAGE(OFFSET($H$3,0,0,'Données projet'!$E$11+1,1))</f>
        <v>409.68685886029164</v>
      </c>
      <c r="BJ61" s="62">
        <f t="shared" si="38"/>
        <v>330.8416508650887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2.2249179985736336</v>
      </c>
      <c r="BR61" s="23">
        <f>EXP(-LN(2)/2)*BR60+(1-EXP(-LN(2)/2))/(LN(2)/2)*BL61*BO61*VLOOKUP('Données projet'!$B$11,Paramètres!$A$1:$I$89,3,0)*0.475*44/12</f>
        <v>1.0085541550095051E-3</v>
      </c>
      <c r="BS61" s="24">
        <f t="shared" si="9"/>
        <v>2.2259265527286431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211.70619219850786</v>
      </c>
      <c r="T62" s="62">
        <f t="shared" si="34"/>
        <v>426.883837098247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16.666666666666668</v>
      </c>
      <c r="AI62" s="14">
        <f>IF('Données projet'!$A$62&gt;35,AI61+AH62-AQ61,IF(A62&lt;'Données projet'!$A$62,$AF$205^A62,IF(A62='Données projet'!$A$62,'Données projet'!$B$62,AI61+AH62-AQ61)))</f>
        <v>349.33333333333326</v>
      </c>
      <c r="AJ62" s="14">
        <f>AI62*VLOOKUP('Données projet'!$B$10,Paramètres!$A$1:$I$89,3,0)*VLOOKUP('Données projet'!$B$10,Paramètres!$A$1:$I$89,5,0)</f>
        <v>163.48799999999994</v>
      </c>
      <c r="AK62" s="14">
        <f t="shared" si="35"/>
        <v>41.628253379180116</v>
      </c>
      <c r="AL62" s="22">
        <f t="shared" si="4"/>
        <v>357.24414130207191</v>
      </c>
      <c r="AM62" s="62">
        <f t="shared" si="5"/>
        <v>600.95870690337961</v>
      </c>
      <c r="AN62" s="62">
        <f ca="1">AVERAGE(OFFSET($AM$3,0,0,'Données projet'!$E$10+1,1))-AVERAGE(OFFSET($H$3,0,0,'Données projet'!$E$10+1,1))</f>
        <v>374.62597460242665</v>
      </c>
      <c r="AO62" s="62">
        <f t="shared" si="36"/>
        <v>277.50105097454616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719.52361853784328</v>
      </c>
      <c r="BI62" s="62">
        <f ca="1">AVERAGE(OFFSET($BH$3,0,0,'Données projet'!$E$11+1,1))-AVERAGE(OFFSET($H$3,0,0,'Données projet'!$E$11+1,1))</f>
        <v>409.68685886029164</v>
      </c>
      <c r="BJ62" s="62">
        <f t="shared" si="38"/>
        <v>330.8416508650887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2.1640774988992852</v>
      </c>
      <c r="BR62" s="23">
        <f>EXP(-LN(2)/2)*BR61+(1-EXP(-LN(2)/2))/(LN(2)/2)*BL62*BO62*VLOOKUP('Données projet'!$B$11,Paramètres!$A$1:$I$89,3,0)*0.475*44/12</f>
        <v>7.1315548220108943E-4</v>
      </c>
      <c r="BS62" s="24">
        <f t="shared" si="9"/>
        <v>2.1647906543814863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211.70619219850786</v>
      </c>
      <c r="T63" s="62">
        <f t="shared" si="34"/>
        <v>426.883837098247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16.666666666666668</v>
      </c>
      <c r="AI63" s="14">
        <f>IF('Données projet'!$A$62&gt;35,AI62+AH63-AQ62,IF(A63&lt;'Données projet'!$A$62,$AF$205^A63,IF(A63='Données projet'!$A$62,'Données projet'!$B$62,AI62+AH63-AQ62)))</f>
        <v>365.99999999999994</v>
      </c>
      <c r="AJ63" s="14">
        <f>AI63*VLOOKUP('Données projet'!$B$10,Paramètres!$A$1:$I$89,3,0)*VLOOKUP('Données projet'!$B$10,Paramètres!$A$1:$I$89,5,0)</f>
        <v>171.28799999999995</v>
      </c>
      <c r="AK63" s="14">
        <f t="shared" si="35"/>
        <v>43.378365895721338</v>
      </c>
      <c r="AL63" s="22">
        <f t="shared" si="4"/>
        <v>373.87725393504792</v>
      </c>
      <c r="AM63" s="62">
        <f t="shared" si="5"/>
        <v>618.45259422556023</v>
      </c>
      <c r="AN63" s="62">
        <f ca="1">AVERAGE(OFFSET($AM$3,0,0,'Données projet'!$E$10+1,1))-AVERAGE(OFFSET($H$3,0,0,'Données projet'!$E$10+1,1))</f>
        <v>374.62597460242665</v>
      </c>
      <c r="AO63" s="62">
        <f t="shared" si="36"/>
        <v>277.50105097454616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741.45472454817491</v>
      </c>
      <c r="BI63" s="62">
        <f ca="1">AVERAGE(OFFSET($BH$3,0,0,'Données projet'!$E$11+1,1))-AVERAGE(OFFSET($H$3,0,0,'Données projet'!$E$11+1,1))</f>
        <v>409.68685886029164</v>
      </c>
      <c r="BJ63" s="62">
        <f t="shared" si="38"/>
        <v>330.8416508650887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2.1049006858879946</v>
      </c>
      <c r="BR63" s="23">
        <f>EXP(-LN(2)/2)*BR62+(1-EXP(-LN(2)/2))/(LN(2)/2)*BL63*BO63*VLOOKUP('Données projet'!$B$11,Paramètres!$A$1:$I$89,3,0)*0.475*44/12</f>
        <v>5.0427707750475253E-4</v>
      </c>
      <c r="BS63" s="24">
        <f t="shared" si="9"/>
        <v>2.1054049629654994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211.70619219850786</v>
      </c>
      <c r="T64" s="62">
        <f t="shared" si="34"/>
        <v>426.883837098247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16.666666666666668</v>
      </c>
      <c r="AI64" s="14">
        <f>IF('Données projet'!$A$62&gt;35,AI63+AH64-AQ63,IF(A64&lt;'Données projet'!$A$62,$AF$205^A64,IF(A64='Données projet'!$A$62,'Données projet'!$B$62,AI63+AH64-AQ63)))</f>
        <v>382.66666666666663</v>
      </c>
      <c r="AJ64" s="14">
        <f>AI64*VLOOKUP('Données projet'!$B$10,Paramètres!$A$1:$I$89,3,0)*VLOOKUP('Données projet'!$B$10,Paramètres!$A$1:$I$89,5,0)</f>
        <v>179.08799999999999</v>
      </c>
      <c r="AK64" s="14">
        <f t="shared" si="35"/>
        <v>45.119223023956835</v>
      </c>
      <c r="AL64" s="22">
        <f t="shared" si="4"/>
        <v>390.49424676672476</v>
      </c>
      <c r="AM64" s="62">
        <f t="shared" si="5"/>
        <v>635.91542922998792</v>
      </c>
      <c r="AN64" s="62">
        <f ca="1">AVERAGE(OFFSET($AM$3,0,0,'Données projet'!$E$10+1,1))-AVERAGE(OFFSET($H$3,0,0,'Données projet'!$E$10+1,1))</f>
        <v>374.62597460242665</v>
      </c>
      <c r="AO64" s="62">
        <f t="shared" si="36"/>
        <v>277.50105097454616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763.35197879764303</v>
      </c>
      <c r="BI64" s="62">
        <f ca="1">AVERAGE(OFFSET($BH$3,0,0,'Données projet'!$E$11+1,1))-AVERAGE(OFFSET($H$3,0,0,'Données projet'!$E$11+1,1))</f>
        <v>409.68685886029164</v>
      </c>
      <c r="BJ64" s="62">
        <f t="shared" si="38"/>
        <v>330.8416508650887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2.0473420659404713</v>
      </c>
      <c r="BR64" s="23">
        <f>EXP(-LN(2)/2)*BR63+(1-EXP(-LN(2)/2))/(LN(2)/2)*BL64*BO64*VLOOKUP('Données projet'!$B$11,Paramètres!$A$1:$I$89,3,0)*0.475*44/12</f>
        <v>3.5657774110054471E-4</v>
      </c>
      <c r="BS64" s="24">
        <f t="shared" si="9"/>
        <v>2.0476986436815721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211.70619219850786</v>
      </c>
      <c r="T65" s="62">
        <f t="shared" si="34"/>
        <v>426.883837098247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16.666666666666668</v>
      </c>
      <c r="AI65" s="14">
        <f>IF('Données projet'!$A$62&gt;35,AI64+AH65-AQ64,IF(A65&lt;'Données projet'!$A$62,$AF$205^A65,IF(A65='Données projet'!$A$62,'Données projet'!$B$62,AI64+AH65-AQ64)))</f>
        <v>399.33333333333331</v>
      </c>
      <c r="AJ65" s="14">
        <f>AI65*VLOOKUP('Données projet'!$B$10,Paramètres!$A$1:$I$89,3,0)*VLOOKUP('Données projet'!$B$10,Paramètres!$A$1:$I$89,5,0)</f>
        <v>186.88800000000001</v>
      </c>
      <c r="AK65" s="14">
        <f t="shared" si="35"/>
        <v>46.851273946133198</v>
      </c>
      <c r="AL65" s="22">
        <f t="shared" si="4"/>
        <v>407.09590212284866</v>
      </c>
      <c r="AM65" s="62">
        <f t="shared" si="5"/>
        <v>653.34825328818533</v>
      </c>
      <c r="AN65" s="62">
        <f ca="1">AVERAGE(OFFSET($AM$3,0,0,'Données projet'!$E$10+1,1))-AVERAGE(OFFSET($H$3,0,0,'Données projet'!$E$10+1,1))</f>
        <v>374.62597460242665</v>
      </c>
      <c r="AO65" s="62">
        <f t="shared" si="36"/>
        <v>277.50105097454616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785.21651686007863</v>
      </c>
      <c r="BI65" s="62">
        <f ca="1">AVERAGE(OFFSET($BH$3,0,0,'Données projet'!$E$11+1,1))-AVERAGE(OFFSET($H$3,0,0,'Données projet'!$E$11+1,1))</f>
        <v>409.68685886029164</v>
      </c>
      <c r="BJ65" s="62">
        <f t="shared" si="38"/>
        <v>330.8416508650887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1.9913573894822891</v>
      </c>
      <c r="BR65" s="23">
        <f>EXP(-LN(2)/2)*BR64+(1-EXP(-LN(2)/2))/(LN(2)/2)*BL65*BO65*VLOOKUP('Données projet'!$B$11,Paramètres!$A$1:$I$89,3,0)*0.475*44/12</f>
        <v>2.5213853875237627E-4</v>
      </c>
      <c r="BS65" s="24">
        <f t="shared" si="9"/>
        <v>1.9916095280210415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211.70619219850786</v>
      </c>
      <c r="T66" s="62">
        <f t="shared" si="34"/>
        <v>426.883837098247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</v>
      </c>
      <c r="AG66" s="13">
        <f>VLOOKUP(A66,'Données projet'!$A$61:$I$81,9,0)</f>
        <v>16.666666666666668</v>
      </c>
      <c r="AH66" s="13">
        <f t="array" ref="AH66">INDEX(AG:AG,MIN(IF(ISNUMBER(AG66:AG262),ROW(AG66:AG262),"")))</f>
        <v>16.666666666666668</v>
      </c>
      <c r="AI66" s="14">
        <f>IF('Données projet'!$A$62&gt;35,AI65+AH66-AQ65,IF(A66&lt;'Données projet'!$A$62,$AF$205^A66,IF(A66='Données projet'!$A$62,'Données projet'!$B$62,AI65+AH66-AQ65)))</f>
        <v>416</v>
      </c>
      <c r="AJ66" s="14">
        <f>AI66*VLOOKUP('Données projet'!$B$10,Paramètres!$A$1:$I$89,3,0)*VLOOKUP('Données projet'!$B$10,Paramètres!$A$1:$I$89,5,0)</f>
        <v>194.68799999999999</v>
      </c>
      <c r="AK66" s="14">
        <f t="shared" si="35"/>
        <v>48.574928228914978</v>
      </c>
      <c r="AL66" s="22">
        <f t="shared" si="4"/>
        <v>423.68293333202695</v>
      </c>
      <c r="AM66" s="62">
        <f t="shared" si="5"/>
        <v>670.75203428067096</v>
      </c>
      <c r="AN66" s="62">
        <f ca="1">AVERAGE(OFFSET($AM$3,0,0,'Données projet'!$E$10+1,1))-AVERAGE(OFFSET($H$3,0,0,'Données projet'!$E$10+1,1))</f>
        <v>374.62597460242665</v>
      </c>
      <c r="AO66" s="62">
        <f t="shared" si="36"/>
        <v>277.50105097454616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807.04939587961292</v>
      </c>
      <c r="BI66" s="62">
        <f ca="1">AVERAGE(OFFSET($BH$3,0,0,'Données projet'!$E$11+1,1))-AVERAGE(OFFSET($H$3,0,0,'Données projet'!$E$11+1,1))</f>
        <v>409.68685886029164</v>
      </c>
      <c r="BJ66" s="62">
        <f t="shared" si="38"/>
        <v>330.8416508650887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1.9369036169459621</v>
      </c>
      <c r="BR66" s="23">
        <f>EXP(-LN(2)/2)*BR65+(1-EXP(-LN(2)/2))/(LN(2)/2)*BL66*BO66*VLOOKUP('Données projet'!$B$11,Paramètres!$A$1:$I$89,3,0)*0.475*44/12</f>
        <v>1.7828887055027236E-4</v>
      </c>
      <c r="BS66" s="24">
        <f t="shared" si="9"/>
        <v>1.9370819058165125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211.70619219850786</v>
      </c>
      <c r="T67" s="62">
        <f t="shared" si="34"/>
        <v>426.883837098247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</v>
      </c>
      <c r="AG67" s="13">
        <f>VLOOKUP(A67,'Données projet'!$A$61:$I$81,9,0)</f>
        <v>16</v>
      </c>
      <c r="AH67" s="13">
        <f t="array" ref="AH67">INDEX(AG:AG,MIN(IF(ISNUMBER(AG67:AG263),ROW(AG67:AG263),"")))</f>
        <v>16</v>
      </c>
      <c r="AI67" s="14">
        <f>IF('Données projet'!$A$62&gt;35,AI66+AH67-AQ66,IF(A67&lt;'Données projet'!$A$62,$AF$205^A67,IF(A67='Données projet'!$A$62,'Données projet'!$B$62,AI66+AH67-AQ66)))</f>
        <v>353</v>
      </c>
      <c r="AJ67" s="14">
        <f>AI67*VLOOKUP('Données projet'!$B$10,Paramètres!$A$1:$I$89,3,0)*VLOOKUP('Données projet'!$B$10,Paramètres!$A$1:$I$89,5,0)</f>
        <v>165.20400000000001</v>
      </c>
      <c r="AK67" s="14">
        <f t="shared" si="35"/>
        <v>42.01409666579589</v>
      </c>
      <c r="AL67" s="22">
        <f t="shared" si="4"/>
        <v>360.90485169292782</v>
      </c>
      <c r="AM67" s="62">
        <f t="shared" si="5"/>
        <v>608.77653364211767</v>
      </c>
      <c r="AN67" s="62">
        <f ca="1">AVERAGE(OFFSET($AM$3,0,0,'Données projet'!$E$10+1,1))-AVERAGE(OFFSET($H$3,0,0,'Données projet'!$E$10+1,1))</f>
        <v>374.62597460242665</v>
      </c>
      <c r="AO67" s="62">
        <f t="shared" si="36"/>
        <v>277.50105097454616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828.85160348200725</v>
      </c>
      <c r="BI67" s="62">
        <f ca="1">AVERAGE(OFFSET($BH$3,0,0,'Données projet'!$E$11+1,1))-AVERAGE(OFFSET($H$3,0,0,'Données projet'!$E$11+1,1))</f>
        <v>409.68685886029164</v>
      </c>
      <c r="BJ67" s="62">
        <f t="shared" si="38"/>
        <v>330.8416508650887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1.8839388856832404</v>
      </c>
      <c r="BR67" s="23">
        <f>EXP(-LN(2)/2)*BR66+(1-EXP(-LN(2)/2))/(LN(2)/2)*BL67*BO67*VLOOKUP('Données projet'!$B$11,Paramètres!$A$1:$I$89,3,0)*0.475*44/12</f>
        <v>1.2606926937618813E-4</v>
      </c>
      <c r="BS67" s="24">
        <f t="shared" si="9"/>
        <v>1.8840649549526165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211.70619219850786</v>
      </c>
      <c r="T68" s="62">
        <f t="shared" si="34"/>
        <v>426.883837098247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16.142857142857142</v>
      </c>
      <c r="AI68" s="14">
        <f>IF('Données projet'!$A$62&gt;35,AI67+AH68-AQ67,IF(A68&lt;'Données projet'!$A$62,$AF$205^A68,IF(A68='Données projet'!$A$62,'Données projet'!$B$62,AI67+AH68-AQ67)))</f>
        <v>369.14285714285717</v>
      </c>
      <c r="AJ68" s="14">
        <f>AI68*VLOOKUP('Données projet'!$B$10,Paramètres!$A$1:$I$89,3,0)*VLOOKUP('Données projet'!$B$10,Paramètres!$A$1:$I$89,5,0)</f>
        <v>172.75885714285715</v>
      </c>
      <c r="AK68" s="14">
        <f t="shared" si="35"/>
        <v>43.707335703690283</v>
      </c>
      <c r="AL68" s="22">
        <f t="shared" ref="AL68:AL131" si="58">(AJ68+AK68)*0.475*44/12</f>
        <v>377.01195254107012</v>
      </c>
      <c r="AM68" s="62">
        <f t="shared" ref="AM68:AM131" si="59">AL68+(AD68+AE68)*44/12</f>
        <v>625.67229250474861</v>
      </c>
      <c r="AN68" s="62">
        <f ca="1">AVERAGE(OFFSET($AM$3,0,0,'Données projet'!$E$10+1,1))-AVERAGE(OFFSET($H$3,0,0,'Données projet'!$E$10+1,1))</f>
        <v>374.62597460242665</v>
      </c>
      <c r="AO68" s="62">
        <f t="shared" si="36"/>
        <v>277.50105097454616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850.62406534181741</v>
      </c>
      <c r="BI68" s="62">
        <f ca="1">AVERAGE(OFFSET($BH$3,0,0,'Données projet'!$E$11+1,1))-AVERAGE(OFFSET($H$3,0,0,'Données projet'!$E$11+1,1))</f>
        <v>409.68685886029164</v>
      </c>
      <c r="BJ68" s="62">
        <f t="shared" si="38"/>
        <v>330.8416508650887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1.832422477782192</v>
      </c>
      <c r="BR68" s="23">
        <f>EXP(-LN(2)/2)*BR67+(1-EXP(-LN(2)/2))/(LN(2)/2)*BL68*BO68*VLOOKUP('Données projet'!$B$11,Paramètres!$A$1:$I$89,3,0)*0.475*44/12</f>
        <v>8.9144435275136178E-5</v>
      </c>
      <c r="BS68" s="24">
        <f t="shared" ref="BS68:BS131" si="63">SUM(BP68:BR68)</f>
        <v>1.8325116222174671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211.70619219850786</v>
      </c>
      <c r="T69" s="62">
        <f t="shared" ref="T69:T132" si="88">$T$3</f>
        <v>426.883837098247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16.142857142857142</v>
      </c>
      <c r="AI69" s="14">
        <f>IF('Données projet'!$A$62&gt;35,AI68+AH69-AQ68,IF(A69&lt;'Données projet'!$A$62,$AF$205^A69,IF(A69='Données projet'!$A$62,'Données projet'!$B$62,AI68+AH69-AQ68)))</f>
        <v>385.28571428571433</v>
      </c>
      <c r="AJ69" s="14">
        <f>AI69*VLOOKUP('Données projet'!$B$10,Paramètres!$A$1:$I$89,3,0)*VLOOKUP('Données projet'!$B$10,Paramètres!$A$1:$I$89,5,0)</f>
        <v>180.3137142857143</v>
      </c>
      <c r="AK69" s="14">
        <f t="shared" ref="AK69:AK132" si="89">EXP(-1.0587+0.8836*LN(AJ69)+0.284)</f>
        <v>45.391974740208404</v>
      </c>
      <c r="AL69" s="22">
        <f t="shared" si="58"/>
        <v>393.10407505348206</v>
      </c>
      <c r="AM69" s="62">
        <f t="shared" si="59"/>
        <v>642.53939157827313</v>
      </c>
      <c r="AN69" s="62">
        <f ca="1">AVERAGE(OFFSET($AM$3,0,0,'Données projet'!$E$10+1,1))-AVERAGE(OFFSET($H$3,0,0,'Données projet'!$E$10+1,1))</f>
        <v>374.62597460242665</v>
      </c>
      <c r="AO69" s="62">
        <f t="shared" ref="AO69:AO132" si="90">$AO$3</f>
        <v>277.50105097454616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872.36765165013912</v>
      </c>
      <c r="BI69" s="62">
        <f ca="1">AVERAGE(OFFSET($BH$3,0,0,'Données projet'!$E$11+1,1))-AVERAGE(OFFSET($H$3,0,0,'Données projet'!$E$11+1,1))</f>
        <v>409.68685886029164</v>
      </c>
      <c r="BJ69" s="62">
        <f t="shared" ref="BJ69:BJ132" si="92">$BJ$3</f>
        <v>330.8416508650887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1.782314788764328</v>
      </c>
      <c r="BR69" s="23">
        <f>EXP(-LN(2)/2)*BR68+(1-EXP(-LN(2)/2))/(LN(2)/2)*BL69*BO69*VLOOKUP('Données projet'!$B$11,Paramètres!$A$1:$I$89,3,0)*0.475*44/12</f>
        <v>6.3034634688094066E-5</v>
      </c>
      <c r="BS69" s="24">
        <f t="shared" si="63"/>
        <v>1.7823778233990162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211.70619219850786</v>
      </c>
      <c r="T70" s="62">
        <f t="shared" si="88"/>
        <v>426.883837098247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16.142857142857142</v>
      </c>
      <c r="AI70" s="14">
        <f>IF('Données projet'!$A$62&gt;35,AI69+AH70-AQ69,IF(A70&lt;'Données projet'!$A$62,$AF$205^A70,IF(A70='Données projet'!$A$62,'Données projet'!$B$62,AI69+AH70-AQ69)))</f>
        <v>401.4285714285715</v>
      </c>
      <c r="AJ70" s="14">
        <f>AI70*VLOOKUP('Données projet'!$B$10,Paramètres!$A$1:$I$89,3,0)*VLOOKUP('Données projet'!$B$10,Paramètres!$A$1:$I$89,5,0)</f>
        <v>187.86857142857147</v>
      </c>
      <c r="AK70" s="14">
        <f t="shared" si="89"/>
        <v>47.068415303981318</v>
      </c>
      <c r="AL70" s="22">
        <f t="shared" si="58"/>
        <v>409.18191855919605</v>
      </c>
      <c r="AM70" s="62">
        <f t="shared" si="59"/>
        <v>659.37876753435239</v>
      </c>
      <c r="AN70" s="62">
        <f ca="1">AVERAGE(OFFSET($AM$3,0,0,'Données projet'!$E$10+1,1))-AVERAGE(OFFSET($H$3,0,0,'Données projet'!$E$10+1,1))</f>
        <v>374.62597460242665</v>
      </c>
      <c r="AO70" s="62">
        <f t="shared" si="90"/>
        <v>277.50105097454616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807.33383702866126</v>
      </c>
      <c r="BI70" s="62">
        <f ca="1">AVERAGE(OFFSET($BH$3,0,0,'Données projet'!$E$11+1,1))-AVERAGE(OFFSET($H$3,0,0,'Données projet'!$E$11+1,1))</f>
        <v>409.68685886029164</v>
      </c>
      <c r="BJ70" s="62">
        <f t="shared" si="92"/>
        <v>330.8416508650887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1.7335772971377064</v>
      </c>
      <c r="BR70" s="23">
        <f>EXP(-LN(2)/2)*BR69+(1-EXP(-LN(2)/2))/(LN(2)/2)*BL70*BO70*VLOOKUP('Données projet'!$B$11,Paramètres!$A$1:$I$89,3,0)*0.475*44/12</f>
        <v>4.4572217637568089E-5</v>
      </c>
      <c r="BS70" s="24">
        <f t="shared" si="63"/>
        <v>1.733621869355344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211.70619219850786</v>
      </c>
      <c r="T71" s="62">
        <f t="shared" si="88"/>
        <v>426.883837098247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16.142857142857142</v>
      </c>
      <c r="AI71" s="14">
        <f>IF('Données projet'!$A$62&gt;35,AI70+AH71-AQ70,IF(A71&lt;'Données projet'!$A$62,$AF$205^A71,IF(A71='Données projet'!$A$62,'Données projet'!$B$62,AI70+AH71-AQ70)))</f>
        <v>417.57142857142867</v>
      </c>
      <c r="AJ71" s="14">
        <f>AI71*VLOOKUP('Données projet'!$B$10,Paramètres!$A$1:$I$89,3,0)*VLOOKUP('Données projet'!$B$10,Paramètres!$A$1:$I$89,5,0)</f>
        <v>195.42342857142864</v>
      </c>
      <c r="AK71" s="14">
        <f t="shared" si="89"/>
        <v>48.737024802067147</v>
      </c>
      <c r="AL71" s="22">
        <f t="shared" si="58"/>
        <v>425.24612295883844</v>
      </c>
      <c r="AM71" s="62">
        <f t="shared" si="59"/>
        <v>676.1912934988776</v>
      </c>
      <c r="AN71" s="62">
        <f ca="1">AVERAGE(OFFSET($AM$3,0,0,'Données projet'!$E$10+1,1))-AVERAGE(OFFSET($H$3,0,0,'Données projet'!$E$10+1,1))</f>
        <v>374.62597460242665</v>
      </c>
      <c r="AO71" s="62">
        <f t="shared" si="90"/>
        <v>277.50105097454616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824.34813864844114</v>
      </c>
      <c r="BI71" s="62">
        <f ca="1">AVERAGE(OFFSET($BH$3,0,0,'Données projet'!$E$11+1,1))-AVERAGE(OFFSET($H$3,0,0,'Données projet'!$E$11+1,1))</f>
        <v>409.68685886029164</v>
      </c>
      <c r="BJ71" s="62">
        <f t="shared" si="92"/>
        <v>330.8416508650887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1.686172534782608</v>
      </c>
      <c r="BR71" s="23">
        <f>EXP(-LN(2)/2)*BR70+(1-EXP(-LN(2)/2))/(LN(2)/2)*BL71*BO71*VLOOKUP('Données projet'!$B$11,Paramètres!$A$1:$I$89,3,0)*0.475*44/12</f>
        <v>3.1517317344047033E-5</v>
      </c>
      <c r="BS71" s="24">
        <f t="shared" si="63"/>
        <v>1.6862040520999519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211.70619219850786</v>
      </c>
      <c r="T72" s="62">
        <f t="shared" si="88"/>
        <v>426.883837098247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16.142857142857142</v>
      </c>
      <c r="AI72" s="14">
        <f>IF('Données projet'!$A$62&gt;35,AI71+AH72-AQ71,IF(A72&lt;'Données projet'!$A$62,$AF$205^A72,IF(A72='Données projet'!$A$62,'Données projet'!$B$62,AI71+AH72-AQ71)))</f>
        <v>433.71428571428584</v>
      </c>
      <c r="AJ72" s="14">
        <f>AI72*VLOOKUP('Données projet'!$B$10,Paramètres!$A$1:$I$89,3,0)*VLOOKUP('Données projet'!$B$10,Paramètres!$A$1:$I$89,5,0)</f>
        <v>202.97828571428576</v>
      </c>
      <c r="AK72" s="14">
        <f t="shared" si="89"/>
        <v>50.398140625785402</v>
      </c>
      <c r="AL72" s="22">
        <f t="shared" si="58"/>
        <v>441.29727587562394</v>
      </c>
      <c r="AM72" s="62">
        <f t="shared" si="59"/>
        <v>692.97778627439175</v>
      </c>
      <c r="AN72" s="62">
        <f ca="1">AVERAGE(OFFSET($AM$3,0,0,'Données projet'!$E$10+1,1))-AVERAGE(OFFSET($H$3,0,0,'Données projet'!$E$10+1,1))</f>
        <v>374.62597460242665</v>
      </c>
      <c r="AO72" s="62">
        <f t="shared" si="90"/>
        <v>277.50105097454616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841.33982648016979</v>
      </c>
      <c r="BI72" s="62">
        <f ca="1">AVERAGE(OFFSET($BH$3,0,0,'Données projet'!$E$11+1,1))-AVERAGE(OFFSET($H$3,0,0,'Données projet'!$E$11+1,1))</f>
        <v>409.68685886029164</v>
      </c>
      <c r="BJ72" s="62">
        <f t="shared" si="92"/>
        <v>330.8416508650887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1.6400640581470178</v>
      </c>
      <c r="BR72" s="23">
        <f>EXP(-LN(2)/2)*BR71+(1-EXP(-LN(2)/2))/(LN(2)/2)*BL72*BO72*VLOOKUP('Données projet'!$B$11,Paramètres!$A$1:$I$89,3,0)*0.475*44/12</f>
        <v>2.2286108818784045E-5</v>
      </c>
      <c r="BS72" s="24">
        <f t="shared" si="63"/>
        <v>1.6400863442558367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211.70619219850786</v>
      </c>
      <c r="T73" s="62">
        <f t="shared" si="88"/>
        <v>426.883837098247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16.142857142857142</v>
      </c>
      <c r="AI73" s="14">
        <f>IF('Données projet'!$A$62&gt;35,AI72+AH73-AQ72,IF(A73&lt;'Données projet'!$A$62,$AF$205^A73,IF(A73='Données projet'!$A$62,'Données projet'!$B$62,AI72+AH73-AQ72)))</f>
        <v>449.857142857143</v>
      </c>
      <c r="AJ73" s="14">
        <f>AI73*VLOOKUP('Données projet'!$B$10,Paramètres!$A$1:$I$89,3,0)*VLOOKUP('Données projet'!$B$10,Paramètres!$A$1:$I$89,5,0)</f>
        <v>210.53314285714293</v>
      </c>
      <c r="AK73" s="14">
        <f t="shared" si="89"/>
        <v>52.052073628089957</v>
      </c>
      <c r="AL73" s="22">
        <f t="shared" si="58"/>
        <v>457.33591871178055</v>
      </c>
      <c r="AM73" s="62">
        <f t="shared" si="59"/>
        <v>709.73901246670164</v>
      </c>
      <c r="AN73" s="62">
        <f ca="1">AVERAGE(OFFSET($AM$3,0,0,'Données projet'!$E$10+1,1))-AVERAGE(OFFSET($H$3,0,0,'Données projet'!$E$10+1,1))</f>
        <v>374.62597460242665</v>
      </c>
      <c r="AO73" s="62">
        <f t="shared" si="90"/>
        <v>277.50105097454616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858.30942851055283</v>
      </c>
      <c r="BI73" s="62">
        <f ca="1">AVERAGE(OFFSET($BH$3,0,0,'Données projet'!$E$11+1,1))-AVERAGE(OFFSET($H$3,0,0,'Données projet'!$E$11+1,1))</f>
        <v>409.68685886029164</v>
      </c>
      <c r="BJ73" s="62">
        <f t="shared" si="92"/>
        <v>330.8416508650887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1.5952164202297672</v>
      </c>
      <c r="BR73" s="23">
        <f>EXP(-LN(2)/2)*BR72+(1-EXP(-LN(2)/2))/(LN(2)/2)*BL73*BO73*VLOOKUP('Données projet'!$B$11,Paramètres!$A$1:$I$89,3,0)*0.475*44/12</f>
        <v>1.5758658672023517E-5</v>
      </c>
      <c r="BS73" s="24">
        <f t="shared" si="63"/>
        <v>1.5952321788884392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211.70619219850786</v>
      </c>
      <c r="T74" s="62">
        <f t="shared" si="88"/>
        <v>426.883837098247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466</v>
      </c>
      <c r="AG74" s="13">
        <f>VLOOKUP(A74,'Données projet'!$A$61:$I$81,9,0)</f>
        <v>16.142857142857142</v>
      </c>
      <c r="AH74" s="13">
        <f t="array" ref="AH74">INDEX(AG:AG,MIN(IF(ISNUMBER(AG74:AG270),ROW(AG74:AG270),"")))</f>
        <v>16.142857142857142</v>
      </c>
      <c r="AI74" s="14">
        <f>IF('Données projet'!$A$62&gt;35,AI73+AH74-AQ73,IF(A74&lt;'Données projet'!$A$62,$AF$205^A74,IF(A74='Données projet'!$A$62,'Données projet'!$B$62,AI73+AH74-AQ73)))</f>
        <v>466.00000000000017</v>
      </c>
      <c r="AJ74" s="14">
        <f>AI74*VLOOKUP('Données projet'!$B$10,Paramètres!$A$1:$I$89,3,0)*VLOOKUP('Données projet'!$B$10,Paramètres!$A$1:$I$89,5,0)</f>
        <v>218.08800000000008</v>
      </c>
      <c r="AK74" s="14">
        <f t="shared" si="89"/>
        <v>53.699111087780629</v>
      </c>
      <c r="AL74" s="22">
        <f t="shared" si="58"/>
        <v>473.36255181121805</v>
      </c>
      <c r="AM74" s="62">
        <f t="shared" si="59"/>
        <v>726.47569371651753</v>
      </c>
      <c r="AN74" s="62">
        <f ca="1">AVERAGE(OFFSET($AM$3,0,0,'Données projet'!$E$10+1,1))-AVERAGE(OFFSET($H$3,0,0,'Données projet'!$E$10+1,1))</f>
        <v>374.62597460242665</v>
      </c>
      <c r="AO74" s="62">
        <f t="shared" si="90"/>
        <v>277.50105097454616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91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875.25745126808226</v>
      </c>
      <c r="BI74" s="62">
        <f ca="1">AVERAGE(OFFSET($BH$3,0,0,'Données projet'!$E$11+1,1))-AVERAGE(OFFSET($H$3,0,0,'Données projet'!$E$11+1,1))</f>
        <v>409.68685886029164</v>
      </c>
      <c r="BJ74" s="62">
        <f t="shared" si="92"/>
        <v>330.8416508650887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1.5515951433297985</v>
      </c>
      <c r="BR74" s="23">
        <f>EXP(-LN(2)/2)*BR73+(1-EXP(-LN(2)/2))/(LN(2)/2)*BL74*BO74*VLOOKUP('Données projet'!$B$11,Paramètres!$A$1:$I$89,3,0)*0.475*44/12</f>
        <v>1.1143054409392022E-5</v>
      </c>
      <c r="BS74" s="24">
        <f t="shared" si="63"/>
        <v>1.5516062863842079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211.70619219850786</v>
      </c>
      <c r="T75" s="62">
        <f t="shared" si="88"/>
        <v>426.883837098247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</v>
      </c>
      <c r="AG75" s="13">
        <f>VLOOKUP(A75,'Données projet'!$A$61:$I$81,9,0)</f>
        <v>15</v>
      </c>
      <c r="AH75" s="13">
        <f t="array" ref="AH75">INDEX(AG:AG,MIN(IF(ISNUMBER(AG75:AG271),ROW(AG75:AG271),"")))</f>
        <v>15</v>
      </c>
      <c r="AI75" s="14">
        <f>IF('Données projet'!$A$62&gt;35,AI74+AH75-AQ74,IF(A75&lt;'Données projet'!$A$62,$AF$205^A75,IF(A75='Données projet'!$A$62,'Données projet'!$B$62,AI74+AH75-AQ74)))</f>
        <v>390.00000000000017</v>
      </c>
      <c r="AJ75" s="14">
        <f>AI75*VLOOKUP('Données projet'!$B$10,Paramètres!$A$1:$I$89,3,0)*VLOOKUP('Données projet'!$B$10,Paramètres!$A$1:$I$89,5,0)</f>
        <v>182.5200000000001</v>
      </c>
      <c r="AK75" s="14">
        <f t="shared" si="89"/>
        <v>45.882385280285632</v>
      </c>
      <c r="AL75" s="22">
        <f t="shared" si="58"/>
        <v>397.80082102983096</v>
      </c>
      <c r="AM75" s="62">
        <f t="shared" si="59"/>
        <v>651.61169333752969</v>
      </c>
      <c r="AN75" s="62">
        <f ca="1">AVERAGE(OFFSET($AM$3,0,0,'Données projet'!$E$10+1,1))-AVERAGE(OFFSET($H$3,0,0,'Données projet'!$E$10+1,1))</f>
        <v>374.62597460242665</v>
      </c>
      <c r="AO75" s="62">
        <f t="shared" si="90"/>
        <v>277.50105097454616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892.18438134916119</v>
      </c>
      <c r="BI75" s="62">
        <f ca="1">AVERAGE(OFFSET($BH$3,0,0,'Données projet'!$E$11+1,1))-AVERAGE(OFFSET($H$3,0,0,'Données projet'!$E$11+1,1))</f>
        <v>409.68685886029164</v>
      </c>
      <c r="BJ75" s="62">
        <f t="shared" si="92"/>
        <v>330.8416508650887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1.5091666925406029</v>
      </c>
      <c r="BR75" s="23">
        <f>EXP(-LN(2)/2)*BR74+(1-EXP(-LN(2)/2))/(LN(2)/2)*BL75*BO75*VLOOKUP('Données projet'!$B$11,Paramètres!$A$1:$I$89,3,0)*0.475*44/12</f>
        <v>7.8793293360117583E-6</v>
      </c>
      <c r="BS75" s="24">
        <f t="shared" si="63"/>
        <v>1.509174571869939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211.70619219850786</v>
      </c>
      <c r="T76" s="62">
        <f t="shared" si="88"/>
        <v>426.883837098247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15.142857142857142</v>
      </c>
      <c r="AI76" s="14">
        <f>IF('Données projet'!$A$62&gt;35,AI75+AH76-AQ75,IF(A76&lt;'Données projet'!$A$62,$AF$205^A76,IF(A76='Données projet'!$A$62,'Données projet'!$B$62,AI75+AH76-AQ75)))</f>
        <v>405.14285714285734</v>
      </c>
      <c r="AJ76" s="14">
        <f>AI76*VLOOKUP('Données projet'!$B$10,Paramètres!$A$1:$I$89,3,0)*VLOOKUP('Données projet'!$B$10,Paramètres!$A$1:$I$89,5,0)</f>
        <v>189.60685714285725</v>
      </c>
      <c r="AK76" s="14">
        <f t="shared" si="89"/>
        <v>47.453024072159629</v>
      </c>
      <c r="AL76" s="22">
        <f t="shared" si="58"/>
        <v>412.87929311615432</v>
      </c>
      <c r="AM76" s="62">
        <f t="shared" si="59"/>
        <v>667.37579176366194</v>
      </c>
      <c r="AN76" s="62">
        <f ca="1">AVERAGE(OFFSET($AM$3,0,0,'Données projet'!$E$10+1,1))-AVERAGE(OFFSET($H$3,0,0,'Données projet'!$E$10+1,1))</f>
        <v>374.62597460242665</v>
      </c>
      <c r="AO76" s="62">
        <f t="shared" si="90"/>
        <v>277.50105097454616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909.09068678713777</v>
      </c>
      <c r="BI76" s="62">
        <f ca="1">AVERAGE(OFFSET($BH$3,0,0,'Données projet'!$E$11+1,1))-AVERAGE(OFFSET($H$3,0,0,'Données projet'!$E$11+1,1))</f>
        <v>409.68685886029164</v>
      </c>
      <c r="BJ76" s="62">
        <f t="shared" si="92"/>
        <v>330.8416508650887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1.467898449969453</v>
      </c>
      <c r="BR76" s="23">
        <f>EXP(-LN(2)/2)*BR75+(1-EXP(-LN(2)/2))/(LN(2)/2)*BL76*BO76*VLOOKUP('Données projet'!$B$11,Paramètres!$A$1:$I$89,3,0)*0.475*44/12</f>
        <v>5.5715272046960111E-6</v>
      </c>
      <c r="BS76" s="24">
        <f t="shared" si="63"/>
        <v>1.4679040214966577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211.70619219850786</v>
      </c>
      <c r="T77" s="62">
        <f t="shared" si="88"/>
        <v>426.883837098247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15.142857142857142</v>
      </c>
      <c r="AI77" s="14">
        <f>IF('Données projet'!$A$62&gt;35,AI76+AH77-AQ76,IF(A77&lt;'Données projet'!$A$62,$AF$205^A77,IF(A77='Données projet'!$A$62,'Données projet'!$B$62,AI76+AH77-AQ76)))</f>
        <v>420.2857142857145</v>
      </c>
      <c r="AJ77" s="14">
        <f>AI77*VLOOKUP('Données projet'!$B$10,Paramètres!$A$1:$I$89,3,0)*VLOOKUP('Données projet'!$B$10,Paramètres!$A$1:$I$89,5,0)</f>
        <v>196.69371428571441</v>
      </c>
      <c r="AK77" s="14">
        <f t="shared" si="89"/>
        <v>49.016842754125221</v>
      </c>
      <c r="AL77" s="22">
        <f t="shared" si="58"/>
        <v>427.9458868443873</v>
      </c>
      <c r="AM77" s="62">
        <f t="shared" si="59"/>
        <v>683.11611774753919</v>
      </c>
      <c r="AN77" s="62">
        <f ca="1">AVERAGE(OFFSET($AM$3,0,0,'Données projet'!$E$10+1,1))-AVERAGE(OFFSET($H$3,0,0,'Données projet'!$E$10+1,1))</f>
        <v>374.62597460242665</v>
      </c>
      <c r="AO77" s="62">
        <f t="shared" si="90"/>
        <v>277.50105097454616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925.97681828446071</v>
      </c>
      <c r="BI77" s="62">
        <f ca="1">AVERAGE(OFFSET($BH$3,0,0,'Données projet'!$E$11+1,1))-AVERAGE(OFFSET($H$3,0,0,'Données projet'!$E$11+1,1))</f>
        <v>409.68685886029164</v>
      </c>
      <c r="BJ77" s="62">
        <f t="shared" si="92"/>
        <v>330.8416508650887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1.4277586896616137</v>
      </c>
      <c r="BR77" s="23">
        <f>EXP(-LN(2)/2)*BR76+(1-EXP(-LN(2)/2))/(LN(2)/2)*BL77*BO77*VLOOKUP('Données projet'!$B$11,Paramètres!$A$1:$I$89,3,0)*0.475*44/12</f>
        <v>3.9396646680058792E-6</v>
      </c>
      <c r="BS77" s="24">
        <f t="shared" si="63"/>
        <v>1.4277626293262817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211.70619219850786</v>
      </c>
      <c r="T78" s="62">
        <f t="shared" si="88"/>
        <v>426.883837098247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15.142857142857142</v>
      </c>
      <c r="AI78" s="14">
        <f>IF('Données projet'!$A$62&gt;35,AI77+AH78-AQ77,IF(A78&lt;'Données projet'!$A$62,$AF$205^A78,IF(A78='Données projet'!$A$62,'Données projet'!$B$62,AI77+AH78-AQ77)))</f>
        <v>435.42857142857167</v>
      </c>
      <c r="AJ78" s="14">
        <f>AI78*VLOOKUP('Données projet'!$B$10,Paramètres!$A$1:$I$89,3,0)*VLOOKUP('Données projet'!$B$10,Paramètres!$A$1:$I$89,5,0)</f>
        <v>203.78057142857153</v>
      </c>
      <c r="AK78" s="14">
        <f t="shared" si="89"/>
        <v>50.574115202939069</v>
      </c>
      <c r="AL78" s="22">
        <f t="shared" si="58"/>
        <v>443.00107921654762</v>
      </c>
      <c r="AM78" s="62">
        <f t="shared" si="59"/>
        <v>698.83335462694799</v>
      </c>
      <c r="AN78" s="62">
        <f ca="1">AVERAGE(OFFSET($AM$3,0,0,'Données projet'!$E$10+1,1))-AVERAGE(OFFSET($H$3,0,0,'Données projet'!$E$10+1,1))</f>
        <v>374.62597460242665</v>
      </c>
      <c r="AO78" s="62">
        <f t="shared" si="90"/>
        <v>277.50105097454616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891.21269686316271</v>
      </c>
      <c r="BI78" s="62">
        <f ca="1">AVERAGE(OFFSET($BH$3,0,0,'Données projet'!$E$11+1,1))-AVERAGE(OFFSET($H$3,0,0,'Données projet'!$E$11+1,1))</f>
        <v>409.68685886029164</v>
      </c>
      <c r="BJ78" s="62">
        <f t="shared" si="92"/>
        <v>330.8416508650887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1.3887165532102506</v>
      </c>
      <c r="BR78" s="23">
        <f>EXP(-LN(2)/2)*BR77+(1-EXP(-LN(2)/2))/(LN(2)/2)*BL78*BO78*VLOOKUP('Données projet'!$B$11,Paramètres!$A$1:$I$89,3,0)*0.475*44/12</f>
        <v>2.7857636023480056E-6</v>
      </c>
      <c r="BS78" s="24">
        <f t="shared" si="63"/>
        <v>1.3887193389738528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211.70619219850786</v>
      </c>
      <c r="T79" s="62">
        <f t="shared" si="88"/>
        <v>426.883837098247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15.142857142857142</v>
      </c>
      <c r="AI79" s="14">
        <f>IF('Données projet'!$A$62&gt;35,AI78+AH79-AQ78,IF(A79&lt;'Données projet'!$A$62,$AF$205^A79,IF(A79='Données projet'!$A$62,'Données projet'!$B$62,AI78+AH79-AQ78)))</f>
        <v>450.57142857142884</v>
      </c>
      <c r="AJ79" s="14">
        <f>AI79*VLOOKUP('Données projet'!$B$10,Paramètres!$A$1:$I$89,3,0)*VLOOKUP('Données projet'!$B$10,Paramètres!$A$1:$I$89,5,0)</f>
        <v>210.86742857142869</v>
      </c>
      <c r="AK79" s="14">
        <f t="shared" si="89"/>
        <v>52.125095165913116</v>
      </c>
      <c r="AL79" s="22">
        <f t="shared" si="58"/>
        <v>458.04531217587032</v>
      </c>
      <c r="AM79" s="62">
        <f t="shared" si="59"/>
        <v>714.5281471014282</v>
      </c>
      <c r="AN79" s="62">
        <f ca="1">AVERAGE(OFFSET($AM$3,0,0,'Données projet'!$E$10+1,1))-AVERAGE(OFFSET($H$3,0,0,'Données projet'!$E$10+1,1))</f>
        <v>374.62597460242665</v>
      </c>
      <c r="AO79" s="62">
        <f t="shared" si="90"/>
        <v>277.50105097454616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903.04647424999541</v>
      </c>
      <c r="BI79" s="62">
        <f ca="1">AVERAGE(OFFSET($BH$3,0,0,'Données projet'!$E$11+1,1))-AVERAGE(OFFSET($H$3,0,0,'Données projet'!$E$11+1,1))</f>
        <v>409.68685886029164</v>
      </c>
      <c r="BJ79" s="62">
        <f t="shared" si="92"/>
        <v>330.8416508650887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1.3507420260332867</v>
      </c>
      <c r="BR79" s="23">
        <f>EXP(-LN(2)/2)*BR78+(1-EXP(-LN(2)/2))/(LN(2)/2)*BL79*BO79*VLOOKUP('Données projet'!$B$11,Paramètres!$A$1:$I$89,3,0)*0.475*44/12</f>
        <v>1.9698323340029396E-6</v>
      </c>
      <c r="BS79" s="24">
        <f t="shared" si="63"/>
        <v>1.3507439958656207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211.70619219850786</v>
      </c>
      <c r="T80" s="62">
        <f t="shared" si="88"/>
        <v>426.883837098247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15.142857142857142</v>
      </c>
      <c r="AI80" s="14">
        <f>IF('Données projet'!$A$62&gt;35,AI79+AH80-AQ79,IF(A80&lt;'Données projet'!$A$62,$AF$205^A80,IF(A80='Données projet'!$A$62,'Données projet'!$B$62,AI79+AH80-AQ79)))</f>
        <v>465.71428571428601</v>
      </c>
      <c r="AJ80" s="14">
        <f>AI80*VLOOKUP('Données projet'!$B$10,Paramètres!$A$1:$I$89,3,0)*VLOOKUP('Données projet'!$B$10,Paramètres!$A$1:$I$89,5,0)</f>
        <v>217.95428571428585</v>
      </c>
      <c r="AK80" s="14">
        <f t="shared" si="89"/>
        <v>53.670018366701875</v>
      </c>
      <c r="AL80" s="22">
        <f t="shared" si="58"/>
        <v>473.07899627438695</v>
      </c>
      <c r="AM80" s="62">
        <f t="shared" si="59"/>
        <v>730.20110496194752</v>
      </c>
      <c r="AN80" s="62">
        <f ca="1">AVERAGE(OFFSET($AM$3,0,0,'Données projet'!$E$10+1,1))-AVERAGE(OFFSET($H$3,0,0,'Données projet'!$E$10+1,1))</f>
        <v>374.62597460242665</v>
      </c>
      <c r="AO80" s="62">
        <f t="shared" si="90"/>
        <v>277.50105097454616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914.86497601752603</v>
      </c>
      <c r="BI80" s="62">
        <f ca="1">AVERAGE(OFFSET($BH$3,0,0,'Données projet'!$E$11+1,1))-AVERAGE(OFFSET($H$3,0,0,'Données projet'!$E$11+1,1))</f>
        <v>409.68685886029164</v>
      </c>
      <c r="BJ80" s="62">
        <f t="shared" si="92"/>
        <v>330.8416508650887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1.3138059142989706</v>
      </c>
      <c r="BR80" s="23">
        <f>EXP(-LN(2)/2)*BR79+(1-EXP(-LN(2)/2))/(LN(2)/2)*BL80*BO80*VLOOKUP('Données projet'!$B$11,Paramètres!$A$1:$I$89,3,0)*0.475*44/12</f>
        <v>1.3928818011740028E-6</v>
      </c>
      <c r="BS80" s="24">
        <f t="shared" si="63"/>
        <v>1.3138073071807719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211.70619219850786</v>
      </c>
      <c r="T81" s="62">
        <f t="shared" si="88"/>
        <v>426.883837098247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15.142857142857142</v>
      </c>
      <c r="AI81" s="14">
        <f>IF('Données projet'!$A$62&gt;35,AI80+AH81-AQ80,IF(A81&lt;'Données projet'!$A$62,$AF$205^A81,IF(A81='Données projet'!$A$62,'Données projet'!$B$62,AI80+AH81-AQ80)))</f>
        <v>480.85714285714317</v>
      </c>
      <c r="AJ81" s="14">
        <f>AI81*VLOOKUP('Données projet'!$B$10,Paramètres!$A$1:$I$89,3,0)*VLOOKUP('Données projet'!$B$10,Paramètres!$A$1:$I$89,5,0)</f>
        <v>225.041142857143</v>
      </c>
      <c r="AK81" s="14">
        <f t="shared" si="89"/>
        <v>55.209104329514197</v>
      </c>
      <c r="AL81" s="22">
        <f t="shared" si="58"/>
        <v>488.10251385009468</v>
      </c>
      <c r="AM81" s="62">
        <f t="shared" si="59"/>
        <v>745.85280632908916</v>
      </c>
      <c r="AN81" s="62">
        <f ca="1">AVERAGE(OFFSET($AM$3,0,0,'Données projet'!$E$10+1,1))-AVERAGE(OFFSET($H$3,0,0,'Données projet'!$E$10+1,1))</f>
        <v>374.62597460242665</v>
      </c>
      <c r="AO81" s="62">
        <f t="shared" si="90"/>
        <v>277.50105097454616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926.66847529637539</v>
      </c>
      <c r="BI81" s="62">
        <f ca="1">AVERAGE(OFFSET($BH$3,0,0,'Données projet'!$E$11+1,1))-AVERAGE(OFFSET($H$3,0,0,'Données projet'!$E$11+1,1))</f>
        <v>409.68685886029164</v>
      </c>
      <c r="BJ81" s="62">
        <f t="shared" si="92"/>
        <v>330.8416508650887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1.2778798224824151</v>
      </c>
      <c r="BR81" s="23">
        <f>EXP(-LN(2)/2)*BR80+(1-EXP(-LN(2)/2))/(LN(2)/2)*BL81*BO81*VLOOKUP('Données projet'!$B$11,Paramètres!$A$1:$I$89,3,0)*0.475*44/12</f>
        <v>9.8491616700146979E-7</v>
      </c>
      <c r="BS81" s="24">
        <f t="shared" si="63"/>
        <v>1.2778808073985821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211.70619219850786</v>
      </c>
      <c r="T82" s="62">
        <f t="shared" si="88"/>
        <v>426.883837098247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496</v>
      </c>
      <c r="AG82" s="13">
        <f>VLOOKUP(A82,'Données projet'!$A$61:$I$81,9,0)</f>
        <v>15.142857142857142</v>
      </c>
      <c r="AH82" s="13">
        <f t="array" ref="AH82">INDEX(AG:AG,MIN(IF(ISNUMBER(AG82:AG278),ROW(AG82:AG278),"")))</f>
        <v>15.142857142857142</v>
      </c>
      <c r="AI82" s="14">
        <f>IF('Données projet'!$A$62&gt;35,AI81+AH82-AQ81,IF(A82&lt;'Données projet'!$A$62,$AF$205^A82,IF(A82='Données projet'!$A$62,'Données projet'!$B$62,AI81+AH82-AQ81)))</f>
        <v>496.00000000000034</v>
      </c>
      <c r="AJ82" s="14">
        <f>AI82*VLOOKUP('Données projet'!$B$10,Paramètres!$A$1:$I$89,3,0)*VLOOKUP('Données projet'!$B$10,Paramètres!$A$1:$I$89,5,0)</f>
        <v>232.12800000000016</v>
      </c>
      <c r="AK82" s="14">
        <f t="shared" si="89"/>
        <v>56.742557967082448</v>
      </c>
      <c r="AL82" s="22">
        <f t="shared" si="58"/>
        <v>503.11622179266891</v>
      </c>
      <c r="AM82" s="62">
        <f t="shared" si="59"/>
        <v>761.48380047872456</v>
      </c>
      <c r="AN82" s="62">
        <f ca="1">AVERAGE(OFFSET($AM$3,0,0,'Données projet'!$E$10+1,1))-AVERAGE(OFFSET($H$3,0,0,'Données projet'!$E$10+1,1))</f>
        <v>374.62597460242665</v>
      </c>
      <c r="AO82" s="62">
        <f t="shared" si="90"/>
        <v>277.50105097454616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88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938.45723902654936</v>
      </c>
      <c r="BI82" s="62">
        <f ca="1">AVERAGE(OFFSET($BH$3,0,0,'Données projet'!$E$11+1,1))-AVERAGE(OFFSET($H$3,0,0,'Données projet'!$E$11+1,1))</f>
        <v>409.68685886029164</v>
      </c>
      <c r="BJ82" s="62">
        <f t="shared" si="92"/>
        <v>330.8416508650887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1.2429361315358542</v>
      </c>
      <c r="BR82" s="23">
        <f>EXP(-LN(2)/2)*BR81+(1-EXP(-LN(2)/2))/(LN(2)/2)*BL82*BO82*VLOOKUP('Données projet'!$B$11,Paramètres!$A$1:$I$89,3,0)*0.475*44/12</f>
        <v>6.9644090058700139E-7</v>
      </c>
      <c r="BS82" s="24">
        <f t="shared" si="63"/>
        <v>1.2429368279767548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211.70619219850786</v>
      </c>
      <c r="T83" s="62">
        <f t="shared" si="88"/>
        <v>426.883837098247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423</v>
      </c>
      <c r="AG83" s="13">
        <f>VLOOKUP(A83,'Données projet'!$A$61:$I$81,9,0)</f>
        <v>15</v>
      </c>
      <c r="AH83" s="13">
        <f t="array" ref="AH83">INDEX(AG:AG,MIN(IF(ISNUMBER(AG83:AG279),ROW(AG83:AG279),"")))</f>
        <v>15</v>
      </c>
      <c r="AI83" s="14">
        <f>IF('Données projet'!$A$62&gt;35,AI82+AH83-AQ82,IF(A83&lt;'Données projet'!$A$62,$AF$205^A83,IF(A83='Données projet'!$A$62,'Données projet'!$B$62,AI82+AH83-AQ82)))</f>
        <v>423.00000000000034</v>
      </c>
      <c r="AJ83" s="14">
        <f>AI83*VLOOKUP('Données projet'!$B$10,Paramètres!$A$1:$I$89,3,0)*VLOOKUP('Données projet'!$B$10,Paramètres!$A$1:$I$89,5,0)</f>
        <v>197.96400000000017</v>
      </c>
      <c r="AK83" s="14">
        <f t="shared" si="89"/>
        <v>49.296450435147804</v>
      </c>
      <c r="AL83" s="22">
        <f t="shared" si="58"/>
        <v>430.64528450788265</v>
      </c>
      <c r="AM83" s="62">
        <f t="shared" si="59"/>
        <v>689.6194408653522</v>
      </c>
      <c r="AN83" s="62">
        <f ca="1">AVERAGE(OFFSET($AM$3,0,0,'Données projet'!$E$10+1,1))-AVERAGE(OFFSET($H$3,0,0,'Données projet'!$E$10+1,1))</f>
        <v>374.62597460242665</v>
      </c>
      <c r="AO83" s="62">
        <f t="shared" si="90"/>
        <v>277.50105097454616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950.23152816250854</v>
      </c>
      <c r="BI83" s="62">
        <f ca="1">AVERAGE(OFFSET($BH$3,0,0,'Données projet'!$E$11+1,1))-AVERAGE(OFFSET($H$3,0,0,'Données projet'!$E$11+1,1))</f>
        <v>409.68685886029164</v>
      </c>
      <c r="BJ83" s="62">
        <f t="shared" si="92"/>
        <v>330.8416508650887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1.2089479776558358</v>
      </c>
      <c r="BR83" s="23">
        <f>EXP(-LN(2)/2)*BR82+(1-EXP(-LN(2)/2))/(LN(2)/2)*BL83*BO83*VLOOKUP('Données projet'!$B$11,Paramètres!$A$1:$I$89,3,0)*0.475*44/12</f>
        <v>4.9245808350073489E-7</v>
      </c>
      <c r="BS83" s="24">
        <f t="shared" si="63"/>
        <v>1.2089484701139193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211.70619219850786</v>
      </c>
      <c r="T84" s="62">
        <f t="shared" si="88"/>
        <v>426.883837098247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14.142857142857142</v>
      </c>
      <c r="AI84" s="14">
        <f>IF('Données projet'!$A$62&gt;35,AI83+AH84-AQ83,IF(A84&lt;'Données projet'!$A$62,$AF$205^A84,IF(A84='Données projet'!$A$62,'Données projet'!$B$62,AI83+AH84-AQ83)))</f>
        <v>437.14285714285751</v>
      </c>
      <c r="AJ84" s="14">
        <f>AI84*VLOOKUP('Données projet'!$B$10,Paramètres!$A$1:$I$89,3,0)*VLOOKUP('Données projet'!$B$10,Paramètres!$A$1:$I$89,5,0)</f>
        <v>204.58285714285734</v>
      </c>
      <c r="AK84" s="14">
        <f t="shared" si="89"/>
        <v>50.750009154879976</v>
      </c>
      <c r="AL84" s="22">
        <f t="shared" si="58"/>
        <v>444.70474213522584</v>
      </c>
      <c r="AM84" s="62">
        <f t="shared" si="59"/>
        <v>704.27495339761458</v>
      </c>
      <c r="AN84" s="62">
        <f ca="1">AVERAGE(OFFSET($AM$3,0,0,'Données projet'!$E$10+1,1))-AVERAGE(OFFSET($H$3,0,0,'Données projet'!$E$10+1,1))</f>
        <v>374.62597460242665</v>
      </c>
      <c r="AO84" s="62">
        <f t="shared" si="90"/>
        <v>277.50105097454616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961.99159786728433</v>
      </c>
      <c r="BI84" s="62">
        <f ca="1">AVERAGE(OFFSET($BH$3,0,0,'Données projet'!$E$11+1,1))-AVERAGE(OFFSET($H$3,0,0,'Données projet'!$E$11+1,1))</f>
        <v>409.68685886029164</v>
      </c>
      <c r="BJ84" s="62">
        <f t="shared" si="92"/>
        <v>330.8416508650887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1.1758892316310259</v>
      </c>
      <c r="BR84" s="23">
        <f>EXP(-LN(2)/2)*BR83+(1-EXP(-LN(2)/2))/(LN(2)/2)*BL84*BO84*VLOOKUP('Données projet'!$B$11,Paramètres!$A$1:$I$89,3,0)*0.475*44/12</f>
        <v>3.482204502935007E-7</v>
      </c>
      <c r="BS84" s="24">
        <f t="shared" si="63"/>
        <v>1.1758895798514761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211.70619219850786</v>
      </c>
      <c r="T85" s="62">
        <f t="shared" si="88"/>
        <v>426.883837098247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14.142857142857142</v>
      </c>
      <c r="AI85" s="14">
        <f>IF('Données projet'!$A$62&gt;35,AI84+AH85-AQ84,IF(A85&lt;'Données projet'!$A$62,$AF$205^A85,IF(A85='Données projet'!$A$62,'Données projet'!$B$62,AI84+AH85-AQ84)))</f>
        <v>451.28571428571468</v>
      </c>
      <c r="AJ85" s="14">
        <f>AI85*VLOOKUP('Données projet'!$B$10,Paramètres!$A$1:$I$89,3,0)*VLOOKUP('Données projet'!$B$10,Paramètres!$A$1:$I$89,5,0)</f>
        <v>211.20171428571447</v>
      </c>
      <c r="AK85" s="14">
        <f t="shared" si="89"/>
        <v>52.198103230485451</v>
      </c>
      <c r="AL85" s="22">
        <f t="shared" si="58"/>
        <v>458.75468217404813</v>
      </c>
      <c r="AM85" s="62">
        <f t="shared" si="59"/>
        <v>718.91060812133514</v>
      </c>
      <c r="AN85" s="62">
        <f ca="1">AVERAGE(OFFSET($AM$3,0,0,'Données projet'!$E$10+1,1))-AVERAGE(OFFSET($H$3,0,0,'Données projet'!$E$10+1,1))</f>
        <v>374.62597460242665</v>
      </c>
      <c r="AO85" s="62">
        <f t="shared" si="90"/>
        <v>277.50105097454616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973.73769769648561</v>
      </c>
      <c r="BI85" s="62">
        <f ca="1">AVERAGE(OFFSET($BH$3,0,0,'Données projet'!$E$11+1,1))-AVERAGE(OFFSET($H$3,0,0,'Données projet'!$E$11+1,1))</f>
        <v>409.68685886029164</v>
      </c>
      <c r="BJ85" s="62">
        <f t="shared" si="92"/>
        <v>330.8416508650887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1.1437344787547483</v>
      </c>
      <c r="BR85" s="23">
        <f>EXP(-LN(2)/2)*BR84+(1-EXP(-LN(2)/2))/(LN(2)/2)*BL85*BO85*VLOOKUP('Données projet'!$B$11,Paramètres!$A$1:$I$89,3,0)*0.475*44/12</f>
        <v>2.4622904175036745E-7</v>
      </c>
      <c r="BS85" s="24">
        <f t="shared" si="63"/>
        <v>1.1437347249837901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211.70619219850786</v>
      </c>
      <c r="T86" s="62">
        <f t="shared" si="88"/>
        <v>426.883837098247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14.142857142857142</v>
      </c>
      <c r="AI86" s="14">
        <f>IF('Données projet'!$A$62&gt;35,AI85+AH86-AQ85,IF(A86&lt;'Données projet'!$A$62,$AF$205^A86,IF(A86='Données projet'!$A$62,'Données projet'!$B$62,AI85+AH86-AQ85)))</f>
        <v>465.42857142857184</v>
      </c>
      <c r="AJ86" s="14">
        <f>AI86*VLOOKUP('Données projet'!$B$10,Paramètres!$A$1:$I$89,3,0)*VLOOKUP('Données projet'!$B$10,Paramètres!$A$1:$I$89,5,0)</f>
        <v>217.82057142857164</v>
      </c>
      <c r="AK86" s="14">
        <f t="shared" si="89"/>
        <v>53.640923568007189</v>
      </c>
      <c r="AL86" s="22">
        <f t="shared" si="58"/>
        <v>472.79543711904148</v>
      </c>
      <c r="AM86" s="62">
        <f t="shared" si="59"/>
        <v>733.52691691090536</v>
      </c>
      <c r="AN86" s="62">
        <f ca="1">AVERAGE(OFFSET($AM$3,0,0,'Données projet'!$E$10+1,1))-AVERAGE(OFFSET($H$3,0,0,'Données projet'!$E$10+1,1))</f>
        <v>374.62597460242665</v>
      </c>
      <c r="AO86" s="62">
        <f t="shared" si="90"/>
        <v>277.50105097454616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409.68685886029164</v>
      </c>
      <c r="BJ86" s="62">
        <f t="shared" si="92"/>
        <v>330.8416508650887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1.1124589992868175</v>
      </c>
      <c r="BR86" s="23">
        <f>EXP(-LN(2)/2)*BR85+(1-EXP(-LN(2)/2))/(LN(2)/2)*BL86*BO86*VLOOKUP('Données projet'!$B$11,Paramètres!$A$1:$I$89,3,0)*0.475*44/12</f>
        <v>1.7411022514675035E-7</v>
      </c>
      <c r="BS86" s="24">
        <f t="shared" si="63"/>
        <v>1.1124591733970426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211.70619219850786</v>
      </c>
      <c r="T87" s="62">
        <f t="shared" si="88"/>
        <v>426.883837098247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14.142857142857142</v>
      </c>
      <c r="AI87" s="14">
        <f>IF('Données projet'!$A$62&gt;35,AI86+AH87-AQ86,IF(A87&lt;'Données projet'!$A$62,$AF$205^A87,IF(A87='Données projet'!$A$62,'Données projet'!$B$62,AI86+AH87-AQ86)))</f>
        <v>479.57142857142901</v>
      </c>
      <c r="AJ87" s="14">
        <f>AI87*VLOOKUP('Données projet'!$B$10,Paramètres!$A$1:$I$89,3,0)*VLOOKUP('Données projet'!$B$10,Paramètres!$A$1:$I$89,5,0)</f>
        <v>224.43942857142878</v>
      </c>
      <c r="AK87" s="14">
        <f t="shared" si="89"/>
        <v>55.078648812192505</v>
      </c>
      <c r="AL87" s="22">
        <f t="shared" si="58"/>
        <v>486.82731810980704</v>
      </c>
      <c r="AM87" s="62">
        <f t="shared" si="59"/>
        <v>748.12436717379023</v>
      </c>
      <c r="AN87" s="62">
        <f ca="1">AVERAGE(OFFSET($AM$3,0,0,'Données projet'!$E$10+1,1))-AVERAGE(OFFSET($H$3,0,0,'Données projet'!$E$10+1,1))</f>
        <v>374.62597460242665</v>
      </c>
      <c r="AO87" s="62">
        <f t="shared" si="90"/>
        <v>277.50105097454616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409.68685886029164</v>
      </c>
      <c r="BJ87" s="62">
        <f t="shared" si="92"/>
        <v>330.8416508650887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1.0820387494496433</v>
      </c>
      <c r="BR87" s="23">
        <f>EXP(-LN(2)/2)*BR86+(1-EXP(-LN(2)/2))/(LN(2)/2)*BL87*BO87*VLOOKUP('Données projet'!$B$11,Paramètres!$A$1:$I$89,3,0)*0.475*44/12</f>
        <v>1.2311452087518372E-7</v>
      </c>
      <c r="BS87" s="24">
        <f t="shared" si="63"/>
        <v>1.0820388725641641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211.70619219850786</v>
      </c>
      <c r="T88" s="62">
        <f t="shared" si="88"/>
        <v>426.883837098247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14.142857142857142</v>
      </c>
      <c r="AI88" s="14">
        <f>IF('Données projet'!$A$62&gt;35,AI87+AH88-AQ87,IF(A88&lt;'Données projet'!$A$62,$AF$205^A88,IF(A88='Données projet'!$A$62,'Données projet'!$B$62,AI87+AH88-AQ87)))</f>
        <v>493.71428571428618</v>
      </c>
      <c r="AJ88" s="14">
        <f>AI88*VLOOKUP('Données projet'!$B$10,Paramètres!$A$1:$I$89,3,0)*VLOOKUP('Données projet'!$B$10,Paramètres!$A$1:$I$89,5,0)</f>
        <v>231.05828571428594</v>
      </c>
      <c r="AK88" s="14">
        <f t="shared" si="89"/>
        <v>56.511446472092771</v>
      </c>
      <c r="AL88" s="22">
        <f t="shared" si="58"/>
        <v>500.85061689127627</v>
      </c>
      <c r="AM88" s="62">
        <f t="shared" si="59"/>
        <v>762.70342386493087</v>
      </c>
      <c r="AN88" s="62">
        <f ca="1">AVERAGE(OFFSET($AM$3,0,0,'Données projet'!$E$10+1,1))-AVERAGE(OFFSET($H$3,0,0,'Données projet'!$E$10+1,1))</f>
        <v>374.62597460242665</v>
      </c>
      <c r="AO88" s="62">
        <f t="shared" si="90"/>
        <v>277.50105097454616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409.68685886029164</v>
      </c>
      <c r="BJ88" s="62">
        <f t="shared" si="92"/>
        <v>330.8416508650887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1.052450342943998</v>
      </c>
      <c r="BR88" s="23">
        <f>EXP(-LN(2)/2)*BR87+(1-EXP(-LN(2)/2))/(LN(2)/2)*BL88*BO88*VLOOKUP('Données projet'!$B$11,Paramètres!$A$1:$I$89,3,0)*0.475*44/12</f>
        <v>8.7055112573375174E-8</v>
      </c>
      <c r="BS88" s="24">
        <f t="shared" si="63"/>
        <v>1.0524504299991106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211.70619219850786</v>
      </c>
      <c r="T89" s="62">
        <f t="shared" si="88"/>
        <v>426.883837098247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14.142857142857142</v>
      </c>
      <c r="AI89" s="14">
        <f>IF('Données projet'!$A$62&gt;35,AI88+AH89-AQ88,IF(A89&lt;'Données projet'!$A$62,$AF$205^A89,IF(A89='Données projet'!$A$62,'Données projet'!$B$62,AI88+AH89-AQ88)))</f>
        <v>507.85714285714334</v>
      </c>
      <c r="AJ89" s="14">
        <f>AI89*VLOOKUP('Données projet'!$B$10,Paramètres!$A$1:$I$89,3,0)*VLOOKUP('Données projet'!$B$10,Paramètres!$A$1:$I$89,5,0)</f>
        <v>237.67714285714308</v>
      </c>
      <c r="AK89" s="14">
        <f t="shared" si="89"/>
        <v>57.939473914063178</v>
      </c>
      <c r="AL89" s="22">
        <f t="shared" si="58"/>
        <v>514.86560754318418</v>
      </c>
      <c r="AM89" s="62">
        <f t="shared" si="59"/>
        <v>777.26453126926594</v>
      </c>
      <c r="AN89" s="62">
        <f ca="1">AVERAGE(OFFSET($AM$3,0,0,'Données projet'!$E$10+1,1))-AVERAGE(OFFSET($H$3,0,0,'Données projet'!$E$10+1,1))</f>
        <v>374.62597460242665</v>
      </c>
      <c r="AO89" s="62">
        <f t="shared" si="90"/>
        <v>277.50105097454616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409.68685886029164</v>
      </c>
      <c r="BJ89" s="62">
        <f t="shared" si="92"/>
        <v>330.8416508650887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1.0236710329702363</v>
      </c>
      <c r="BR89" s="23">
        <f>EXP(-LN(2)/2)*BR88+(1-EXP(-LN(2)/2))/(LN(2)/2)*BL89*BO89*VLOOKUP('Données projet'!$B$11,Paramètres!$A$1:$I$89,3,0)*0.475*44/12</f>
        <v>6.1557260437591862E-8</v>
      </c>
      <c r="BS89" s="24">
        <f t="shared" si="63"/>
        <v>1.0236710945274967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211.70619219850786</v>
      </c>
      <c r="T90" s="62">
        <f t="shared" si="88"/>
        <v>426.883837098247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522</v>
      </c>
      <c r="AG90" s="13">
        <f>VLOOKUP(A90,'Données projet'!$A$61:$I$81,9,0)</f>
        <v>14.142857142857142</v>
      </c>
      <c r="AH90" s="13">
        <f t="array" ref="AH90">INDEX(AG:AG,MIN(IF(ISNUMBER(AG90:AG286),ROW(AG90:AG286),"")))</f>
        <v>14.142857142857142</v>
      </c>
      <c r="AI90" s="14">
        <f>IF('Données projet'!$A$62&gt;35,AI89+AH90-AQ89,IF(A90&lt;'Données projet'!$A$62,$AF$205^A90,IF(A90='Données projet'!$A$62,'Données projet'!$B$62,AI89+AH90-AQ89)))</f>
        <v>522.00000000000045</v>
      </c>
      <c r="AJ90" s="14">
        <f>AI90*VLOOKUP('Données projet'!$B$10,Paramètres!$A$1:$I$89,3,0)*VLOOKUP('Données projet'!$B$10,Paramètres!$A$1:$I$89,5,0)</f>
        <v>244.29600000000022</v>
      </c>
      <c r="AK90" s="14">
        <f t="shared" si="89"/>
        <v>59.362879241040417</v>
      </c>
      <c r="AL90" s="22">
        <f t="shared" si="58"/>
        <v>528.87254801147901</v>
      </c>
      <c r="AM90" s="62">
        <f t="shared" si="59"/>
        <v>791.8081145852675</v>
      </c>
      <c r="AN90" s="62">
        <f ca="1">AVERAGE(OFFSET($AM$3,0,0,'Données projet'!$E$10+1,1))-AVERAGE(OFFSET($H$3,0,0,'Données projet'!$E$10+1,1))</f>
        <v>374.62597460242665</v>
      </c>
      <c r="AO90" s="62">
        <f t="shared" si="90"/>
        <v>277.50105097454616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89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409.68685886029164</v>
      </c>
      <c r="BJ90" s="62">
        <f t="shared" si="92"/>
        <v>330.8416508650887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0.99567869474114523</v>
      </c>
      <c r="BR90" s="23">
        <f>EXP(-LN(2)/2)*BR89+(1-EXP(-LN(2)/2))/(LN(2)/2)*BL90*BO90*VLOOKUP('Données projet'!$B$11,Paramètres!$A$1:$I$89,3,0)*0.475*44/12</f>
        <v>4.3527556286687587E-8</v>
      </c>
      <c r="BS90" s="24">
        <f t="shared" si="63"/>
        <v>0.99567873826870157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211.70619219850786</v>
      </c>
      <c r="T91" s="62">
        <f t="shared" si="88"/>
        <v>426.883837098247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447</v>
      </c>
      <c r="AG91" s="13">
        <f>VLOOKUP(A91,'Données projet'!$A$61:$I$81,9,0)</f>
        <v>14</v>
      </c>
      <c r="AH91" s="13">
        <f t="array" ref="AH91">INDEX(AG:AG,MIN(IF(ISNUMBER(AG91:AG287),ROW(AG91:AG287),"")))</f>
        <v>14</v>
      </c>
      <c r="AI91" s="14">
        <f>IF('Données projet'!$A$62&gt;35,AI90+AH91-AQ90,IF(A91&lt;'Données projet'!$A$62,$AF$205^A91,IF(A91='Données projet'!$A$62,'Données projet'!$B$62,AI90+AH91-AQ90)))</f>
        <v>447.00000000000045</v>
      </c>
      <c r="AJ91" s="14">
        <f>AI91*VLOOKUP('Données projet'!$B$10,Paramètres!$A$1:$I$89,3,0)*VLOOKUP('Données projet'!$B$10,Paramètres!$A$1:$I$89,5,0)</f>
        <v>209.19600000000023</v>
      </c>
      <c r="AK91" s="14">
        <f t="shared" si="89"/>
        <v>51.759852265375834</v>
      </c>
      <c r="AL91" s="22">
        <f t="shared" si="58"/>
        <v>454.4981093621966</v>
      </c>
      <c r="AM91" s="62">
        <f t="shared" si="59"/>
        <v>717.96100923003769</v>
      </c>
      <c r="AN91" s="62">
        <f ca="1">AVERAGE(OFFSET($AM$3,0,0,'Données projet'!$E$10+1,1))-AVERAGE(OFFSET($H$3,0,0,'Données projet'!$E$10+1,1))</f>
        <v>374.62597460242665</v>
      </c>
      <c r="AO91" s="62">
        <f t="shared" si="90"/>
        <v>277.50105097454616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409.68685886029164</v>
      </c>
      <c r="BJ91" s="62">
        <f t="shared" si="92"/>
        <v>330.8416508650887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0.96845180847298173</v>
      </c>
      <c r="BR91" s="23">
        <f>EXP(-LN(2)/2)*BR90+(1-EXP(-LN(2)/2))/(LN(2)/2)*BL91*BO91*VLOOKUP('Données projet'!$B$11,Paramètres!$A$1:$I$89,3,0)*0.475*44/12</f>
        <v>3.0778630218795931E-8</v>
      </c>
      <c r="BS91" s="24">
        <f t="shared" si="63"/>
        <v>0.96845183925161193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211.70619219850786</v>
      </c>
      <c r="T92" s="62">
        <f t="shared" si="88"/>
        <v>426.883837098247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</v>
      </c>
      <c r="AI92" s="14">
        <f>IF('Données projet'!$A$62&gt;35,AI91+AH92-AQ91,IF(A92&lt;'Données projet'!$A$62,$AF$205^A92,IF(A92='Données projet'!$A$62,'Données projet'!$B$62,AI91+AH92-AQ91)))</f>
        <v>460.00000000000045</v>
      </c>
      <c r="AJ92" s="14">
        <f>AI92*VLOOKUP('Données projet'!$B$10,Paramètres!$A$1:$I$89,3,0)*VLOOKUP('Données projet'!$B$10,Paramètres!$A$1:$I$89,5,0)</f>
        <v>215.28000000000023</v>
      </c>
      <c r="AK92" s="14">
        <f t="shared" si="89"/>
        <v>53.08772574085318</v>
      </c>
      <c r="AL92" s="22">
        <f t="shared" si="58"/>
        <v>467.40712233198633</v>
      </c>
      <c r="AM92" s="62">
        <f t="shared" si="59"/>
        <v>731.3882074401688</v>
      </c>
      <c r="AN92" s="62">
        <f ca="1">AVERAGE(OFFSET($AM$3,0,0,'Données projet'!$E$10+1,1))-AVERAGE(OFFSET($H$3,0,0,'Données projet'!$E$10+1,1))</f>
        <v>374.62597460242665</v>
      </c>
      <c r="AO92" s="62">
        <f t="shared" si="90"/>
        <v>277.50105097454616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409.68685886029164</v>
      </c>
      <c r="BJ92" s="62">
        <f t="shared" si="92"/>
        <v>330.8416508650887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0.94196944284162087</v>
      </c>
      <c r="BR92" s="23">
        <f>EXP(-LN(2)/2)*BR91+(1-EXP(-LN(2)/2))/(LN(2)/2)*BL92*BO92*VLOOKUP('Données projet'!$B$11,Paramètres!$A$1:$I$89,3,0)*0.475*44/12</f>
        <v>2.1763778143343794E-8</v>
      </c>
      <c r="BS92" s="24">
        <f t="shared" si="63"/>
        <v>0.94196946460539899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211.70619219850786</v>
      </c>
      <c r="T93" s="62">
        <f t="shared" si="88"/>
        <v>426.883837098247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</v>
      </c>
      <c r="AI93" s="14">
        <f>IF('Données projet'!$A$62&gt;35,AI92+AH93-AQ92,IF(A93&lt;'Données projet'!$A$62,$AF$205^A93,IF(A93='Données projet'!$A$62,'Données projet'!$B$62,AI92+AH93-AQ92)))</f>
        <v>473.00000000000045</v>
      </c>
      <c r="AJ93" s="14">
        <f>AI93*VLOOKUP('Données projet'!$B$10,Paramètres!$A$1:$I$89,3,0)*VLOOKUP('Données projet'!$B$10,Paramètres!$A$1:$I$89,5,0)</f>
        <v>221.3640000000002</v>
      </c>
      <c r="AK93" s="14">
        <f t="shared" si="89"/>
        <v>54.411237653200843</v>
      </c>
      <c r="AL93" s="22">
        <f t="shared" si="58"/>
        <v>480.30853891265838</v>
      </c>
      <c r="AM93" s="62">
        <f t="shared" si="59"/>
        <v>744.79881990575109</v>
      </c>
      <c r="AN93" s="62">
        <f ca="1">AVERAGE(OFFSET($AM$3,0,0,'Données projet'!$E$10+1,1))-AVERAGE(OFFSET($H$3,0,0,'Données projet'!$E$10+1,1))</f>
        <v>374.62597460242665</v>
      </c>
      <c r="AO93" s="62">
        <f t="shared" si="90"/>
        <v>277.50105097454616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409.68685886029164</v>
      </c>
      <c r="BJ93" s="62">
        <f t="shared" si="92"/>
        <v>330.8416508650887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0.91621123889109668</v>
      </c>
      <c r="BR93" s="23">
        <f>EXP(-LN(2)/2)*BR92+(1-EXP(-LN(2)/2))/(LN(2)/2)*BL93*BO93*VLOOKUP('Données projet'!$B$11,Paramètres!$A$1:$I$89,3,0)*0.475*44/12</f>
        <v>1.5389315109397965E-8</v>
      </c>
      <c r="BS93" s="24">
        <f t="shared" si="63"/>
        <v>0.91621125428041184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211.70619219850786</v>
      </c>
      <c r="T94" s="62">
        <f t="shared" si="88"/>
        <v>426.883837098247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</v>
      </c>
      <c r="AI94" s="14">
        <f>IF('Données projet'!$A$62&gt;35,AI93+AH94-AQ93,IF(A94&lt;'Données projet'!$A$62,$AF$205^A94,IF(A94='Données projet'!$A$62,'Données projet'!$B$62,AI93+AH94-AQ93)))</f>
        <v>486.00000000000045</v>
      </c>
      <c r="AJ94" s="14">
        <f>AI94*VLOOKUP('Données projet'!$B$10,Paramètres!$A$1:$I$89,3,0)*VLOOKUP('Données projet'!$B$10,Paramètres!$A$1:$I$89,5,0)</f>
        <v>227.44800000000021</v>
      </c>
      <c r="AK94" s="14">
        <f t="shared" si="89"/>
        <v>55.730521649800735</v>
      </c>
      <c r="AL94" s="22">
        <f t="shared" si="58"/>
        <v>493.20259187340326</v>
      </c>
      <c r="AM94" s="62">
        <f t="shared" si="59"/>
        <v>758.1932353411944</v>
      </c>
      <c r="AN94" s="62">
        <f ca="1">AVERAGE(OFFSET($AM$3,0,0,'Données projet'!$E$10+1,1))-AVERAGE(OFFSET($H$3,0,0,'Données projet'!$E$10+1,1))</f>
        <v>374.62597460242665</v>
      </c>
      <c r="AO94" s="62">
        <f t="shared" si="90"/>
        <v>277.50105097454616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409.68685886029164</v>
      </c>
      <c r="BJ94" s="62">
        <f t="shared" si="92"/>
        <v>330.8416508650887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0.89115739438216457</v>
      </c>
      <c r="BR94" s="23">
        <f>EXP(-LN(2)/2)*BR93+(1-EXP(-LN(2)/2))/(LN(2)/2)*BL94*BO94*VLOOKUP('Données projet'!$B$11,Paramètres!$A$1:$I$89,3,0)*0.475*44/12</f>
        <v>1.0881889071671897E-8</v>
      </c>
      <c r="BS94" s="24">
        <f t="shared" si="63"/>
        <v>0.89115740526405363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211.70619219850786</v>
      </c>
      <c r="T95" s="62">
        <f t="shared" si="88"/>
        <v>426.883837098247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</v>
      </c>
      <c r="AI95" s="14">
        <f>IF('Données projet'!$A$62&gt;35,AI94+AH95-AQ94,IF(A95&lt;'Données projet'!$A$62,$AF$205^A95,IF(A95='Données projet'!$A$62,'Données projet'!$B$62,AI94+AH95-AQ94)))</f>
        <v>499.00000000000045</v>
      </c>
      <c r="AJ95" s="14">
        <f>AI95*VLOOKUP('Données projet'!$B$10,Paramètres!$A$1:$I$89,3,0)*VLOOKUP('Données projet'!$B$10,Paramètres!$A$1:$I$89,5,0)</f>
        <v>233.53200000000021</v>
      </c>
      <c r="AK95" s="14">
        <f t="shared" si="89"/>
        <v>57.04570382109813</v>
      </c>
      <c r="AL95" s="22">
        <f t="shared" si="58"/>
        <v>506.08950082174624</v>
      </c>
      <c r="AM95" s="62">
        <f t="shared" si="59"/>
        <v>771.57182659394277</v>
      </c>
      <c r="AN95" s="62">
        <f ca="1">AVERAGE(OFFSET($AM$3,0,0,'Données projet'!$E$10+1,1))-AVERAGE(OFFSET($H$3,0,0,'Données projet'!$E$10+1,1))</f>
        <v>374.62597460242665</v>
      </c>
      <c r="AO95" s="62">
        <f t="shared" si="90"/>
        <v>277.50105097454616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409.68685886029164</v>
      </c>
      <c r="BJ95" s="62">
        <f t="shared" si="92"/>
        <v>330.8416508650887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0.86678864856885363</v>
      </c>
      <c r="BR95" s="23">
        <f>EXP(-LN(2)/2)*BR94+(1-EXP(-LN(2)/2))/(LN(2)/2)*BL95*BO95*VLOOKUP('Données projet'!$B$11,Paramètres!$A$1:$I$89,3,0)*0.475*44/12</f>
        <v>7.6946575546989827E-9</v>
      </c>
      <c r="BS95" s="24">
        <f t="shared" si="63"/>
        <v>0.8667886562635112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211.70619219850786</v>
      </c>
      <c r="T96" s="62">
        <f t="shared" si="88"/>
        <v>426.883837098247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</v>
      </c>
      <c r="AI96" s="14">
        <f>IF('Données projet'!$A$62&gt;35,AI95+AH96-AQ95,IF(A96&lt;'Données projet'!$A$62,$AF$205^A96,IF(A96='Données projet'!$A$62,'Données projet'!$B$62,AI95+AH96-AQ95)))</f>
        <v>512.00000000000045</v>
      </c>
      <c r="AJ96" s="14">
        <f>AI96*VLOOKUP('Données projet'!$B$10,Paramètres!$A$1:$I$89,3,0)*VLOOKUP('Données projet'!$B$10,Paramètres!$A$1:$I$89,5,0)</f>
        <v>239.61600000000021</v>
      </c>
      <c r="AK96" s="14">
        <f t="shared" si="89"/>
        <v>58.356903313490214</v>
      </c>
      <c r="AL96" s="22">
        <f t="shared" si="58"/>
        <v>518.96947327099576</v>
      </c>
      <c r="AM96" s="62">
        <f t="shared" si="59"/>
        <v>784.93495175885323</v>
      </c>
      <c r="AN96" s="62">
        <f ca="1">AVERAGE(OFFSET($AM$3,0,0,'Données projet'!$E$10+1,1))-AVERAGE(OFFSET($H$3,0,0,'Données projet'!$E$10+1,1))</f>
        <v>374.62597460242665</v>
      </c>
      <c r="AO96" s="62">
        <f t="shared" si="90"/>
        <v>277.50105097454616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409.68685886029164</v>
      </c>
      <c r="BJ96" s="62">
        <f t="shared" si="92"/>
        <v>330.8416508650887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0.84308626739130432</v>
      </c>
      <c r="BR96" s="23">
        <f>EXP(-LN(2)/2)*BR95+(1-EXP(-LN(2)/2))/(LN(2)/2)*BL96*BO96*VLOOKUP('Données projet'!$B$11,Paramètres!$A$1:$I$89,3,0)*0.475*44/12</f>
        <v>5.4409445358359484E-9</v>
      </c>
      <c r="BS96" s="24">
        <f t="shared" si="63"/>
        <v>0.84308627283224891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211.70619219850786</v>
      </c>
      <c r="T97" s="62">
        <f t="shared" si="88"/>
        <v>426.883837098247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525</v>
      </c>
      <c r="AG97" s="13">
        <f>VLOOKUP(A97,'Données projet'!$A$61:$I$81,9,0)</f>
        <v>13</v>
      </c>
      <c r="AH97" s="13">
        <f t="array" ref="AH97">INDEX(AG:AG,MIN(IF(ISNUMBER(AG97:AG293),ROW(AG97:AG293),"")))</f>
        <v>13</v>
      </c>
      <c r="AI97" s="14">
        <f>IF('Données projet'!$A$62&gt;35,AI96+AH97-AQ96,IF(A97&lt;'Données projet'!$A$62,$AF$205^A97,IF(A97='Données projet'!$A$62,'Données projet'!$B$62,AI96+AH97-AQ96)))</f>
        <v>525.00000000000045</v>
      </c>
      <c r="AJ97" s="14">
        <f>AI97*VLOOKUP('Données projet'!$B$10,Paramètres!$A$1:$I$89,3,0)*VLOOKUP('Données projet'!$B$10,Paramètres!$A$1:$I$89,5,0)</f>
        <v>245.70000000000022</v>
      </c>
      <c r="AK97" s="14">
        <f t="shared" si="89"/>
        <v>59.66423287821754</v>
      </c>
      <c r="AL97" s="22">
        <f t="shared" si="58"/>
        <v>531.84270559622928</v>
      </c>
      <c r="AM97" s="62">
        <f t="shared" si="59"/>
        <v>798.28295518029847</v>
      </c>
      <c r="AN97" s="62">
        <f ca="1">AVERAGE(OFFSET($AM$3,0,0,'Données projet'!$E$10+1,1))-AVERAGE(OFFSET($H$3,0,0,'Données projet'!$E$10+1,1))</f>
        <v>374.62597460242665</v>
      </c>
      <c r="AO97" s="62">
        <f t="shared" si="90"/>
        <v>277.50105097454616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409.68685886029164</v>
      </c>
      <c r="BJ97" s="62">
        <f t="shared" si="92"/>
        <v>330.8416508650887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0.82003202907350925</v>
      </c>
      <c r="BR97" s="23">
        <f>EXP(-LN(2)/2)*BR96+(1-EXP(-LN(2)/2))/(LN(2)/2)*BL97*BO97*VLOOKUP('Données projet'!$B$11,Paramètres!$A$1:$I$89,3,0)*0.475*44/12</f>
        <v>3.8473287773494914E-9</v>
      </c>
      <c r="BS97" s="24">
        <f t="shared" si="63"/>
        <v>0.82003203292083804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211.70619219850786</v>
      </c>
      <c r="T98" s="62">
        <f t="shared" si="88"/>
        <v>426.883837098247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</v>
      </c>
      <c r="AG98" s="13">
        <f>VLOOKUP(A98,'Données projet'!$A$61:$I$81,9,0)</f>
        <v>13</v>
      </c>
      <c r="AH98" s="13">
        <f t="array" ref="AH98">INDEX(AG:AG,MIN(IF(ISNUMBER(AG98:AG294),ROW(AG98:AG294),"")))</f>
        <v>13</v>
      </c>
      <c r="AI98" s="14">
        <f>IF('Données projet'!$A$62&gt;35,AI97+AH98-AQ97,IF(A98&lt;'Données projet'!$A$62,$AF$205^A98,IF(A98='Données projet'!$A$62,'Données projet'!$B$62,AI97+AH98-AQ97)))</f>
        <v>538.00000000000045</v>
      </c>
      <c r="AJ98" s="14">
        <f>AI98*VLOOKUP('Données projet'!$B$10,Paramètres!$A$1:$I$89,3,0)*VLOOKUP('Données projet'!$B$10,Paramètres!$A$1:$I$89,5,0)</f>
        <v>251.78400000000019</v>
      </c>
      <c r="AK98" s="14">
        <f t="shared" si="89"/>
        <v>60.967799364357568</v>
      </c>
      <c r="AL98" s="22">
        <f t="shared" si="58"/>
        <v>544.70938389292303</v>
      </c>
      <c r="AM98" s="62">
        <f t="shared" si="59"/>
        <v>811.61616835611392</v>
      </c>
      <c r="AN98" s="62">
        <f ca="1">AVERAGE(OFFSET($AM$3,0,0,'Données projet'!$E$10+1,1))-AVERAGE(OFFSET($H$3,0,0,'Données projet'!$E$10+1,1))</f>
        <v>374.62597460242665</v>
      </c>
      <c r="AO98" s="62">
        <f t="shared" si="90"/>
        <v>277.50105097454616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269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409.68685886029164</v>
      </c>
      <c r="BJ98" s="62">
        <f t="shared" si="92"/>
        <v>330.8416508650887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0.79760821011488392</v>
      </c>
      <c r="BR98" s="23">
        <f>EXP(-LN(2)/2)*BR97+(1-EXP(-LN(2)/2))/(LN(2)/2)*BL98*BO98*VLOOKUP('Données projet'!$B$11,Paramètres!$A$1:$I$89,3,0)*0.475*44/12</f>
        <v>2.7204722679179742E-9</v>
      </c>
      <c r="BS98" s="24">
        <f t="shared" si="63"/>
        <v>0.79760821283535621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211.70619219850786</v>
      </c>
      <c r="T99" s="62">
        <f t="shared" si="88"/>
        <v>426.883837098247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</v>
      </c>
      <c r="AG99" s="13">
        <f>VLOOKUP(A99,'Données projet'!$A$61:$I$81,9,0)</f>
        <v>11</v>
      </c>
      <c r="AH99" s="13">
        <f t="array" ref="AH99">INDEX(AG:AG,MIN(IF(ISNUMBER(AG99:AG295),ROW(AG99:AG295),"")))</f>
        <v>11</v>
      </c>
      <c r="AI99" s="14">
        <f>IF('Données projet'!$A$62&gt;35,AI98+AH99-AQ98,IF(A99&lt;'Données projet'!$A$62,$AF$205^A99,IF(A99='Données projet'!$A$62,'Données projet'!$B$62,AI98+AH99-AQ98)))</f>
        <v>280.00000000000045</v>
      </c>
      <c r="AJ99" s="14">
        <f>AI99*VLOOKUP('Données projet'!$B$10,Paramètres!$A$1:$I$89,3,0)*VLOOKUP('Données projet'!$B$10,Paramètres!$A$1:$I$89,5,0)</f>
        <v>131.04000000000019</v>
      </c>
      <c r="AK99" s="14">
        <f t="shared" si="89"/>
        <v>34.236561238949953</v>
      </c>
      <c r="AL99" s="22">
        <f t="shared" si="58"/>
        <v>287.85667749117147</v>
      </c>
      <c r="AM99" s="62">
        <f t="shared" si="59"/>
        <v>555.22190349634707</v>
      </c>
      <c r="AN99" s="62">
        <f ca="1">AVERAGE(OFFSET($AM$3,0,0,'Données projet'!$E$10+1,1))-AVERAGE(OFFSET($H$3,0,0,'Données projet'!$E$10+1,1))</f>
        <v>374.62597460242665</v>
      </c>
      <c r="AO99" s="62">
        <f t="shared" si="90"/>
        <v>277.50105097454616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409.68685886029164</v>
      </c>
      <c r="BJ99" s="62">
        <f t="shared" si="92"/>
        <v>330.8416508650887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0.7757975716648996</v>
      </c>
      <c r="BR99" s="23">
        <f>EXP(-LN(2)/2)*BR98+(1-EXP(-LN(2)/2))/(LN(2)/2)*BL99*BO99*VLOOKUP('Données projet'!$B$11,Paramètres!$A$1:$I$89,3,0)*0.475*44/12</f>
        <v>1.9236643886747457E-9</v>
      </c>
      <c r="BS99" s="24">
        <f t="shared" si="63"/>
        <v>0.77579757358856394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211.70619219850786</v>
      </c>
      <c r="T100" s="62">
        <f t="shared" si="88"/>
        <v>426.883837098247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8.5555555555555554</v>
      </c>
      <c r="AI100" s="14">
        <f>IF('Données projet'!$A$62&gt;35,AI99+AH100-AQ99,IF(A100&lt;'Données projet'!$A$62,$AF$205^A100,IF(A100='Données projet'!$A$62,'Données projet'!$B$62,AI99+AH100-AQ99)))</f>
        <v>288.555555555556</v>
      </c>
      <c r="AJ100" s="14">
        <f>AI100*VLOOKUP('Données projet'!$B$10,Paramètres!$A$1:$I$89,3,0)*VLOOKUP('Données projet'!$B$10,Paramètres!$A$1:$I$89,5,0)</f>
        <v>135.04400000000021</v>
      </c>
      <c r="AK100" s="14">
        <f t="shared" si="89"/>
        <v>35.159284945629004</v>
      </c>
      <c r="AL100" s="22">
        <f t="shared" si="58"/>
        <v>296.43738794697089</v>
      </c>
      <c r="AM100" s="62">
        <f t="shared" si="59"/>
        <v>564.25310255829936</v>
      </c>
      <c r="AN100" s="62">
        <f ca="1">AVERAGE(OFFSET($AM$3,0,0,'Données projet'!$E$10+1,1))-AVERAGE(OFFSET($H$3,0,0,'Données projet'!$E$10+1,1))</f>
        <v>374.62597460242665</v>
      </c>
      <c r="AO100" s="62">
        <f t="shared" si="90"/>
        <v>277.50105097454616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409.68685886029164</v>
      </c>
      <c r="BJ100" s="62">
        <f t="shared" si="92"/>
        <v>330.8416508650887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0.75458334627030177</v>
      </c>
      <c r="BR100" s="23">
        <f>EXP(-LN(2)/2)*BR99+(1-EXP(-LN(2)/2))/(LN(2)/2)*BL100*BO100*VLOOKUP('Données projet'!$B$11,Paramètres!$A$1:$I$89,3,0)*0.475*44/12</f>
        <v>1.3602361339589871E-9</v>
      </c>
      <c r="BS100" s="24">
        <f t="shared" si="63"/>
        <v>0.75458334763053792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211.70619219850786</v>
      </c>
      <c r="T101" s="62">
        <f t="shared" si="88"/>
        <v>426.883837098247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8.5555555555555554</v>
      </c>
      <c r="AI101" s="14">
        <f>IF('Données projet'!$A$62&gt;35,AI100+AH101-AQ100,IF(A101&lt;'Données projet'!$A$62,$AF$205^A101,IF(A101='Données projet'!$A$62,'Données projet'!$B$62,AI100+AH101-AQ100)))</f>
        <v>297.11111111111154</v>
      </c>
      <c r="AJ101" s="14">
        <f>AI101*VLOOKUP('Données projet'!$B$10,Paramètres!$A$1:$I$89,3,0)*VLOOKUP('Données projet'!$B$10,Paramètres!$A$1:$I$89,5,0)</f>
        <v>139.0480000000002</v>
      </c>
      <c r="AK101" s="14">
        <f t="shared" si="89"/>
        <v>36.078829132999324</v>
      </c>
      <c r="AL101" s="22">
        <f t="shared" si="58"/>
        <v>305.01256073997416</v>
      </c>
      <c r="AM101" s="62">
        <f t="shared" si="59"/>
        <v>573.27094898728046</v>
      </c>
      <c r="AN101" s="62">
        <f ca="1">AVERAGE(OFFSET($AM$3,0,0,'Données projet'!$E$10+1,1))-AVERAGE(OFFSET($H$3,0,0,'Données projet'!$E$10+1,1))</f>
        <v>374.62597460242665</v>
      </c>
      <c r="AO101" s="62">
        <f t="shared" si="90"/>
        <v>277.50105097454616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409.68685886029164</v>
      </c>
      <c r="BJ101" s="62">
        <f t="shared" si="92"/>
        <v>330.8416508650887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0.73394922498472681</v>
      </c>
      <c r="BR101" s="23">
        <f>EXP(-LN(2)/2)*BR100+(1-EXP(-LN(2)/2))/(LN(2)/2)*BL101*BO101*VLOOKUP('Données projet'!$B$11,Paramètres!$A$1:$I$89,3,0)*0.475*44/12</f>
        <v>9.6183219433737284E-10</v>
      </c>
      <c r="BS101" s="24">
        <f t="shared" si="63"/>
        <v>0.73394922594655898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211.70619219850786</v>
      </c>
      <c r="T102" s="62">
        <f t="shared" si="88"/>
        <v>426.883837098247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8.5555555555555554</v>
      </c>
      <c r="AI102" s="14">
        <f>IF('Données projet'!$A$62&gt;35,AI101+AH102-AQ101,IF(A102&lt;'Données projet'!$A$62,$AF$205^A102,IF(A102='Données projet'!$A$62,'Données projet'!$B$62,AI101+AH102-AQ101)))</f>
        <v>305.66666666666708</v>
      </c>
      <c r="AJ102" s="14">
        <f>AI102*VLOOKUP('Données projet'!$B$10,Paramètres!$A$1:$I$89,3,0)*VLOOKUP('Données projet'!$B$10,Paramètres!$A$1:$I$89,5,0)</f>
        <v>143.05200000000019</v>
      </c>
      <c r="AK102" s="14">
        <f t="shared" si="89"/>
        <v>36.995295872593921</v>
      </c>
      <c r="AL102" s="22">
        <f t="shared" si="58"/>
        <v>313.58237364476804</v>
      </c>
      <c r="AM102" s="62">
        <f t="shared" si="59"/>
        <v>582.27575613013801</v>
      </c>
      <c r="AN102" s="62">
        <f ca="1">AVERAGE(OFFSET($AM$3,0,0,'Données projet'!$E$10+1,1))-AVERAGE(OFFSET($H$3,0,0,'Données projet'!$E$10+1,1))</f>
        <v>374.62597460242665</v>
      </c>
      <c r="AO102" s="62">
        <f t="shared" si="90"/>
        <v>277.50105097454616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409.68685886029164</v>
      </c>
      <c r="BJ102" s="62">
        <f t="shared" si="92"/>
        <v>330.8416508650887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0.71387934483080717</v>
      </c>
      <c r="BR102" s="23">
        <f>EXP(-LN(2)/2)*BR101+(1-EXP(-LN(2)/2))/(LN(2)/2)*BL102*BO102*VLOOKUP('Données projet'!$B$11,Paramètres!$A$1:$I$89,3,0)*0.475*44/12</f>
        <v>6.8011806697949355E-10</v>
      </c>
      <c r="BS102" s="24">
        <f t="shared" si="63"/>
        <v>0.71387934551092525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211.70619219850786</v>
      </c>
      <c r="T103" s="62">
        <f t="shared" si="88"/>
        <v>426.883837098247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8.5555555555555554</v>
      </c>
      <c r="AI103" s="14">
        <f>IF('Données projet'!$A$62&gt;35,AI102+AH103-AQ102,IF(A103&lt;'Données projet'!$A$62,$AF$205^A103,IF(A103='Données projet'!$A$62,'Données projet'!$B$62,AI102+AH103-AQ102)))</f>
        <v>314.22222222222263</v>
      </c>
      <c r="AJ103" s="14">
        <f>AI103*VLOOKUP('Données projet'!$B$10,Paramètres!$A$1:$I$89,3,0)*VLOOKUP('Données projet'!$B$10,Paramètres!$A$1:$I$89,5,0)</f>
        <v>147.05600000000018</v>
      </c>
      <c r="AK103" s="14">
        <f t="shared" si="89"/>
        <v>37.908781196921652</v>
      </c>
      <c r="AL103" s="22">
        <f t="shared" si="58"/>
        <v>322.14699391797217</v>
      </c>
      <c r="AM103" s="62">
        <f t="shared" si="59"/>
        <v>591.26782446387688</v>
      </c>
      <c r="AN103" s="62">
        <f ca="1">AVERAGE(OFFSET($AM$3,0,0,'Données projet'!$E$10+1,1))-AVERAGE(OFFSET($H$3,0,0,'Données projet'!$E$10+1,1))</f>
        <v>374.62597460242665</v>
      </c>
      <c r="AO103" s="62">
        <f t="shared" si="90"/>
        <v>277.50105097454616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409.68685886029164</v>
      </c>
      <c r="BJ103" s="62">
        <f t="shared" si="92"/>
        <v>330.8416508650887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0.69435827660512561</v>
      </c>
      <c r="BR103" s="23">
        <f>EXP(-LN(2)/2)*BR102+(1-EXP(-LN(2)/2))/(LN(2)/2)*BL103*BO103*VLOOKUP('Données projet'!$B$11,Paramètres!$A$1:$I$89,3,0)*0.475*44/12</f>
        <v>4.8091609716868642E-10</v>
      </c>
      <c r="BS103" s="24">
        <f t="shared" si="63"/>
        <v>0.6943582770860417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211.70619219850786</v>
      </c>
      <c r="T104" s="62">
        <f t="shared" si="88"/>
        <v>426.883837098247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8.5555555555555554</v>
      </c>
      <c r="AI104" s="14">
        <f>IF('Données projet'!$A$62&gt;35,AI103+AH104-AQ103,IF(A104&lt;'Données projet'!$A$62,$AF$205^A104,IF(A104='Données projet'!$A$62,'Données projet'!$B$62,AI103+AH104-AQ103)))</f>
        <v>322.77777777777817</v>
      </c>
      <c r="AJ104" s="14">
        <f>AI104*VLOOKUP('Données projet'!$B$10,Paramètres!$A$1:$I$89,3,0)*VLOOKUP('Données projet'!$B$10,Paramètres!$A$1:$I$89,5,0)</f>
        <v>151.06000000000017</v>
      </c>
      <c r="AK104" s="14">
        <f t="shared" si="89"/>
        <v>38.819375611338231</v>
      </c>
      <c r="AL104" s="22">
        <f t="shared" si="58"/>
        <v>330.70657918974769</v>
      </c>
      <c r="AM104" s="62">
        <f t="shared" si="59"/>
        <v>600.24744252796745</v>
      </c>
      <c r="AN104" s="62">
        <f ca="1">AVERAGE(OFFSET($AM$3,0,0,'Données projet'!$E$10+1,1))-AVERAGE(OFFSET($H$3,0,0,'Données projet'!$E$10+1,1))</f>
        <v>374.62597460242665</v>
      </c>
      <c r="AO104" s="62">
        <f t="shared" si="90"/>
        <v>277.50105097454616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409.68685886029164</v>
      </c>
      <c r="BJ104" s="62">
        <f t="shared" si="92"/>
        <v>330.8416508650887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0.67537101301664371</v>
      </c>
      <c r="BR104" s="23">
        <f>EXP(-LN(2)/2)*BR103+(1-EXP(-LN(2)/2))/(LN(2)/2)*BL104*BO104*VLOOKUP('Données projet'!$B$11,Paramètres!$A$1:$I$89,3,0)*0.475*44/12</f>
        <v>3.4005903348974677E-10</v>
      </c>
      <c r="BS104" s="24">
        <f t="shared" si="63"/>
        <v>0.67537101335670269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211.70619219850786</v>
      </c>
      <c r="T105" s="62">
        <f t="shared" si="88"/>
        <v>426.883837098247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8.5555555555555554</v>
      </c>
      <c r="AI105" s="14">
        <f>IF('Données projet'!$A$62&gt;35,AI104+AH105-AQ104,IF(A105&lt;'Données projet'!$A$62,$AF$205^A105,IF(A105='Données projet'!$A$62,'Données projet'!$B$62,AI104+AH105-AQ104)))</f>
        <v>331.33333333333371</v>
      </c>
      <c r="AJ105" s="14">
        <f>AI105*VLOOKUP('Données projet'!$B$10,Paramètres!$A$1:$I$89,3,0)*VLOOKUP('Données projet'!$B$10,Paramètres!$A$1:$I$89,5,0)</f>
        <v>155.06400000000016</v>
      </c>
      <c r="AK105" s="14">
        <f t="shared" si="89"/>
        <v>39.727164550120129</v>
      </c>
      <c r="AL105" s="22">
        <f t="shared" si="58"/>
        <v>339.2612782581262</v>
      </c>
      <c r="AM105" s="62">
        <f t="shared" si="59"/>
        <v>609.21488775876696</v>
      </c>
      <c r="AN105" s="62">
        <f ca="1">AVERAGE(OFFSET($AM$3,0,0,'Données projet'!$E$10+1,1))-AVERAGE(OFFSET($H$3,0,0,'Données projet'!$E$10+1,1))</f>
        <v>374.62597460242665</v>
      </c>
      <c r="AO105" s="62">
        <f t="shared" si="90"/>
        <v>277.50105097454616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409.68685886029164</v>
      </c>
      <c r="BJ105" s="62">
        <f t="shared" si="92"/>
        <v>330.8416508650887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0.65690295714948554</v>
      </c>
      <c r="BR105" s="23">
        <f>EXP(-LN(2)/2)*BR104+(1-EXP(-LN(2)/2))/(LN(2)/2)*BL105*BO105*VLOOKUP('Données projet'!$B$11,Paramètres!$A$1:$I$89,3,0)*0.475*44/12</f>
        <v>2.4045804858434321E-10</v>
      </c>
      <c r="BS105" s="24">
        <f t="shared" si="63"/>
        <v>0.65690295738994364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211.70619219850786</v>
      </c>
      <c r="T106" s="62">
        <f t="shared" si="88"/>
        <v>426.883837098247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8.5555555555555554</v>
      </c>
      <c r="AI106" s="14">
        <f>IF('Données projet'!$A$62&gt;35,AI105+AH106-AQ105,IF(A106&lt;'Données projet'!$A$62,$AF$205^A106,IF(A106='Données projet'!$A$62,'Données projet'!$B$62,AI105+AH106-AQ105)))</f>
        <v>339.88888888888926</v>
      </c>
      <c r="AJ106" s="14">
        <f>AI106*VLOOKUP('Données projet'!$B$10,Paramètres!$A$1:$I$89,3,0)*VLOOKUP('Données projet'!$B$10,Paramètres!$A$1:$I$89,5,0)</f>
        <v>159.06800000000018</v>
      </c>
      <c r="AK106" s="14">
        <f t="shared" si="89"/>
        <v>40.632228784106786</v>
      </c>
      <c r="AL106" s="22">
        <f t="shared" si="58"/>
        <v>347.81123179898628</v>
      </c>
      <c r="AM106" s="62">
        <f t="shared" si="59"/>
        <v>618.17042723889222</v>
      </c>
      <c r="AN106" s="62">
        <f ca="1">AVERAGE(OFFSET($AM$3,0,0,'Données projet'!$E$10+1,1))-AVERAGE(OFFSET($H$3,0,0,'Données projet'!$E$10+1,1))</f>
        <v>374.62597460242665</v>
      </c>
      <c r="AO106" s="62">
        <f t="shared" si="90"/>
        <v>277.50105097454616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409.68685886029164</v>
      </c>
      <c r="BJ106" s="62">
        <f t="shared" si="92"/>
        <v>330.8416508650887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0.63893991124120775</v>
      </c>
      <c r="BR106" s="23">
        <f>EXP(-LN(2)/2)*BR105+(1-EXP(-LN(2)/2))/(LN(2)/2)*BL106*BO106*VLOOKUP('Données projet'!$B$11,Paramètres!$A$1:$I$89,3,0)*0.475*44/12</f>
        <v>1.7002951674487339E-10</v>
      </c>
      <c r="BS106" s="24">
        <f t="shared" si="63"/>
        <v>0.63893991141123729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211.70619219850786</v>
      </c>
      <c r="T107" s="62">
        <f t="shared" si="88"/>
        <v>426.883837098247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8.5555555555555554</v>
      </c>
      <c r="AI107" s="14">
        <f>IF('Données projet'!$A$62&gt;35,AI106+AH107-AQ106,IF(A107&lt;'Données projet'!$A$62,$AF$205^A107,IF(A107='Données projet'!$A$62,'Données projet'!$B$62,AI106+AH107-AQ106)))</f>
        <v>348.4444444444448</v>
      </c>
      <c r="AJ107" s="14">
        <f>AI107*VLOOKUP('Données projet'!$B$10,Paramètres!$A$1:$I$89,3,0)*VLOOKUP('Données projet'!$B$10,Paramètres!$A$1:$I$89,5,0)</f>
        <v>163.07200000000017</v>
      </c>
      <c r="AK107" s="14">
        <f t="shared" si="89"/>
        <v>41.53464478614341</v>
      </c>
      <c r="AL107" s="22">
        <f t="shared" si="58"/>
        <v>356.35657300253342</v>
      </c>
      <c r="AM107" s="62">
        <f t="shared" si="59"/>
        <v>627.11431837241275</v>
      </c>
      <c r="AN107" s="62">
        <f ca="1">AVERAGE(OFFSET($AM$3,0,0,'Données projet'!$E$10+1,1))-AVERAGE(OFFSET($H$3,0,0,'Données projet'!$E$10+1,1))</f>
        <v>374.62597460242665</v>
      </c>
      <c r="AO107" s="62">
        <f t="shared" si="90"/>
        <v>277.50105097454616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409.68685886029164</v>
      </c>
      <c r="BJ107" s="62">
        <f t="shared" si="92"/>
        <v>330.8416508650887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0.62146806576792735</v>
      </c>
      <c r="BR107" s="23">
        <f>EXP(-LN(2)/2)*BR106+(1-EXP(-LN(2)/2))/(LN(2)/2)*BL107*BO107*VLOOKUP('Données projet'!$B$11,Paramètres!$A$1:$I$89,3,0)*0.475*44/12</f>
        <v>1.202290242921716E-10</v>
      </c>
      <c r="BS107" s="24">
        <f t="shared" si="63"/>
        <v>0.6214680658881564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211.70619219850786</v>
      </c>
      <c r="T108" s="62">
        <f t="shared" si="88"/>
        <v>426.883837098247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357</v>
      </c>
      <c r="AG108" s="13">
        <f>VLOOKUP(A108,'Données projet'!$A$61:$I$81,9,0)</f>
        <v>8.5555555555555554</v>
      </c>
      <c r="AH108" s="13">
        <f t="array" ref="AH108">INDEX(AG:AG,MIN(IF(ISNUMBER(AG108:AG304),ROW(AG108:AG304),"")))</f>
        <v>8.5555555555555554</v>
      </c>
      <c r="AI108" s="14">
        <f>IF('Données projet'!$A$62&gt;35,AI107+AH108-AQ107,IF(A108&lt;'Données projet'!$A$62,$AF$205^A108,IF(A108='Données projet'!$A$62,'Données projet'!$B$62,AI107+AH108-AQ107)))</f>
        <v>357.00000000000034</v>
      </c>
      <c r="AJ108" s="14">
        <f>AI108*VLOOKUP('Données projet'!$B$10,Paramètres!$A$1:$I$89,3,0)*VLOOKUP('Données projet'!$B$10,Paramètres!$A$1:$I$89,5,0)</f>
        <v>167.07600000000016</v>
      </c>
      <c r="AK108" s="14">
        <f t="shared" si="89"/>
        <v>42.434485059621714</v>
      </c>
      <c r="AL108" s="22">
        <f t="shared" si="58"/>
        <v>364.89742814550806</v>
      </c>
      <c r="AM108" s="62">
        <f t="shared" si="59"/>
        <v>636.04680949509975</v>
      </c>
      <c r="AN108" s="62">
        <f ca="1">AVERAGE(OFFSET($AM$3,0,0,'Données projet'!$E$10+1,1))-AVERAGE(OFFSET($H$3,0,0,'Données projet'!$E$10+1,1))</f>
        <v>374.62597460242665</v>
      </c>
      <c r="AO108" s="62">
        <f t="shared" si="90"/>
        <v>277.50105097454616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409.68685886029164</v>
      </c>
      <c r="BJ108" s="62">
        <f t="shared" si="92"/>
        <v>330.8416508650887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0.60447398882791814</v>
      </c>
      <c r="BR108" s="23">
        <f>EXP(-LN(2)/2)*BR107+(1-EXP(-LN(2)/2))/(LN(2)/2)*BL108*BO108*VLOOKUP('Données projet'!$B$11,Paramètres!$A$1:$I$89,3,0)*0.475*44/12</f>
        <v>8.5014758372436694E-11</v>
      </c>
      <c r="BS108" s="24">
        <f t="shared" si="63"/>
        <v>0.60447398891293291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211.70619219850786</v>
      </c>
      <c r="T109" s="62">
        <f t="shared" si="88"/>
        <v>426.883837098247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1.5961632016114892E-13</v>
      </c>
      <c r="AK109" s="14">
        <f t="shared" si="89"/>
        <v>2.2708641912150958E-12</v>
      </c>
      <c r="AL109" s="22">
        <f t="shared" si="58"/>
        <v>4.2330868906469593E-12</v>
      </c>
      <c r="AM109" s="62">
        <f t="shared" si="59"/>
        <v>271.53422332062718</v>
      </c>
      <c r="AN109" s="62">
        <f ca="1">AVERAGE(OFFSET($AM$3,0,0,'Données projet'!$E$10+1,1))-AVERAGE(OFFSET($H$3,0,0,'Données projet'!$E$10+1,1))</f>
        <v>374.62597460242665</v>
      </c>
      <c r="AO109" s="62">
        <f t="shared" si="90"/>
        <v>277.50105097454616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409.68685886029164</v>
      </c>
      <c r="BJ109" s="62">
        <f t="shared" si="92"/>
        <v>330.8416508650887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0.58794461581551316</v>
      </c>
      <c r="BR109" s="23">
        <f>EXP(-LN(2)/2)*BR108+(1-EXP(-LN(2)/2))/(LN(2)/2)*BL109*BO109*VLOOKUP('Données projet'!$B$11,Paramètres!$A$1:$I$89,3,0)*0.475*44/12</f>
        <v>6.0114512146085802E-11</v>
      </c>
      <c r="BS109" s="24">
        <f t="shared" si="63"/>
        <v>0.58794461587562763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211.70619219850786</v>
      </c>
      <c r="T110" s="62">
        <f t="shared" si="88"/>
        <v>426.883837098247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1.5961632016114892E-13</v>
      </c>
      <c r="AK110" s="14">
        <f t="shared" si="89"/>
        <v>2.2708641912150958E-12</v>
      </c>
      <c r="AL110" s="22">
        <f t="shared" si="58"/>
        <v>4.2330868906469593E-12</v>
      </c>
      <c r="AM110" s="62">
        <f t="shared" si="59"/>
        <v>271.91238914383882</v>
      </c>
      <c r="AN110" s="62">
        <f ca="1">AVERAGE(OFFSET($AM$3,0,0,'Données projet'!$E$10+1,1))-AVERAGE(OFFSET($H$3,0,0,'Données projet'!$E$10+1,1))</f>
        <v>374.62597460242665</v>
      </c>
      <c r="AO110" s="62">
        <f t="shared" si="90"/>
        <v>277.50105097454616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409.68685886029164</v>
      </c>
      <c r="BJ110" s="62">
        <f t="shared" si="92"/>
        <v>330.8416508650887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0.57186723937737438</v>
      </c>
      <c r="BR110" s="23">
        <f>EXP(-LN(2)/2)*BR109+(1-EXP(-LN(2)/2))/(LN(2)/2)*BL110*BO110*VLOOKUP('Données projet'!$B$11,Paramètres!$A$1:$I$89,3,0)*0.475*44/12</f>
        <v>4.2507379186218347E-11</v>
      </c>
      <c r="BS110" s="24">
        <f t="shared" si="63"/>
        <v>0.57186723941988171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211.70619219850786</v>
      </c>
      <c r="T111" s="62">
        <f t="shared" si="88"/>
        <v>426.883837098247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1.5961632016114892E-13</v>
      </c>
      <c r="AK111" s="14">
        <f t="shared" si="89"/>
        <v>2.2708641912150958E-12</v>
      </c>
      <c r="AL111" s="22">
        <f t="shared" si="58"/>
        <v>4.2330868906469593E-12</v>
      </c>
      <c r="AM111" s="62">
        <f t="shared" si="59"/>
        <v>272.28399463546992</v>
      </c>
      <c r="AN111" s="62">
        <f ca="1">AVERAGE(OFFSET($AM$3,0,0,'Données projet'!$E$10+1,1))-AVERAGE(OFFSET($H$3,0,0,'Données projet'!$E$10+1,1))</f>
        <v>374.62597460242665</v>
      </c>
      <c r="AO111" s="62">
        <f t="shared" si="90"/>
        <v>277.50105097454616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409.68685886029164</v>
      </c>
      <c r="BJ111" s="62">
        <f t="shared" si="92"/>
        <v>330.8416508650887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0.55622949964340895</v>
      </c>
      <c r="BR111" s="23">
        <f>EXP(-LN(2)/2)*BR110+(1-EXP(-LN(2)/2))/(LN(2)/2)*BL111*BO111*VLOOKUP('Données projet'!$B$11,Paramètres!$A$1:$I$89,3,0)*0.475*44/12</f>
        <v>3.0057256073042901E-11</v>
      </c>
      <c r="BS111" s="24">
        <f t="shared" si="63"/>
        <v>0.55622949967346624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211.70619219850786</v>
      </c>
      <c r="T112" s="62">
        <f t="shared" si="88"/>
        <v>426.883837098247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1.5961632016114892E-13</v>
      </c>
      <c r="AK112" s="14">
        <f t="shared" si="89"/>
        <v>2.2708641912150958E-12</v>
      </c>
      <c r="AL112" s="22">
        <f t="shared" si="58"/>
        <v>4.2330868906469593E-12</v>
      </c>
      <c r="AM112" s="62">
        <f t="shared" si="59"/>
        <v>272.64915360260653</v>
      </c>
      <c r="AN112" s="62">
        <f ca="1">AVERAGE(OFFSET($AM$3,0,0,'Données projet'!$E$10+1,1))-AVERAGE(OFFSET($H$3,0,0,'Données projet'!$E$10+1,1))</f>
        <v>374.62597460242665</v>
      </c>
      <c r="AO112" s="62">
        <f t="shared" si="90"/>
        <v>277.50105097454616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409.68685886029164</v>
      </c>
      <c r="BJ112" s="62">
        <f t="shared" si="92"/>
        <v>330.8416508650887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0.54101937472482187</v>
      </c>
      <c r="BR112" s="23">
        <f>EXP(-LN(2)/2)*BR111+(1-EXP(-LN(2)/2))/(LN(2)/2)*BL112*BO112*VLOOKUP('Données projet'!$B$11,Paramètres!$A$1:$I$89,3,0)*0.475*44/12</f>
        <v>2.1253689593109173E-11</v>
      </c>
      <c r="BS112" s="24">
        <f t="shared" si="63"/>
        <v>0.54101937474607553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211.70619219850786</v>
      </c>
      <c r="T113" s="62">
        <f t="shared" si="88"/>
        <v>426.883837098247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2">
        <f t="shared" si="59"/>
        <v>273.00797787803657</v>
      </c>
      <c r="AN113" s="62">
        <f ca="1">AVERAGE(OFFSET($AM$3,0,0,'Données projet'!$E$10+1,1))-AVERAGE(OFFSET($H$3,0,0,'Données projet'!$E$10+1,1))</f>
        <v>374.62597460242665</v>
      </c>
      <c r="AO113" s="62">
        <f t="shared" si="90"/>
        <v>277.50105097454616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409.68685886029164</v>
      </c>
      <c r="BJ113" s="62">
        <f t="shared" si="92"/>
        <v>330.8416508650887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0.52622517147199921</v>
      </c>
      <c r="BR113" s="23">
        <f>EXP(-LN(2)/2)*BR112+(1-EXP(-LN(2)/2))/(LN(2)/2)*BL113*BO113*VLOOKUP('Données projet'!$B$11,Paramètres!$A$1:$I$89,3,0)*0.475*44/12</f>
        <v>1.5028628036521451E-11</v>
      </c>
      <c r="BS113" s="24">
        <f t="shared" si="63"/>
        <v>0.52622517148702785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211.70619219850786</v>
      </c>
      <c r="T114" s="62">
        <f t="shared" si="88"/>
        <v>426.883837098247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2">
        <f t="shared" si="59"/>
        <v>273.36057735449873</v>
      </c>
      <c r="AN114" s="62">
        <f ca="1">AVERAGE(OFFSET($AM$3,0,0,'Données projet'!$E$10+1,1))-AVERAGE(OFFSET($H$3,0,0,'Données projet'!$E$10+1,1))</f>
        <v>374.62597460242665</v>
      </c>
      <c r="AO114" s="62">
        <f t="shared" si="90"/>
        <v>277.50105097454616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409.68685886029164</v>
      </c>
      <c r="BJ114" s="62">
        <f t="shared" si="92"/>
        <v>330.8416508650887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0.51183551648511838</v>
      </c>
      <c r="BR114" s="23">
        <f>EXP(-LN(2)/2)*BR113+(1-EXP(-LN(2)/2))/(LN(2)/2)*BL114*BO114*VLOOKUP('Données projet'!$B$11,Paramètres!$A$1:$I$89,3,0)*0.475*44/12</f>
        <v>1.0626844796554587E-11</v>
      </c>
      <c r="BS114" s="24">
        <f t="shared" si="63"/>
        <v>0.51183551649574521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211.70619219850786</v>
      </c>
      <c r="T115" s="62">
        <f t="shared" si="88"/>
        <v>426.883837098247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2">
        <f t="shared" si="59"/>
        <v>273.70706001833861</v>
      </c>
      <c r="AN115" s="62">
        <f ca="1">AVERAGE(OFFSET($AM$3,0,0,'Données projet'!$E$10+1,1))-AVERAGE(OFFSET($H$3,0,0,'Données projet'!$E$10+1,1))</f>
        <v>374.62597460242665</v>
      </c>
      <c r="AO115" s="62">
        <f t="shared" si="90"/>
        <v>277.50105097454616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409.68685886029164</v>
      </c>
      <c r="BJ115" s="62">
        <f t="shared" si="92"/>
        <v>330.8416508650887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0.49783934737057284</v>
      </c>
      <c r="BR115" s="23">
        <f>EXP(-LN(2)/2)*BR114+(1-EXP(-LN(2)/2))/(LN(2)/2)*BL115*BO115*VLOOKUP('Données projet'!$B$11,Paramètres!$A$1:$I$89,3,0)*0.475*44/12</f>
        <v>7.5143140182607253E-12</v>
      </c>
      <c r="BS115" s="24">
        <f t="shared" si="63"/>
        <v>0.49783934737808716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211.70619219850786</v>
      </c>
      <c r="T116" s="62">
        <f t="shared" si="88"/>
        <v>426.883837098247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2">
        <f t="shared" si="59"/>
        <v>274.04753198258004</v>
      </c>
      <c r="AN116" s="62">
        <f ca="1">AVERAGE(OFFSET($AM$3,0,0,'Données projet'!$E$10+1,1))-AVERAGE(OFFSET($H$3,0,0,'Données projet'!$E$10+1,1))</f>
        <v>374.62597460242665</v>
      </c>
      <c r="AO116" s="62">
        <f t="shared" si="90"/>
        <v>277.50105097454616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409.68685886029164</v>
      </c>
      <c r="BJ116" s="62">
        <f t="shared" si="92"/>
        <v>330.8416508650887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0.48422590423649109</v>
      </c>
      <c r="BR116" s="23">
        <f>EXP(-LN(2)/2)*BR115+(1-EXP(-LN(2)/2))/(LN(2)/2)*BL116*BO116*VLOOKUP('Données projet'!$B$11,Paramètres!$A$1:$I$89,3,0)*0.475*44/12</f>
        <v>5.3134223982772933E-12</v>
      </c>
      <c r="BS116" s="24">
        <f t="shared" si="63"/>
        <v>0.48422590424180451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211.70619219850786</v>
      </c>
      <c r="T117" s="62">
        <f t="shared" si="88"/>
        <v>426.883837098247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2">
        <f t="shared" si="59"/>
        <v>274.38209751942321</v>
      </c>
      <c r="AN117" s="62">
        <f ca="1">AVERAGE(OFFSET($AM$3,0,0,'Données projet'!$E$10+1,1))-AVERAGE(OFFSET($H$3,0,0,'Données projet'!$E$10+1,1))</f>
        <v>374.62597460242665</v>
      </c>
      <c r="AO117" s="62">
        <f t="shared" si="90"/>
        <v>277.50105097454616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409.68685886029164</v>
      </c>
      <c r="BJ117" s="62">
        <f t="shared" si="92"/>
        <v>330.8416508650887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0.47098472142081066</v>
      </c>
      <c r="BR117" s="23">
        <f>EXP(-LN(2)/2)*BR116+(1-EXP(-LN(2)/2))/(LN(2)/2)*BL117*BO117*VLOOKUP('Données projet'!$B$11,Paramètres!$A$1:$I$89,3,0)*0.475*44/12</f>
        <v>3.7571570091303627E-12</v>
      </c>
      <c r="BS117" s="24">
        <f t="shared" si="63"/>
        <v>0.47098472142456782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211.70619219850786</v>
      </c>
      <c r="T118" s="62">
        <f t="shared" si="88"/>
        <v>426.883837098247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2">
        <f t="shared" si="59"/>
        <v>274.71085909217862</v>
      </c>
      <c r="AN118" s="62">
        <f ca="1">AVERAGE(OFFSET($AM$3,0,0,'Données projet'!$E$10+1,1))-AVERAGE(OFFSET($H$3,0,0,'Données projet'!$E$10+1,1))</f>
        <v>374.62597460242665</v>
      </c>
      <c r="AO118" s="62">
        <f t="shared" si="90"/>
        <v>277.50105097454616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409.68685886029164</v>
      </c>
      <c r="BJ118" s="62">
        <f t="shared" si="92"/>
        <v>330.8416508650887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0.45810561944554856</v>
      </c>
      <c r="BR118" s="23">
        <f>EXP(-LN(2)/2)*BR117+(1-EXP(-LN(2)/2))/(LN(2)/2)*BL118*BO118*VLOOKUP('Données projet'!$B$11,Paramètres!$A$1:$I$89,3,0)*0.475*44/12</f>
        <v>2.6567111991386467E-12</v>
      </c>
      <c r="BS118" s="24">
        <f t="shared" si="63"/>
        <v>0.45810561944820527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211.70619219850786</v>
      </c>
      <c r="T119" s="62">
        <f t="shared" si="88"/>
        <v>426.883837098247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2">
        <f t="shared" si="59"/>
        <v>275.03391738664754</v>
      </c>
      <c r="AN119" s="62">
        <f ca="1">AVERAGE(OFFSET($AM$3,0,0,'Données projet'!$E$10+1,1))-AVERAGE(OFFSET($H$3,0,0,'Données projet'!$E$10+1,1))</f>
        <v>374.62597460242665</v>
      </c>
      <c r="AO119" s="62">
        <f t="shared" si="90"/>
        <v>277.50105097454616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409.68685886029164</v>
      </c>
      <c r="BJ119" s="62">
        <f t="shared" si="92"/>
        <v>330.8416508650887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0.44557869719108251</v>
      </c>
      <c r="BR119" s="23">
        <f>EXP(-LN(2)/2)*BR118+(1-EXP(-LN(2)/2))/(LN(2)/2)*BL119*BO119*VLOOKUP('Données projet'!$B$11,Paramètres!$A$1:$I$89,3,0)*0.475*44/12</f>
        <v>1.8785785045651813E-12</v>
      </c>
      <c r="BS119" s="24">
        <f t="shared" si="63"/>
        <v>0.44557869719296106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211.70619219850786</v>
      </c>
      <c r="T120" s="62">
        <f t="shared" si="88"/>
        <v>426.883837098247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2">
        <f t="shared" si="59"/>
        <v>275.35137134195747</v>
      </c>
      <c r="AN120" s="62">
        <f ca="1">AVERAGE(OFFSET($AM$3,0,0,'Données projet'!$E$10+1,1))-AVERAGE(OFFSET($H$3,0,0,'Données projet'!$E$10+1,1))</f>
        <v>374.62597460242665</v>
      </c>
      <c r="AO120" s="62">
        <f t="shared" si="90"/>
        <v>277.50105097454616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409.68685886029164</v>
      </c>
      <c r="BJ120" s="62">
        <f t="shared" si="92"/>
        <v>330.8416508650887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0.43339432428442703</v>
      </c>
      <c r="BR120" s="23">
        <f>EXP(-LN(2)/2)*BR119+(1-EXP(-LN(2)/2))/(LN(2)/2)*BL120*BO120*VLOOKUP('Données projet'!$B$11,Paramètres!$A$1:$I$89,3,0)*0.475*44/12</f>
        <v>1.3283555995693233E-12</v>
      </c>
      <c r="BS120" s="24">
        <f t="shared" si="63"/>
        <v>0.43339432428575542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211.70619219850786</v>
      </c>
      <c r="T121" s="62">
        <f t="shared" si="88"/>
        <v>426.883837098247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2">
        <f t="shared" si="59"/>
        <v>275.66331818086354</v>
      </c>
      <c r="AN121" s="62">
        <f ca="1">AVERAGE(OFFSET($AM$3,0,0,'Données projet'!$E$10+1,1))-AVERAGE(OFFSET($H$3,0,0,'Données projet'!$E$10+1,1))</f>
        <v>374.62597460242665</v>
      </c>
      <c r="AO121" s="62">
        <f t="shared" si="90"/>
        <v>277.50105097454616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409.68685886029164</v>
      </c>
      <c r="BJ121" s="62">
        <f t="shared" si="92"/>
        <v>330.8416508650887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0.42154313369565238</v>
      </c>
      <c r="BR121" s="23">
        <f>EXP(-LN(2)/2)*BR120+(1-EXP(-LN(2)/2))/(LN(2)/2)*BL121*BO121*VLOOKUP('Données projet'!$B$11,Paramètres!$A$1:$I$89,3,0)*0.475*44/12</f>
        <v>9.3928925228259066E-13</v>
      </c>
      <c r="BS121" s="24">
        <f t="shared" si="63"/>
        <v>0.42154313369659169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211.70619219850786</v>
      </c>
      <c r="T122" s="62">
        <f t="shared" si="88"/>
        <v>426.883837098247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2">
        <f t="shared" si="59"/>
        <v>275.96985343952321</v>
      </c>
      <c r="AN122" s="62">
        <f ca="1">AVERAGE(OFFSET($AM$3,0,0,'Données projet'!$E$10+1,1))-AVERAGE(OFFSET($H$3,0,0,'Données projet'!$E$10+1,1))</f>
        <v>374.62597460242665</v>
      </c>
      <c r="AO122" s="62">
        <f t="shared" si="90"/>
        <v>277.50105097454616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409.68685886029164</v>
      </c>
      <c r="BJ122" s="62">
        <f t="shared" si="92"/>
        <v>330.8416508650887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0.41001601453675479</v>
      </c>
      <c r="BR122" s="23">
        <f>EXP(-LN(2)/2)*BR121+(1-EXP(-LN(2)/2))/(LN(2)/2)*BL122*BO122*VLOOKUP('Données projet'!$B$11,Paramètres!$A$1:$I$89,3,0)*0.475*44/12</f>
        <v>6.6417779978466167E-13</v>
      </c>
      <c r="BS122" s="24">
        <f t="shared" si="63"/>
        <v>0.41001601453741898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211.70619219850786</v>
      </c>
      <c r="T123" s="62">
        <f t="shared" si="88"/>
        <v>426.883837098247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2">
        <f t="shared" si="59"/>
        <v>276.27107099675538</v>
      </c>
      <c r="AN123" s="62">
        <f ca="1">AVERAGE(OFFSET($AM$3,0,0,'Données projet'!$E$10+1,1))-AVERAGE(OFFSET($H$3,0,0,'Données projet'!$E$10+1,1))</f>
        <v>374.62597460242665</v>
      </c>
      <c r="AO123" s="62">
        <f t="shared" si="90"/>
        <v>277.50105097454616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409.68685886029164</v>
      </c>
      <c r="BJ123" s="62">
        <f t="shared" si="92"/>
        <v>330.8416508650887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0.39880410505744213</v>
      </c>
      <c r="BR123" s="23">
        <f>EXP(-LN(2)/2)*BR122+(1-EXP(-LN(2)/2))/(LN(2)/2)*BL123*BO123*VLOOKUP('Données projet'!$B$11,Paramètres!$A$1:$I$89,3,0)*0.475*44/12</f>
        <v>4.6964462614129533E-13</v>
      </c>
      <c r="BS123" s="24">
        <f t="shared" si="63"/>
        <v>0.39880410505791175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211.70619219850786</v>
      </c>
      <c r="T124" s="62">
        <f t="shared" si="88"/>
        <v>426.883837098247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2">
        <f t="shared" si="59"/>
        <v>276.56706310279111</v>
      </c>
      <c r="AN124" s="62">
        <f ca="1">AVERAGE(OFFSET($AM$3,0,0,'Données projet'!$E$10+1,1))-AVERAGE(OFFSET($H$3,0,0,'Données projet'!$E$10+1,1))</f>
        <v>374.62597460242665</v>
      </c>
      <c r="AO124" s="62">
        <f t="shared" si="90"/>
        <v>277.50105097454616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409.68685886029164</v>
      </c>
      <c r="BJ124" s="62">
        <f t="shared" si="92"/>
        <v>330.8416508650887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0.38789878583244997</v>
      </c>
      <c r="BR124" s="23">
        <f>EXP(-LN(2)/2)*BR123+(1-EXP(-LN(2)/2))/(LN(2)/2)*BL124*BO124*VLOOKUP('Données projet'!$B$11,Paramètres!$A$1:$I$89,3,0)*0.475*44/12</f>
        <v>3.3208889989233083E-13</v>
      </c>
      <c r="BS124" s="24">
        <f t="shared" si="63"/>
        <v>0.38789878583278203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211.70619219850786</v>
      </c>
      <c r="T125" s="62">
        <f t="shared" si="88"/>
        <v>426.883837098247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2">
        <f t="shared" si="59"/>
        <v>276.85792040752636</v>
      </c>
      <c r="AN125" s="62">
        <f ca="1">AVERAGE(OFFSET($AM$3,0,0,'Données projet'!$E$10+1,1))-AVERAGE(OFFSET($H$3,0,0,'Données projet'!$E$10+1,1))</f>
        <v>374.62597460242665</v>
      </c>
      <c r="AO125" s="62">
        <f t="shared" si="90"/>
        <v>277.50105097454616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409.68685886029164</v>
      </c>
      <c r="BJ125" s="62">
        <f t="shared" si="92"/>
        <v>330.8416508650887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0.37729167313515105</v>
      </c>
      <c r="BR125" s="23">
        <f>EXP(-LN(2)/2)*BR124+(1-EXP(-LN(2)/2))/(LN(2)/2)*BL125*BO125*VLOOKUP('Données projet'!$B$11,Paramètres!$A$1:$I$89,3,0)*0.475*44/12</f>
        <v>2.3482231307064767E-13</v>
      </c>
      <c r="BS125" s="24">
        <f t="shared" si="63"/>
        <v>0.37729167313538586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211.70619219850786</v>
      </c>
      <c r="T126" s="62">
        <f t="shared" si="88"/>
        <v>426.883837098247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2">
        <f t="shared" si="59"/>
        <v>277.14373198828395</v>
      </c>
      <c r="AN126" s="62">
        <f ca="1">AVERAGE(OFFSET($AM$3,0,0,'Données projet'!$E$10+1,1))-AVERAGE(OFFSET($H$3,0,0,'Données projet'!$E$10+1,1))</f>
        <v>374.62597460242665</v>
      </c>
      <c r="AO126" s="62">
        <f t="shared" si="90"/>
        <v>277.50105097454616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409.68685886029164</v>
      </c>
      <c r="BJ126" s="62">
        <f t="shared" si="92"/>
        <v>330.8416508650887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0.36697461249236357</v>
      </c>
      <c r="BR126" s="23">
        <f>EXP(-LN(2)/2)*BR125+(1-EXP(-LN(2)/2))/(LN(2)/2)*BL126*BO126*VLOOKUP('Données projet'!$B$11,Paramètres!$A$1:$I$89,3,0)*0.475*44/12</f>
        <v>1.6604444994616542E-13</v>
      </c>
      <c r="BS126" s="24">
        <f t="shared" si="63"/>
        <v>0.36697461249252961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211.70619219850786</v>
      </c>
      <c r="T127" s="62">
        <f t="shared" si="88"/>
        <v>426.883837098247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2">
        <f t="shared" si="59"/>
        <v>277.42458537709433</v>
      </c>
      <c r="AN127" s="62">
        <f ca="1">AVERAGE(OFFSET($AM$3,0,0,'Données projet'!$E$10+1,1))-AVERAGE(OFFSET($H$3,0,0,'Données projet'!$E$10+1,1))</f>
        <v>374.62597460242665</v>
      </c>
      <c r="AO127" s="62">
        <f t="shared" si="90"/>
        <v>277.50105097454616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409.68685886029164</v>
      </c>
      <c r="BJ127" s="62">
        <f t="shared" si="92"/>
        <v>330.8416508650887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0.35693967241540375</v>
      </c>
      <c r="BR127" s="23">
        <f>EXP(-LN(2)/2)*BR126+(1-EXP(-LN(2)/2))/(LN(2)/2)*BL127*BO127*VLOOKUP('Données projet'!$B$11,Paramètres!$A$1:$I$89,3,0)*0.475*44/12</f>
        <v>1.1741115653532383E-13</v>
      </c>
      <c r="BS127" s="24">
        <f t="shared" si="63"/>
        <v>0.35693967241552116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211.70619219850786</v>
      </c>
      <c r="T128" s="62">
        <f t="shared" si="88"/>
        <v>426.883837098247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2">
        <f t="shared" si="59"/>
        <v>277.70056658750298</v>
      </c>
      <c r="AN128" s="62">
        <f ca="1">AVERAGE(OFFSET($AM$3,0,0,'Données projet'!$E$10+1,1))-AVERAGE(OFFSET($H$3,0,0,'Données projet'!$E$10+1,1))</f>
        <v>374.62597460242665</v>
      </c>
      <c r="AO128" s="62">
        <f t="shared" si="90"/>
        <v>277.50105097454616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409.68685886029164</v>
      </c>
      <c r="BJ128" s="62">
        <f t="shared" si="92"/>
        <v>330.8416508650887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0.34717913830256297</v>
      </c>
      <c r="BR128" s="23">
        <f>EXP(-LN(2)/2)*BR127+(1-EXP(-LN(2)/2))/(LN(2)/2)*BL128*BO128*VLOOKUP('Données projet'!$B$11,Paramètres!$A$1:$I$89,3,0)*0.475*44/12</f>
        <v>8.3022224973082709E-14</v>
      </c>
      <c r="BS128" s="24">
        <f t="shared" si="63"/>
        <v>0.34717913830264602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211.70619219850786</v>
      </c>
      <c r="T129" s="62">
        <f t="shared" si="88"/>
        <v>426.883837098247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2">
        <f t="shared" si="59"/>
        <v>277.97176014091258</v>
      </c>
      <c r="AN129" s="62">
        <f ca="1">AVERAGE(OFFSET($AM$3,0,0,'Données projet'!$E$10+1,1))-AVERAGE(OFFSET($H$3,0,0,'Données projet'!$E$10+1,1))</f>
        <v>374.62597460242665</v>
      </c>
      <c r="AO129" s="62">
        <f t="shared" si="90"/>
        <v>277.50105097454616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409.68685886029164</v>
      </c>
      <c r="BJ129" s="62">
        <f t="shared" si="92"/>
        <v>330.8416508650887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0.33768550650832202</v>
      </c>
      <c r="BR129" s="23">
        <f>EXP(-LN(2)/2)*BR128+(1-EXP(-LN(2)/2))/(LN(2)/2)*BL129*BO129*VLOOKUP('Données projet'!$B$11,Paramètres!$A$1:$I$89,3,0)*0.475*44/12</f>
        <v>5.8705578267661916E-14</v>
      </c>
      <c r="BS129" s="24">
        <f t="shared" si="63"/>
        <v>0.33768550650838075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211.70619219850786</v>
      </c>
      <c r="T130" s="62">
        <f t="shared" si="88"/>
        <v>426.883837098247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2">
        <f t="shared" si="59"/>
        <v>278.23824909246849</v>
      </c>
      <c r="AN130" s="62">
        <f ca="1">AVERAGE(OFFSET($AM$3,0,0,'Données projet'!$E$10+1,1))-AVERAGE(OFFSET($H$3,0,0,'Données projet'!$E$10+1,1))</f>
        <v>374.62597460242665</v>
      </c>
      <c r="AO130" s="62">
        <f t="shared" si="90"/>
        <v>277.50105097454616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409.68685886029164</v>
      </c>
      <c r="BJ130" s="62">
        <f t="shared" si="92"/>
        <v>330.8416508650887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0.32845147857474294</v>
      </c>
      <c r="BR130" s="23">
        <f>EXP(-LN(2)/2)*BR129+(1-EXP(-LN(2)/2))/(LN(2)/2)*BL130*BO130*VLOOKUP('Données projet'!$B$11,Paramètres!$A$1:$I$89,3,0)*0.475*44/12</f>
        <v>4.1511112486541354E-14</v>
      </c>
      <c r="BS130" s="24">
        <f t="shared" si="63"/>
        <v>0.32845147857478446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211.70619219850786</v>
      </c>
      <c r="T131" s="62">
        <f t="shared" si="88"/>
        <v>426.883837098247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2">
        <f t="shared" si="59"/>
        <v>278.50011505649496</v>
      </c>
      <c r="AN131" s="62">
        <f ca="1">AVERAGE(OFFSET($AM$3,0,0,'Données projet'!$E$10+1,1))-AVERAGE(OFFSET($H$3,0,0,'Données projet'!$E$10+1,1))</f>
        <v>374.62597460242665</v>
      </c>
      <c r="AO131" s="62">
        <f t="shared" si="90"/>
        <v>277.50105097454616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409.68685886029164</v>
      </c>
      <c r="BJ131" s="62">
        <f t="shared" si="92"/>
        <v>330.8416508650887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0.31946995562060404</v>
      </c>
      <c r="BR131" s="23">
        <f>EXP(-LN(2)/2)*BR130+(1-EXP(-LN(2)/2))/(LN(2)/2)*BL131*BO131*VLOOKUP('Données projet'!$B$11,Paramètres!$A$1:$I$89,3,0)*0.475*44/12</f>
        <v>2.9352789133830958E-14</v>
      </c>
      <c r="BS131" s="24">
        <f t="shared" si="63"/>
        <v>0.31946995562063341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211.70619219850786</v>
      </c>
      <c r="T132" s="62">
        <f t="shared" si="88"/>
        <v>426.883837098247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2">
        <f t="shared" ref="AM132:AM195" si="113">AL132+(AD132+AE132)*44/12</f>
        <v>278.75743823149014</v>
      </c>
      <c r="AN132" s="62">
        <f ca="1">AVERAGE(OFFSET($AM$3,0,0,'Données projet'!$E$10+1,1))-AVERAGE(OFFSET($H$3,0,0,'Données projet'!$E$10+1,1))</f>
        <v>374.62597460242665</v>
      </c>
      <c r="AO132" s="62">
        <f t="shared" si="90"/>
        <v>277.50105097454616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409.68685886029164</v>
      </c>
      <c r="BJ132" s="62">
        <f t="shared" si="92"/>
        <v>330.8416508650887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0.31073403288396384</v>
      </c>
      <c r="BR132" s="23">
        <f>EXP(-LN(2)/2)*BR131+(1-EXP(-LN(2)/2))/(LN(2)/2)*BL132*BO132*VLOOKUP('Données projet'!$B$11,Paramètres!$A$1:$I$89,3,0)*0.475*44/12</f>
        <v>2.0755556243270677E-14</v>
      </c>
      <c r="BS132" s="24">
        <f t="shared" ref="BS132:BS153" si="117">SUM(BP132:BR132)</f>
        <v>0.3107340328839846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211.70619219850786</v>
      </c>
      <c r="T133" s="62">
        <f t="shared" ref="T133:T196" si="142">$T$3</f>
        <v>426.883837098247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2">
        <f t="shared" si="113"/>
        <v>279.01029742468762</v>
      </c>
      <c r="AN133" s="62">
        <f ca="1">AVERAGE(OFFSET($AM$3,0,0,'Données projet'!$E$10+1,1))-AVERAGE(OFFSET($H$3,0,0,'Données projet'!$E$10+1,1))</f>
        <v>374.62597460242665</v>
      </c>
      <c r="AO133" s="62">
        <f t="shared" ref="AO133:AO196" si="144">$AO$3</f>
        <v>277.50105097454616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409.68685886029164</v>
      </c>
      <c r="BJ133" s="62">
        <f t="shared" ref="BJ133:BJ196" si="146">$BJ$3</f>
        <v>330.8416508650887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0.30223699441395924</v>
      </c>
      <c r="BR133" s="23">
        <f>EXP(-LN(2)/2)*BR132+(1-EXP(-LN(2)/2))/(LN(2)/2)*BL133*BO133*VLOOKUP('Données projet'!$B$11,Paramètres!$A$1:$I$89,3,0)*0.475*44/12</f>
        <v>1.4676394566915479E-14</v>
      </c>
      <c r="BS133" s="24">
        <f t="shared" si="117"/>
        <v>0.30223699441397389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211.70619219850786</v>
      </c>
      <c r="T134" s="62">
        <f t="shared" si="142"/>
        <v>426.883837098247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2">
        <f t="shared" si="113"/>
        <v>279.25877007619158</v>
      </c>
      <c r="AN134" s="62">
        <f ca="1">AVERAGE(OFFSET($AM$3,0,0,'Données projet'!$E$10+1,1))-AVERAGE(OFFSET($H$3,0,0,'Données projet'!$E$10+1,1))</f>
        <v>374.62597460242665</v>
      </c>
      <c r="AO134" s="62">
        <f t="shared" si="144"/>
        <v>277.50105097454616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409.68685886029164</v>
      </c>
      <c r="BJ134" s="62">
        <f t="shared" si="146"/>
        <v>330.8416508650887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0.29397230790775675</v>
      </c>
      <c r="BR134" s="23">
        <f>EXP(-LN(2)/2)*BR133+(1-EXP(-LN(2)/2))/(LN(2)/2)*BL134*BO134*VLOOKUP('Données projet'!$B$11,Paramètres!$A$1:$I$89,3,0)*0.475*44/12</f>
        <v>1.0377778121635339E-14</v>
      </c>
      <c r="BS134" s="24">
        <f t="shared" si="117"/>
        <v>0.29397230790776713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211.70619219850786</v>
      </c>
      <c r="T135" s="62">
        <f t="shared" si="142"/>
        <v>426.883837098247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2">
        <f t="shared" si="113"/>
        <v>279.50293228269362</v>
      </c>
      <c r="AN135" s="62">
        <f ca="1">AVERAGE(OFFSET($AM$3,0,0,'Données projet'!$E$10+1,1))-AVERAGE(OFFSET($H$3,0,0,'Données projet'!$E$10+1,1))</f>
        <v>374.62597460242665</v>
      </c>
      <c r="AO135" s="62">
        <f t="shared" si="144"/>
        <v>277.50105097454616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409.68685886029164</v>
      </c>
      <c r="BJ135" s="62">
        <f t="shared" si="146"/>
        <v>330.8416508650887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0.28593361968868736</v>
      </c>
      <c r="BR135" s="23">
        <f>EXP(-LN(2)/2)*BR134+(1-EXP(-LN(2)/2))/(LN(2)/2)*BL135*BO135*VLOOKUP('Données projet'!$B$11,Paramètres!$A$1:$I$89,3,0)*0.475*44/12</f>
        <v>7.3381972834577396E-15</v>
      </c>
      <c r="BS135" s="24">
        <f t="shared" si="117"/>
        <v>0.28593361968869468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211.70619219850786</v>
      </c>
      <c r="T136" s="62">
        <f t="shared" si="142"/>
        <v>426.883837098247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2">
        <f t="shared" si="113"/>
        <v>279.74285882077771</v>
      </c>
      <c r="AN136" s="62">
        <f ca="1">AVERAGE(OFFSET($AM$3,0,0,'Données projet'!$E$10+1,1))-AVERAGE(OFFSET($H$3,0,0,'Données projet'!$E$10+1,1))</f>
        <v>374.62597460242665</v>
      </c>
      <c r="AO136" s="62">
        <f t="shared" si="144"/>
        <v>277.50105097454616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409.68685886029164</v>
      </c>
      <c r="BJ136" s="62">
        <f t="shared" si="146"/>
        <v>330.8416508650887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0.27811474982170464</v>
      </c>
      <c r="BR136" s="23">
        <f>EXP(-LN(2)/2)*BR135+(1-EXP(-LN(2)/2))/(LN(2)/2)*BL136*BO136*VLOOKUP('Données projet'!$B$11,Paramètres!$A$1:$I$89,3,0)*0.475*44/12</f>
        <v>5.1888890608176693E-15</v>
      </c>
      <c r="BS136" s="24">
        <f t="shared" si="117"/>
        <v>0.27811474982170981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211.70619219850786</v>
      </c>
      <c r="T137" s="62">
        <f t="shared" si="142"/>
        <v>426.883837098247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2">
        <f t="shared" si="113"/>
        <v>279.97862316982145</v>
      </c>
      <c r="AN137" s="62">
        <f ca="1">AVERAGE(OFFSET($AM$3,0,0,'Données projet'!$E$10+1,1))-AVERAGE(OFFSET($H$3,0,0,'Données projet'!$E$10+1,1))</f>
        <v>374.62597460242665</v>
      </c>
      <c r="AO137" s="62">
        <f t="shared" si="144"/>
        <v>277.50105097454616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409.68685886029164</v>
      </c>
      <c r="BJ137" s="62">
        <f t="shared" si="146"/>
        <v>330.8416508650887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0.2705096873624111</v>
      </c>
      <c r="BR137" s="23">
        <f>EXP(-LN(2)/2)*BR136+(1-EXP(-LN(2)/2))/(LN(2)/2)*BL137*BO137*VLOOKUP('Données projet'!$B$11,Paramètres!$A$1:$I$89,3,0)*0.475*44/12</f>
        <v>3.6690986417288698E-15</v>
      </c>
      <c r="BS137" s="24">
        <f t="shared" si="117"/>
        <v>0.27050968736241476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211.70619219850786</v>
      </c>
      <c r="T138" s="62">
        <f t="shared" si="142"/>
        <v>426.883837098247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2">
        <f t="shared" si="113"/>
        <v>280.21029753449938</v>
      </c>
      <c r="AN138" s="62">
        <f ca="1">AVERAGE(OFFSET($AM$3,0,0,'Données projet'!$E$10+1,1))-AVERAGE(OFFSET($H$3,0,0,'Données projet'!$E$10+1,1))</f>
        <v>374.62597460242665</v>
      </c>
      <c r="AO138" s="62">
        <f t="shared" si="144"/>
        <v>277.50105097454616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409.68685886029164</v>
      </c>
      <c r="BJ138" s="62">
        <f t="shared" si="146"/>
        <v>330.8416508650887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0.26311258573599977</v>
      </c>
      <c r="BR138" s="23">
        <f>EXP(-LN(2)/2)*BR137+(1-EXP(-LN(2)/2))/(LN(2)/2)*BL138*BO138*VLOOKUP('Données projet'!$B$11,Paramètres!$A$1:$I$89,3,0)*0.475*44/12</f>
        <v>2.5944445304088346E-15</v>
      </c>
      <c r="BS138" s="24">
        <f t="shared" si="117"/>
        <v>0.26311258573600238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211.70619219850786</v>
      </c>
      <c r="T139" s="62">
        <f t="shared" si="142"/>
        <v>426.883837098247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2">
        <f t="shared" si="113"/>
        <v>280.43795286689635</v>
      </c>
      <c r="AN139" s="62">
        <f ca="1">AVERAGE(OFFSET($AM$3,0,0,'Données projet'!$E$10+1,1))-AVERAGE(OFFSET($H$3,0,0,'Données projet'!$E$10+1,1))</f>
        <v>374.62597460242665</v>
      </c>
      <c r="AO139" s="62">
        <f t="shared" si="144"/>
        <v>277.50105097454616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409.68685886029164</v>
      </c>
      <c r="BJ139" s="62">
        <f t="shared" si="146"/>
        <v>330.8416508650887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0.2559177582425593</v>
      </c>
      <c r="BR139" s="23">
        <f>EXP(-LN(2)/2)*BR138+(1-EXP(-LN(2)/2))/(LN(2)/2)*BL139*BO139*VLOOKUP('Données projet'!$B$11,Paramètres!$A$1:$I$89,3,0)*0.475*44/12</f>
        <v>1.8345493208644349E-15</v>
      </c>
      <c r="BS139" s="24">
        <f t="shared" si="117"/>
        <v>0.25591775824256113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211.70619219850786</v>
      </c>
      <c r="T140" s="62">
        <f t="shared" si="142"/>
        <v>426.883837098247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2">
        <f t="shared" si="113"/>
        <v>280.66165888823741</v>
      </c>
      <c r="AN140" s="62">
        <f ca="1">AVERAGE(OFFSET($AM$3,0,0,'Données projet'!$E$10+1,1))-AVERAGE(OFFSET($H$3,0,0,'Données projet'!$E$10+1,1))</f>
        <v>374.62597460242665</v>
      </c>
      <c r="AO140" s="62">
        <f t="shared" si="144"/>
        <v>277.50105097454616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409.68685886029164</v>
      </c>
      <c r="BJ140" s="62">
        <f t="shared" si="146"/>
        <v>330.8416508650887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0.24891967368528653</v>
      </c>
      <c r="BR140" s="23">
        <f>EXP(-LN(2)/2)*BR139+(1-EXP(-LN(2)/2))/(LN(2)/2)*BL140*BO140*VLOOKUP('Données projet'!$B$11,Paramètres!$A$1:$I$89,3,0)*0.475*44/12</f>
        <v>1.2972222652044173E-15</v>
      </c>
      <c r="BS140" s="24">
        <f t="shared" si="117"/>
        <v>0.24891967368528783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211.70619219850786</v>
      </c>
      <c r="T141" s="62">
        <f t="shared" si="142"/>
        <v>426.883837098247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2">
        <f t="shared" si="113"/>
        <v>280.88148411023991</v>
      </c>
      <c r="AN141" s="62">
        <f ca="1">AVERAGE(OFFSET($AM$3,0,0,'Données projet'!$E$10+1,1))-AVERAGE(OFFSET($H$3,0,0,'Données projet'!$E$10+1,1))</f>
        <v>374.62597460242665</v>
      </c>
      <c r="AO141" s="62">
        <f t="shared" si="144"/>
        <v>277.50105097454616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409.68685886029164</v>
      </c>
      <c r="BJ141" s="62">
        <f t="shared" si="146"/>
        <v>330.8416508650887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0.24211295211824566</v>
      </c>
      <c r="BR141" s="23">
        <f>EXP(-LN(2)/2)*BR140+(1-EXP(-LN(2)/2))/(LN(2)/2)*BL141*BO141*VLOOKUP('Données projet'!$B$11,Paramètres!$A$1:$I$89,3,0)*0.475*44/12</f>
        <v>9.1727466043221744E-16</v>
      </c>
      <c r="BS141" s="24">
        <f t="shared" si="117"/>
        <v>0.24211295211824657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211.70619219850786</v>
      </c>
      <c r="T142" s="62">
        <f t="shared" si="142"/>
        <v>426.883837098247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2">
        <f t="shared" si="113"/>
        <v>281.09749585609626</v>
      </c>
      <c r="AN142" s="62">
        <f ca="1">AVERAGE(OFFSET($AM$3,0,0,'Données projet'!$E$10+1,1))-AVERAGE(OFFSET($H$3,0,0,'Données projet'!$E$10+1,1))</f>
        <v>374.62597460242665</v>
      </c>
      <c r="AO142" s="62">
        <f t="shared" si="144"/>
        <v>277.50105097454616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409.68685886029164</v>
      </c>
      <c r="BJ142" s="62">
        <f t="shared" si="146"/>
        <v>330.8416508650887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0.23549236071040544</v>
      </c>
      <c r="BR142" s="23">
        <f>EXP(-LN(2)/2)*BR141+(1-EXP(-LN(2)/2))/(LN(2)/2)*BL142*BO142*VLOOKUP('Données projet'!$B$11,Paramètres!$A$1:$I$89,3,0)*0.475*44/12</f>
        <v>6.4861113260220866E-16</v>
      </c>
      <c r="BS142" s="24">
        <f t="shared" si="117"/>
        <v>0.23549236071040608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211.70619219850786</v>
      </c>
      <c r="T143" s="62">
        <f t="shared" si="142"/>
        <v>426.883837098247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2">
        <f t="shared" si="113"/>
        <v>281.30976028109194</v>
      </c>
      <c r="AN143" s="62">
        <f ca="1">AVERAGE(OFFSET($AM$3,0,0,'Données projet'!$E$10+1,1))-AVERAGE(OFFSET($H$3,0,0,'Données projet'!$E$10+1,1))</f>
        <v>374.62597460242665</v>
      </c>
      <c r="AO143" s="62">
        <f t="shared" si="144"/>
        <v>277.50105097454616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409.68685886029164</v>
      </c>
      <c r="BJ143" s="62">
        <f t="shared" si="146"/>
        <v>330.8416508650887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0.22905280972277439</v>
      </c>
      <c r="BR143" s="23">
        <f>EXP(-LN(2)/2)*BR142+(1-EXP(-LN(2)/2))/(LN(2)/2)*BL143*BO143*VLOOKUP('Données projet'!$B$11,Paramètres!$A$1:$I$89,3,0)*0.475*44/12</f>
        <v>4.5863733021610872E-16</v>
      </c>
      <c r="BS143" s="24">
        <f t="shared" si="117"/>
        <v>0.22905280972277486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211.70619219850786</v>
      </c>
      <c r="T144" s="62">
        <f t="shared" si="142"/>
        <v>426.883837098247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2">
        <f t="shared" si="113"/>
        <v>281.51834239286603</v>
      </c>
      <c r="AN144" s="62">
        <f ca="1">AVERAGE(OFFSET($AM$3,0,0,'Données projet'!$E$10+1,1))-AVERAGE(OFFSET($H$3,0,0,'Données projet'!$E$10+1,1))</f>
        <v>374.62597460242665</v>
      </c>
      <c r="AO144" s="62">
        <f t="shared" si="144"/>
        <v>277.50105097454616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409.68685886029164</v>
      </c>
      <c r="BJ144" s="62">
        <f t="shared" si="146"/>
        <v>330.8416508650887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0.22278934859554136</v>
      </c>
      <c r="BR144" s="23">
        <f>EXP(-LN(2)/2)*BR143+(1-EXP(-LN(2)/2))/(LN(2)/2)*BL144*BO144*VLOOKUP('Données projet'!$B$11,Paramètres!$A$1:$I$89,3,0)*0.475*44/12</f>
        <v>3.2430556630110433E-16</v>
      </c>
      <c r="BS144" s="24">
        <f t="shared" si="117"/>
        <v>0.2227893485955417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211.70619219850786</v>
      </c>
      <c r="T145" s="62">
        <f t="shared" si="142"/>
        <v>426.883837098247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2">
        <f t="shared" si="113"/>
        <v>281.72330607132068</v>
      </c>
      <c r="AN145" s="62">
        <f ca="1">AVERAGE(OFFSET($AM$3,0,0,'Données projet'!$E$10+1,1))-AVERAGE(OFFSET($H$3,0,0,'Données projet'!$E$10+1,1))</f>
        <v>374.62597460242665</v>
      </c>
      <c r="AO145" s="62">
        <f t="shared" si="144"/>
        <v>277.50105097454616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409.68685886029164</v>
      </c>
      <c r="BJ145" s="62">
        <f t="shared" si="146"/>
        <v>330.8416508650887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0.21669716214221363</v>
      </c>
      <c r="BR145" s="23">
        <f>EXP(-LN(2)/2)*BR144+(1-EXP(-LN(2)/2))/(LN(2)/2)*BL145*BO145*VLOOKUP('Données projet'!$B$11,Paramètres!$A$1:$I$89,3,0)*0.475*44/12</f>
        <v>2.2931866510805436E-16</v>
      </c>
      <c r="BS145" s="24">
        <f t="shared" si="117"/>
        <v>0.21669716214221385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211.70619219850786</v>
      </c>
      <c r="T146" s="62">
        <f t="shared" si="142"/>
        <v>426.883837098247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2">
        <f t="shared" si="113"/>
        <v>281.9247140881842</v>
      </c>
      <c r="AN146" s="62">
        <f ca="1">AVERAGE(OFFSET($AM$3,0,0,'Données projet'!$E$10+1,1))-AVERAGE(OFFSET($H$3,0,0,'Données projet'!$E$10+1,1))</f>
        <v>374.62597460242665</v>
      </c>
      <c r="AO146" s="62">
        <f t="shared" si="144"/>
        <v>277.50105097454616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409.68685886029164</v>
      </c>
      <c r="BJ146" s="62">
        <f t="shared" si="146"/>
        <v>330.8416508650887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0.2107715668478263</v>
      </c>
      <c r="BR146" s="23">
        <f>EXP(-LN(2)/2)*BR145+(1-EXP(-LN(2)/2))/(LN(2)/2)*BL146*BO146*VLOOKUP('Données projet'!$B$11,Paramètres!$A$1:$I$89,3,0)*0.475*44/12</f>
        <v>1.6215278315055217E-16</v>
      </c>
      <c r="BS146" s="24">
        <f t="shared" si="117"/>
        <v>0.21077156684782647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211.70619219850786</v>
      </c>
      <c r="T147" s="62">
        <f t="shared" si="142"/>
        <v>426.883837098247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2">
        <f t="shared" si="113"/>
        <v>282.12262812623595</v>
      </c>
      <c r="AN147" s="62">
        <f ca="1">AVERAGE(OFFSET($AM$3,0,0,'Données projet'!$E$10+1,1))-AVERAGE(OFFSET($H$3,0,0,'Données projet'!$E$10+1,1))</f>
        <v>374.62597460242665</v>
      </c>
      <c r="AO147" s="62">
        <f t="shared" si="144"/>
        <v>277.50105097454616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409.68685886029164</v>
      </c>
      <c r="BJ147" s="62">
        <f t="shared" si="146"/>
        <v>330.8416508650887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0.20500800726837751</v>
      </c>
      <c r="BR147" s="23">
        <f>EXP(-LN(2)/2)*BR146+(1-EXP(-LN(2)/2))/(LN(2)/2)*BL147*BO147*VLOOKUP('Données projet'!$B$11,Paramètres!$A$1:$I$89,3,0)*0.475*44/12</f>
        <v>1.1465933255402718E-16</v>
      </c>
      <c r="BS147" s="24">
        <f t="shared" si="117"/>
        <v>0.20500800726837762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211.70619219850786</v>
      </c>
      <c r="T148" s="62">
        <f t="shared" si="142"/>
        <v>426.883837098247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2">
        <f t="shared" si="113"/>
        <v>282.31710879819718</v>
      </c>
      <c r="AN148" s="62">
        <f ca="1">AVERAGE(OFFSET($AM$3,0,0,'Données projet'!$E$10+1,1))-AVERAGE(OFFSET($H$3,0,0,'Données projet'!$E$10+1,1))</f>
        <v>374.62597460242665</v>
      </c>
      <c r="AO148" s="62">
        <f t="shared" si="144"/>
        <v>277.50105097454616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409.68685886029164</v>
      </c>
      <c r="BJ148" s="62">
        <f t="shared" si="146"/>
        <v>330.8416508650887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0.19940205252872117</v>
      </c>
      <c r="BR148" s="23">
        <f>EXP(-LN(2)/2)*BR147+(1-EXP(-LN(2)/2))/(LN(2)/2)*BL148*BO148*VLOOKUP('Données projet'!$B$11,Paramètres!$A$1:$I$89,3,0)*0.475*44/12</f>
        <v>8.1076391575276083E-17</v>
      </c>
      <c r="BS148" s="24">
        <f t="shared" si="117"/>
        <v>0.19940205252872126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211.70619219850786</v>
      </c>
      <c r="T149" s="62">
        <f t="shared" si="142"/>
        <v>426.883837098247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2">
        <f t="shared" si="113"/>
        <v>282.50821566529345</v>
      </c>
      <c r="AN149" s="62">
        <f ca="1">AVERAGE(OFFSET($AM$3,0,0,'Données projet'!$E$10+1,1))-AVERAGE(OFFSET($H$3,0,0,'Données projet'!$E$10+1,1))</f>
        <v>374.62597460242665</v>
      </c>
      <c r="AO149" s="62">
        <f t="shared" si="144"/>
        <v>277.50105097454616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409.68685886029164</v>
      </c>
      <c r="BJ149" s="62">
        <f t="shared" si="146"/>
        <v>330.8416508650887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0.19394939291622509</v>
      </c>
      <c r="BR149" s="23">
        <f>EXP(-LN(2)/2)*BR148+(1-EXP(-LN(2)/2))/(LN(2)/2)*BL149*BO149*VLOOKUP('Données projet'!$B$11,Paramètres!$A$1:$I$89,3,0)*0.475*44/12</f>
        <v>5.732966627701359E-17</v>
      </c>
      <c r="BS149" s="24">
        <f t="shared" si="117"/>
        <v>0.19394939291622515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211.70619219850786</v>
      </c>
      <c r="T150" s="62">
        <f t="shared" si="142"/>
        <v>426.883837098247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2">
        <f t="shared" si="113"/>
        <v>282.69600725549651</v>
      </c>
      <c r="AN150" s="62">
        <f ca="1">AVERAGE(OFFSET($AM$3,0,0,'Données projet'!$E$10+1,1))-AVERAGE(OFFSET($H$3,0,0,'Données projet'!$E$10+1,1))</f>
        <v>374.62597460242665</v>
      </c>
      <c r="AO150" s="62">
        <f t="shared" si="144"/>
        <v>277.50105097454616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409.68685886029164</v>
      </c>
      <c r="BJ150" s="62">
        <f t="shared" si="146"/>
        <v>330.8416508650887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0.18864583656757564</v>
      </c>
      <c r="BR150" s="23">
        <f>EXP(-LN(2)/2)*BR149+(1-EXP(-LN(2)/2))/(LN(2)/2)*BL150*BO150*VLOOKUP('Données projet'!$B$11,Paramètres!$A$1:$I$89,3,0)*0.475*44/12</f>
        <v>4.0538195787638041E-17</v>
      </c>
      <c r="BS150" s="24">
        <f t="shared" si="117"/>
        <v>0.18864583656757566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211.70619219850786</v>
      </c>
      <c r="T151" s="62">
        <f t="shared" si="142"/>
        <v>426.883837098247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2">
        <f t="shared" si="113"/>
        <v>282.88054108144865</v>
      </c>
      <c r="AN151" s="62">
        <f ca="1">AVERAGE(OFFSET($AM$3,0,0,'Données projet'!$E$10+1,1))-AVERAGE(OFFSET($H$3,0,0,'Données projet'!$E$10+1,1))</f>
        <v>374.62597460242665</v>
      </c>
      <c r="AO151" s="62">
        <f t="shared" si="144"/>
        <v>277.50105097454616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409.68685886029164</v>
      </c>
      <c r="BJ151" s="62">
        <f t="shared" si="146"/>
        <v>330.8416508650887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0.1834873062461819</v>
      </c>
      <c r="BR151" s="23">
        <f>EXP(-LN(2)/2)*BR150+(1-EXP(-LN(2)/2))/(LN(2)/2)*BL151*BO151*VLOOKUP('Données projet'!$B$11,Paramètres!$A$1:$I$89,3,0)*0.475*44/12</f>
        <v>2.8664833138506795E-17</v>
      </c>
      <c r="BS151" s="24">
        <f t="shared" si="117"/>
        <v>0.18348730624618192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211.70619219850786</v>
      </c>
      <c r="T152" s="62">
        <f t="shared" si="142"/>
        <v>426.883837098247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2">
        <f t="shared" si="113"/>
        <v>283.06187365807637</v>
      </c>
      <c r="AN152" s="62">
        <f ca="1">AVERAGE(OFFSET($AM$3,0,0,'Données projet'!$E$10+1,1))-AVERAGE(OFFSET($H$3,0,0,'Données projet'!$E$10+1,1))</f>
        <v>374.62597460242665</v>
      </c>
      <c r="AO152" s="62">
        <f t="shared" si="144"/>
        <v>277.50105097454616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409.68685886029164</v>
      </c>
      <c r="BJ152" s="62">
        <f t="shared" si="146"/>
        <v>330.8416508650887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0.17846983620770199</v>
      </c>
      <c r="BR152" s="23">
        <f>EXP(-LN(2)/2)*BR151+(1-EXP(-LN(2)/2))/(LN(2)/2)*BL152*BO152*VLOOKUP('Données projet'!$B$11,Paramètres!$A$1:$I$89,3,0)*0.475*44/12</f>
        <v>2.0269097893819021E-17</v>
      </c>
      <c r="BS152" s="24">
        <f t="shared" si="117"/>
        <v>0.17846983620770202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211.70619219850786</v>
      </c>
      <c r="T153" s="62">
        <f t="shared" si="142"/>
        <v>426.883837098247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2">
        <f t="shared" si="113"/>
        <v>283.24006051989852</v>
      </c>
      <c r="AN153" s="62">
        <f ca="1">AVERAGE(OFFSET($AM$3,0,0,'Données projet'!$E$10+1,1))-AVERAGE(OFFSET($H$3,0,0,'Données projet'!$E$10+1,1))</f>
        <v>374.62597460242665</v>
      </c>
      <c r="AO153" s="62">
        <f t="shared" si="144"/>
        <v>277.50105097454616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409.68685886029164</v>
      </c>
      <c r="BJ153" s="62">
        <f t="shared" si="146"/>
        <v>330.8416508650887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0.1735895691512816</v>
      </c>
      <c r="BR153" s="23">
        <f>EXP(-LN(2)/2)*BR152+(1-EXP(-LN(2)/2))/(LN(2)/2)*BL153*BO153*VLOOKUP('Données projet'!$B$11,Paramètres!$A$1:$I$89,3,0)*0.475*44/12</f>
        <v>1.4332416569253398E-17</v>
      </c>
      <c r="BS153" s="24">
        <f t="shared" si="117"/>
        <v>0.17358956915128163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211.70619219850786</v>
      </c>
      <c r="T154" s="62">
        <f t="shared" si="142"/>
        <v>426.883837098247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2">
        <f t="shared" si="113"/>
        <v>283.41515623803417</v>
      </c>
      <c r="AN154" s="62">
        <f ca="1">AVERAGE(OFFSET($AM$3,0,0,'Données projet'!$E$10+1,1))-AVERAGE(OFFSET($H$3,0,0,'Données projet'!$E$10+1,1))</f>
        <v>374.62597460242665</v>
      </c>
      <c r="AO154" s="62">
        <f t="shared" si="144"/>
        <v>277.50105097454616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409.68685886029164</v>
      </c>
      <c r="BJ154" s="62">
        <f t="shared" si="146"/>
        <v>330.8416508650887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0.16884275325416109</v>
      </c>
      <c r="BR154" s="23">
        <f>EXP(-LN(2)/2)*BR153+(1-EXP(-LN(2)/2))/(LN(2)/2)*BL154*BO154*VLOOKUP('Données projet'!$B$11,Paramètres!$A$1:$I$89,3,0)*0.475*44/12</f>
        <v>1.013454894690951E-17</v>
      </c>
      <c r="BS154" s="24">
        <f t="shared" ref="BS154:BS203" si="169">SUM(BP154:BR154)</f>
        <v>0.16884275325416109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211.70619219850786</v>
      </c>
      <c r="T155" s="62">
        <f t="shared" si="142"/>
        <v>426.883837098247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2">
        <f t="shared" si="113"/>
        <v>283.58721443691559</v>
      </c>
      <c r="AN155" s="62">
        <f ca="1">AVERAGE(OFFSET($AM$3,0,0,'Données projet'!$E$10+1,1))-AVERAGE(OFFSET($H$3,0,0,'Données projet'!$E$10+1,1))</f>
        <v>374.62597460242665</v>
      </c>
      <c r="AO155" s="62">
        <f t="shared" si="144"/>
        <v>277.50105097454616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409.68685886029164</v>
      </c>
      <c r="BJ155" s="62">
        <f t="shared" si="146"/>
        <v>330.8416508650887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0.16422573928737155</v>
      </c>
      <c r="BR155" s="23">
        <f>EXP(-LN(2)/2)*BR154+(1-EXP(-LN(2)/2))/(LN(2)/2)*BL155*BO155*VLOOKUP('Données projet'!$B$11,Paramètres!$A$1:$I$89,3,0)*0.475*44/12</f>
        <v>7.1662082846266988E-18</v>
      </c>
      <c r="BS155" s="24">
        <f t="shared" si="169"/>
        <v>0.16422573928737155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211.70619219850786</v>
      </c>
      <c r="T156" s="62">
        <f t="shared" si="142"/>
        <v>426.883837098247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2">
        <f t="shared" si="113"/>
        <v>283.75628781071083</v>
      </c>
      <c r="AN156" s="62">
        <f ca="1">AVERAGE(OFFSET($AM$3,0,0,'Données projet'!$E$10+1,1))-AVERAGE(OFFSET($H$3,0,0,'Données projet'!$E$10+1,1))</f>
        <v>374.62597460242665</v>
      </c>
      <c r="AO156" s="62">
        <f t="shared" si="144"/>
        <v>277.50105097454616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409.68685886029164</v>
      </c>
      <c r="BJ156" s="62">
        <f t="shared" si="146"/>
        <v>330.8416508650887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0.1597349778103021</v>
      </c>
      <c r="BR156" s="23">
        <f>EXP(-LN(2)/2)*BR155+(1-EXP(-LN(2)/2))/(LN(2)/2)*BL156*BO156*VLOOKUP('Données projet'!$B$11,Paramètres!$A$1:$I$89,3,0)*0.475*44/12</f>
        <v>5.0672744734547552E-18</v>
      </c>
      <c r="BS156" s="24">
        <f t="shared" si="169"/>
        <v>0.1597349778103021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211.70619219850786</v>
      </c>
      <c r="T157" s="62">
        <f t="shared" si="142"/>
        <v>426.883837098247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2">
        <f t="shared" si="113"/>
        <v>283.92242813946228</v>
      </c>
      <c r="AN157" s="62">
        <f ca="1">AVERAGE(OFFSET($AM$3,0,0,'Données projet'!$E$10+1,1))-AVERAGE(OFFSET($H$3,0,0,'Données projet'!$E$10+1,1))</f>
        <v>374.62597460242665</v>
      </c>
      <c r="AO157" s="62">
        <f t="shared" si="144"/>
        <v>277.50105097454616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409.68685886029164</v>
      </c>
      <c r="BJ157" s="62">
        <f t="shared" si="146"/>
        <v>330.8416508650887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0.15536701644198198</v>
      </c>
      <c r="BR157" s="23">
        <f>EXP(-LN(2)/2)*BR156+(1-EXP(-LN(2)/2))/(LN(2)/2)*BL157*BO157*VLOOKUP('Données projet'!$B$11,Paramètres!$A$1:$I$89,3,0)*0.475*44/12</f>
        <v>3.5831041423133494E-18</v>
      </c>
      <c r="BS157" s="24">
        <f t="shared" si="169"/>
        <v>0.15536701644198198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211.70619219850786</v>
      </c>
      <c r="T158" s="62">
        <f t="shared" si="142"/>
        <v>426.883837098247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2">
        <f t="shared" si="113"/>
        <v>284.08568630494398</v>
      </c>
      <c r="AN158" s="62">
        <f ca="1">AVERAGE(OFFSET($AM$3,0,0,'Données projet'!$E$10+1,1))-AVERAGE(OFFSET($H$3,0,0,'Données projet'!$E$10+1,1))</f>
        <v>374.62597460242665</v>
      </c>
      <c r="AO158" s="62">
        <f t="shared" si="144"/>
        <v>277.50105097454616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409.68685886029164</v>
      </c>
      <c r="BJ158" s="62">
        <f t="shared" si="146"/>
        <v>330.8416508650887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0.15111849720697967</v>
      </c>
      <c r="BR158" s="23">
        <f>EXP(-LN(2)/2)*BR157+(1-EXP(-LN(2)/2))/(LN(2)/2)*BL158*BO158*VLOOKUP('Données projet'!$B$11,Paramètres!$A$1:$I$89,3,0)*0.475*44/12</f>
        <v>2.5336372367273776E-18</v>
      </c>
      <c r="BS158" s="24">
        <f t="shared" si="169"/>
        <v>0.15111849720697967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211.70619219850786</v>
      </c>
      <c r="T159" s="62">
        <f t="shared" si="142"/>
        <v>426.883837098247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2">
        <f t="shared" si="113"/>
        <v>284.24611230624515</v>
      </c>
      <c r="AN159" s="62">
        <f ca="1">AVERAGE(OFFSET($AM$3,0,0,'Données projet'!$E$10+1,1))-AVERAGE(OFFSET($H$3,0,0,'Données projet'!$E$10+1,1))</f>
        <v>374.62597460242665</v>
      </c>
      <c r="AO159" s="62">
        <f t="shared" si="144"/>
        <v>277.50105097454616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409.68685886029164</v>
      </c>
      <c r="BJ159" s="62">
        <f t="shared" si="146"/>
        <v>330.8416508650887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0.14698615395387843</v>
      </c>
      <c r="BR159" s="23">
        <f>EXP(-LN(2)/2)*BR158+(1-EXP(-LN(2)/2))/(LN(2)/2)*BL159*BO159*VLOOKUP('Données projet'!$B$11,Paramètres!$A$1:$I$89,3,0)*0.475*44/12</f>
        <v>1.7915520711566747E-18</v>
      </c>
      <c r="BS159" s="24">
        <f t="shared" si="169"/>
        <v>0.14698615395387843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211.70619219850786</v>
      </c>
      <c r="T160" s="62">
        <f t="shared" si="142"/>
        <v>426.883837098247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2">
        <f t="shared" si="113"/>
        <v>284.40375527508246</v>
      </c>
      <c r="AN160" s="62">
        <f ca="1">AVERAGE(OFFSET($AM$3,0,0,'Données projet'!$E$10+1,1))-AVERAGE(OFFSET($H$3,0,0,'Données projet'!$E$10+1,1))</f>
        <v>374.62597460242665</v>
      </c>
      <c r="AO160" s="62">
        <f t="shared" si="144"/>
        <v>277.50105097454616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409.68685886029164</v>
      </c>
      <c r="BJ160" s="62">
        <f t="shared" si="146"/>
        <v>330.8416508650887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0.14296680984434373</v>
      </c>
      <c r="BR160" s="23">
        <f>EXP(-LN(2)/2)*BR159+(1-EXP(-LN(2)/2))/(LN(2)/2)*BL160*BO160*VLOOKUP('Données projet'!$B$11,Paramètres!$A$1:$I$89,3,0)*0.475*44/12</f>
        <v>1.2668186183636888E-18</v>
      </c>
      <c r="BS160" s="24">
        <f t="shared" si="169"/>
        <v>0.14296680984434373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211.70619219850786</v>
      </c>
      <c r="T161" s="62">
        <f t="shared" si="142"/>
        <v>426.883837098247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2">
        <f t="shared" si="113"/>
        <v>284.55866349084744</v>
      </c>
      <c r="AN161" s="62">
        <f ca="1">AVERAGE(OFFSET($AM$3,0,0,'Données projet'!$E$10+1,1))-AVERAGE(OFFSET($H$3,0,0,'Données projet'!$E$10+1,1))</f>
        <v>374.62597460242665</v>
      </c>
      <c r="AO161" s="62">
        <f t="shared" si="144"/>
        <v>277.50105097454616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409.68685886029164</v>
      </c>
      <c r="BJ161" s="62">
        <f t="shared" si="146"/>
        <v>330.8416508650887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0.13905737491085238</v>
      </c>
      <c r="BR161" s="23">
        <f>EXP(-LN(2)/2)*BR160+(1-EXP(-LN(2)/2))/(LN(2)/2)*BL161*BO161*VLOOKUP('Données projet'!$B$11,Paramètres!$A$1:$I$89,3,0)*0.475*44/12</f>
        <v>8.9577603557833735E-19</v>
      </c>
      <c r="BS161" s="24">
        <f t="shared" si="169"/>
        <v>0.13905737491085238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211.70619219850786</v>
      </c>
      <c r="T162" s="62">
        <f t="shared" si="142"/>
        <v>426.883837098247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2">
        <f t="shared" si="113"/>
        <v>284.71088439539182</v>
      </c>
      <c r="AN162" s="62">
        <f ca="1">AVERAGE(OFFSET($AM$3,0,0,'Données projet'!$E$10+1,1))-AVERAGE(OFFSET($H$3,0,0,'Données projet'!$E$10+1,1))</f>
        <v>374.62597460242665</v>
      </c>
      <c r="AO162" s="62">
        <f t="shared" si="144"/>
        <v>277.50105097454616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409.68685886029164</v>
      </c>
      <c r="BJ162" s="62">
        <f t="shared" si="146"/>
        <v>330.8416508650887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0.13525484368120561</v>
      </c>
      <c r="BR162" s="23">
        <f>EXP(-LN(2)/2)*BR161+(1-EXP(-LN(2)/2))/(LN(2)/2)*BL162*BO162*VLOOKUP('Données projet'!$B$11,Paramètres!$A$1:$I$89,3,0)*0.475*44/12</f>
        <v>6.3340930918184439E-19</v>
      </c>
      <c r="BS162" s="24">
        <f t="shared" si="169"/>
        <v>0.13525484368120561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211.70619219850786</v>
      </c>
      <c r="T163" s="62">
        <f t="shared" si="142"/>
        <v>426.883837098247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2">
        <f t="shared" si="113"/>
        <v>284.86046460755716</v>
      </c>
      <c r="AN163" s="62">
        <f ca="1">AVERAGE(OFFSET($AM$3,0,0,'Données projet'!$E$10+1,1))-AVERAGE(OFFSET($H$3,0,0,'Données projet'!$E$10+1,1))</f>
        <v>374.62597460242665</v>
      </c>
      <c r="AO163" s="62">
        <f t="shared" si="144"/>
        <v>277.50105097454616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409.68685886029164</v>
      </c>
      <c r="BJ163" s="62">
        <f t="shared" si="146"/>
        <v>330.8416508650887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0.13155629286799994</v>
      </c>
      <c r="BR163" s="23">
        <f>EXP(-LN(2)/2)*BR162+(1-EXP(-LN(2)/2))/(LN(2)/2)*BL163*BO163*VLOOKUP('Données projet'!$B$11,Paramètres!$A$1:$I$89,3,0)*0.475*44/12</f>
        <v>4.4788801778916867E-19</v>
      </c>
      <c r="BS163" s="24">
        <f t="shared" si="169"/>
        <v>0.13155629286799994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211.70619219850786</v>
      </c>
      <c r="T164" s="62">
        <f t="shared" si="142"/>
        <v>426.883837098247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2">
        <f t="shared" si="113"/>
        <v>285.0074499374528</v>
      </c>
      <c r="AN164" s="62">
        <f ca="1">AVERAGE(OFFSET($AM$3,0,0,'Données projet'!$E$10+1,1))-AVERAGE(OFFSET($H$3,0,0,'Données projet'!$E$10+1,1))</f>
        <v>374.62597460242665</v>
      </c>
      <c r="AO164" s="62">
        <f t="shared" si="144"/>
        <v>277.50105097454616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409.68685886029164</v>
      </c>
      <c r="BJ164" s="62">
        <f t="shared" si="146"/>
        <v>330.8416508650887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0.12795887912127971</v>
      </c>
      <c r="BR164" s="23">
        <f>EXP(-LN(2)/2)*BR163+(1-EXP(-LN(2)/2))/(LN(2)/2)*BL164*BO164*VLOOKUP('Données projet'!$B$11,Paramètres!$A$1:$I$89,3,0)*0.475*44/12</f>
        <v>3.167046545909222E-19</v>
      </c>
      <c r="BS164" s="24">
        <f t="shared" si="169"/>
        <v>0.12795887912127971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211.70619219850786</v>
      </c>
      <c r="T165" s="62">
        <f t="shared" si="142"/>
        <v>426.883837098247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2">
        <f t="shared" si="113"/>
        <v>285.15188540048467</v>
      </c>
      <c r="AN165" s="62">
        <f ca="1">AVERAGE(OFFSET($AM$3,0,0,'Données projet'!$E$10+1,1))-AVERAGE(OFFSET($H$3,0,0,'Données projet'!$E$10+1,1))</f>
        <v>374.62597460242665</v>
      </c>
      <c r="AO165" s="62">
        <f t="shared" si="144"/>
        <v>277.50105097454616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409.68685886029164</v>
      </c>
      <c r="BJ165" s="62">
        <f t="shared" si="146"/>
        <v>330.8416508650887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0.12445983684264331</v>
      </c>
      <c r="BR165" s="23">
        <f>EXP(-LN(2)/2)*BR164+(1-EXP(-LN(2)/2))/(LN(2)/2)*BL165*BO165*VLOOKUP('Données projet'!$B$11,Paramètres!$A$1:$I$89,3,0)*0.475*44/12</f>
        <v>2.2394400889458434E-19</v>
      </c>
      <c r="BS165" s="24">
        <f t="shared" si="169"/>
        <v>0.12445983684264331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211.70619219850786</v>
      </c>
      <c r="T166" s="62">
        <f t="shared" si="142"/>
        <v>426.883837098247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2">
        <f t="shared" si="113"/>
        <v>285.29381523114228</v>
      </c>
      <c r="AN166" s="62">
        <f ca="1">AVERAGE(OFFSET($AM$3,0,0,'Données projet'!$E$10+1,1))-AVERAGE(OFFSET($H$3,0,0,'Données projet'!$E$10+1,1))</f>
        <v>374.62597460242665</v>
      </c>
      <c r="AO166" s="62">
        <f t="shared" si="144"/>
        <v>277.50105097454616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409.68685886029164</v>
      </c>
      <c r="BJ166" s="62">
        <f t="shared" si="146"/>
        <v>330.8416508650887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0.12105647605912287</v>
      </c>
      <c r="BR166" s="23">
        <f>EXP(-LN(2)/2)*BR165+(1-EXP(-LN(2)/2))/(LN(2)/2)*BL166*BO166*VLOOKUP('Données projet'!$B$11,Paramètres!$A$1:$I$89,3,0)*0.475*44/12</f>
        <v>1.583523272954611E-19</v>
      </c>
      <c r="BS166" s="24">
        <f t="shared" si="169"/>
        <v>0.12105647605912287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211.70619219850786</v>
      </c>
      <c r="T167" s="62">
        <f t="shared" si="142"/>
        <v>426.883837098247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2">
        <f t="shared" si="113"/>
        <v>285.43328289654556</v>
      </c>
      <c r="AN167" s="62">
        <f ca="1">AVERAGE(OFFSET($AM$3,0,0,'Données projet'!$E$10+1,1))-AVERAGE(OFFSET($H$3,0,0,'Données projet'!$E$10+1,1))</f>
        <v>374.62597460242665</v>
      </c>
      <c r="AO167" s="62">
        <f t="shared" si="144"/>
        <v>277.50105097454616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409.68685886029164</v>
      </c>
      <c r="BJ167" s="62">
        <f t="shared" si="146"/>
        <v>330.8416508650887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0.11774618035520276</v>
      </c>
      <c r="BR167" s="23">
        <f>EXP(-LN(2)/2)*BR166+(1-EXP(-LN(2)/2))/(LN(2)/2)*BL167*BO167*VLOOKUP('Données projet'!$B$11,Paramètres!$A$1:$I$89,3,0)*0.475*44/12</f>
        <v>1.1197200444729217E-19</v>
      </c>
      <c r="BS167" s="24">
        <f t="shared" si="169"/>
        <v>0.11774618035520276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211.70619219850786</v>
      </c>
      <c r="T168" s="62">
        <f t="shared" si="142"/>
        <v>426.883837098247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2">
        <f t="shared" si="113"/>
        <v>285.57033110975703</v>
      </c>
      <c r="AN168" s="62">
        <f ca="1">AVERAGE(OFFSET($AM$3,0,0,'Données projet'!$E$10+1,1))-AVERAGE(OFFSET($H$3,0,0,'Données projet'!$E$10+1,1))</f>
        <v>374.62597460242665</v>
      </c>
      <c r="AO168" s="62">
        <f t="shared" si="144"/>
        <v>277.50105097454616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409.68685886029164</v>
      </c>
      <c r="BJ168" s="62">
        <f t="shared" si="146"/>
        <v>330.8416508650887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0.11452640486138722</v>
      </c>
      <c r="BR168" s="23">
        <f>EXP(-LN(2)/2)*BR167+(1-EXP(-LN(2)/2))/(LN(2)/2)*BL168*BO168*VLOOKUP('Données projet'!$B$11,Paramètres!$A$1:$I$89,3,0)*0.475*44/12</f>
        <v>7.9176163647730549E-20</v>
      </c>
      <c r="BS168" s="24">
        <f t="shared" si="169"/>
        <v>0.11452640486138722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211.70619219850786</v>
      </c>
      <c r="T169" s="62">
        <f t="shared" si="142"/>
        <v>426.883837098247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2">
        <f t="shared" si="113"/>
        <v>285.70500184286323</v>
      </c>
      <c r="AN169" s="62">
        <f ca="1">AVERAGE(OFFSET($AM$3,0,0,'Données projet'!$E$10+1,1))-AVERAGE(OFFSET($H$3,0,0,'Données projet'!$E$10+1,1))</f>
        <v>374.62597460242665</v>
      </c>
      <c r="AO169" s="62">
        <f t="shared" si="144"/>
        <v>277.50105097454616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409.68685886029164</v>
      </c>
      <c r="BJ169" s="62">
        <f t="shared" si="146"/>
        <v>330.8416508650887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0.11139467429777071</v>
      </c>
      <c r="BR169" s="23">
        <f>EXP(-LN(2)/2)*BR168+(1-EXP(-LN(2)/2))/(LN(2)/2)*BL169*BO169*VLOOKUP('Données projet'!$B$11,Paramètres!$A$1:$I$89,3,0)*0.475*44/12</f>
        <v>5.5986002223646084E-20</v>
      </c>
      <c r="BS169" s="24">
        <f t="shared" si="169"/>
        <v>0.11139467429777071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211.70619219850786</v>
      </c>
      <c r="T170" s="62">
        <f t="shared" si="142"/>
        <v>426.883837098247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2">
        <f t="shared" si="113"/>
        <v>285.83733633982871</v>
      </c>
      <c r="AN170" s="62">
        <f ca="1">AVERAGE(OFFSET($AM$3,0,0,'Données projet'!$E$10+1,1))-AVERAGE(OFFSET($H$3,0,0,'Données projet'!$E$10+1,1))</f>
        <v>374.62597460242665</v>
      </c>
      <c r="AO170" s="62">
        <f t="shared" si="144"/>
        <v>277.50105097454616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409.68685886029164</v>
      </c>
      <c r="BJ170" s="62">
        <f t="shared" si="146"/>
        <v>330.8416508650887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0.10834858107110684</v>
      </c>
      <c r="BR170" s="23">
        <f>EXP(-LN(2)/2)*BR169+(1-EXP(-LN(2)/2))/(LN(2)/2)*BL170*BO170*VLOOKUP('Données projet'!$B$11,Paramètres!$A$1:$I$89,3,0)*0.475*44/12</f>
        <v>3.9588081823865275E-20</v>
      </c>
      <c r="BS170" s="24">
        <f t="shared" si="169"/>
        <v>0.10834858107110684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211.70619219850786</v>
      </c>
      <c r="T171" s="62">
        <f t="shared" si="142"/>
        <v>426.883837098247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2">
        <f t="shared" si="113"/>
        <v>285.96737512912739</v>
      </c>
      <c r="AN171" s="62">
        <f ca="1">AVERAGE(OFFSET($AM$3,0,0,'Données projet'!$E$10+1,1))-AVERAGE(OFFSET($H$3,0,0,'Données projet'!$E$10+1,1))</f>
        <v>374.62597460242665</v>
      </c>
      <c r="AO171" s="62">
        <f t="shared" si="144"/>
        <v>277.50105097454616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409.68685886029164</v>
      </c>
      <c r="BJ171" s="62">
        <f t="shared" si="146"/>
        <v>330.8416508650887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0.10538578342391318</v>
      </c>
      <c r="BR171" s="23">
        <f>EXP(-LN(2)/2)*BR170+(1-EXP(-LN(2)/2))/(LN(2)/2)*BL171*BO171*VLOOKUP('Données projet'!$B$11,Paramètres!$A$1:$I$89,3,0)*0.475*44/12</f>
        <v>2.7993001111823042E-20</v>
      </c>
      <c r="BS171" s="24">
        <f t="shared" si="169"/>
        <v>0.10538578342391318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211.70619219850786</v>
      </c>
      <c r="T172" s="62">
        <f t="shared" si="142"/>
        <v>426.883837098247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2">
        <f t="shared" si="113"/>
        <v>286.09515803615494</v>
      </c>
      <c r="AN172" s="62">
        <f ca="1">AVERAGE(OFFSET($AM$3,0,0,'Données projet'!$E$10+1,1))-AVERAGE(OFFSET($H$3,0,0,'Données projet'!$E$10+1,1))</f>
        <v>374.62597460242665</v>
      </c>
      <c r="AO172" s="62">
        <f t="shared" si="144"/>
        <v>277.50105097454616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409.68685886029164</v>
      </c>
      <c r="BJ172" s="62">
        <f t="shared" si="146"/>
        <v>330.8416508650887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0.10250400363418878</v>
      </c>
      <c r="BR172" s="23">
        <f>EXP(-LN(2)/2)*BR171+(1-EXP(-LN(2)/2))/(LN(2)/2)*BL172*BO172*VLOOKUP('Données projet'!$B$11,Paramètres!$A$1:$I$89,3,0)*0.475*44/12</f>
        <v>1.9794040911932637E-20</v>
      </c>
      <c r="BS172" s="24">
        <f t="shared" si="169"/>
        <v>0.10250400363418878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211.70619219850786</v>
      </c>
      <c r="T173" s="62">
        <f t="shared" si="142"/>
        <v>426.883837098247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2">
        <f t="shared" si="113"/>
        <v>286.22072419542536</v>
      </c>
      <c r="AN173" s="62">
        <f ca="1">AVERAGE(OFFSET($AM$3,0,0,'Données projet'!$E$10+1,1))-AVERAGE(OFFSET($H$3,0,0,'Données projet'!$E$10+1,1))</f>
        <v>374.62597460242665</v>
      </c>
      <c r="AO173" s="62">
        <f t="shared" si="144"/>
        <v>277.50105097454616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409.68685886029164</v>
      </c>
      <c r="BJ173" s="62">
        <f t="shared" si="146"/>
        <v>330.8416508650887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9.9701026264360615E-2</v>
      </c>
      <c r="BR173" s="23">
        <f>EXP(-LN(2)/2)*BR172+(1-EXP(-LN(2)/2))/(LN(2)/2)*BL173*BO173*VLOOKUP('Données projet'!$B$11,Paramètres!$A$1:$I$89,3,0)*0.475*44/12</f>
        <v>1.3996500555911521E-20</v>
      </c>
      <c r="BS173" s="24">
        <f t="shared" si="169"/>
        <v>9.9701026264360615E-2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211.70619219850786</v>
      </c>
      <c r="T174" s="62">
        <f t="shared" si="142"/>
        <v>426.883837098247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2">
        <f t="shared" si="113"/>
        <v>286.34411206255629</v>
      </c>
      <c r="AN174" s="62">
        <f ca="1">AVERAGE(OFFSET($AM$3,0,0,'Données projet'!$E$10+1,1))-AVERAGE(OFFSET($H$3,0,0,'Données projet'!$E$10+1,1))</f>
        <v>374.62597460242665</v>
      </c>
      <c r="AO174" s="62">
        <f t="shared" si="144"/>
        <v>277.50105097454616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409.68685886029164</v>
      </c>
      <c r="BJ174" s="62">
        <f t="shared" si="146"/>
        <v>330.8416508650887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9.6974696458112575E-2</v>
      </c>
      <c r="BR174" s="23">
        <f>EXP(-LN(2)/2)*BR173+(1-EXP(-LN(2)/2))/(LN(2)/2)*BL174*BO174*VLOOKUP('Données projet'!$B$11,Paramètres!$A$1:$I$89,3,0)*0.475*44/12</f>
        <v>9.8970204559663187E-21</v>
      </c>
      <c r="BS174" s="24">
        <f t="shared" si="169"/>
        <v>9.6974696458112575E-2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211.70619219850786</v>
      </c>
      <c r="T175" s="62">
        <f t="shared" si="142"/>
        <v>426.883837098247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2">
        <f t="shared" si="113"/>
        <v>286.46535942604652</v>
      </c>
      <c r="AN175" s="62">
        <f ca="1">AVERAGE(OFFSET($AM$3,0,0,'Données projet'!$E$10+1,1))-AVERAGE(OFFSET($H$3,0,0,'Données projet'!$E$10+1,1))</f>
        <v>374.62597460242665</v>
      </c>
      <c r="AO175" s="62">
        <f t="shared" si="144"/>
        <v>277.50105097454616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409.68685886029164</v>
      </c>
      <c r="BJ175" s="62">
        <f t="shared" si="146"/>
        <v>330.8416508650887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9.4322918283787832E-2</v>
      </c>
      <c r="BR175" s="23">
        <f>EXP(-LN(2)/2)*BR174+(1-EXP(-LN(2)/2))/(LN(2)/2)*BL175*BO175*VLOOKUP('Données projet'!$B$11,Paramètres!$A$1:$I$89,3,0)*0.475*44/12</f>
        <v>6.9982502779557605E-21</v>
      </c>
      <c r="BS175" s="24">
        <f t="shared" si="169"/>
        <v>9.4322918283787832E-2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211.70619219850786</v>
      </c>
      <c r="T176" s="62">
        <f t="shared" si="142"/>
        <v>426.883837098247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2">
        <f t="shared" si="113"/>
        <v>286.58450341884856</v>
      </c>
      <c r="AN176" s="62">
        <f ca="1">AVERAGE(OFFSET($AM$3,0,0,'Données projet'!$E$10+1,1))-AVERAGE(OFFSET($H$3,0,0,'Données projet'!$E$10+1,1))</f>
        <v>374.62597460242665</v>
      </c>
      <c r="AO176" s="62">
        <f t="shared" si="144"/>
        <v>277.50105097454616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409.68685886029164</v>
      </c>
      <c r="BJ176" s="62">
        <f t="shared" si="146"/>
        <v>330.8416508650887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9.1743653123090962E-2</v>
      </c>
      <c r="BR176" s="23">
        <f>EXP(-LN(2)/2)*BR175+(1-EXP(-LN(2)/2))/(LN(2)/2)*BL176*BO176*VLOOKUP('Données projet'!$B$11,Paramètres!$A$1:$I$89,3,0)*0.475*44/12</f>
        <v>4.9485102279831593E-21</v>
      </c>
      <c r="BS176" s="24">
        <f t="shared" si="169"/>
        <v>9.1743653123090962E-2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211.70619219850786</v>
      </c>
      <c r="T177" s="62">
        <f t="shared" si="142"/>
        <v>426.883837098247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2">
        <f t="shared" si="113"/>
        <v>286.70158052974165</v>
      </c>
      <c r="AN177" s="62">
        <f ca="1">AVERAGE(OFFSET($AM$3,0,0,'Données projet'!$E$10+1,1))-AVERAGE(OFFSET($H$3,0,0,'Données projet'!$E$10+1,1))</f>
        <v>374.62597460242665</v>
      </c>
      <c r="AO177" s="62">
        <f t="shared" si="144"/>
        <v>277.50105097454616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409.68685886029164</v>
      </c>
      <c r="BJ177" s="62">
        <f t="shared" si="146"/>
        <v>330.8416508650887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8.9234918103851008E-2</v>
      </c>
      <c r="BR177" s="23">
        <f>EXP(-LN(2)/2)*BR176+(1-EXP(-LN(2)/2))/(LN(2)/2)*BL177*BO177*VLOOKUP('Données projet'!$B$11,Paramètres!$A$1:$I$89,3,0)*0.475*44/12</f>
        <v>3.4991251389778803E-21</v>
      </c>
      <c r="BS177" s="24">
        <f t="shared" si="169"/>
        <v>8.9234918103851008E-2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211.70619219850786</v>
      </c>
      <c r="T178" s="62">
        <f t="shared" si="142"/>
        <v>426.883837098247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2">
        <f t="shared" si="113"/>
        <v>286.81662661450588</v>
      </c>
      <c r="AN178" s="62">
        <f ca="1">AVERAGE(OFFSET($AM$3,0,0,'Données projet'!$E$10+1,1))-AVERAGE(OFFSET($H$3,0,0,'Données projet'!$E$10+1,1))</f>
        <v>374.62597460242665</v>
      </c>
      <c r="AO178" s="62">
        <f t="shared" si="144"/>
        <v>277.50105097454616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409.68685886029164</v>
      </c>
      <c r="BJ178" s="62">
        <f t="shared" si="146"/>
        <v>330.8416508650887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8.6794784575640813E-2</v>
      </c>
      <c r="BR178" s="23">
        <f>EXP(-LN(2)/2)*BR177+(1-EXP(-LN(2)/2))/(LN(2)/2)*BL178*BO178*VLOOKUP('Données projet'!$B$11,Paramètres!$A$1:$I$89,3,0)*0.475*44/12</f>
        <v>2.4742551139915797E-21</v>
      </c>
      <c r="BS178" s="24">
        <f t="shared" si="169"/>
        <v>8.6794784575640813E-2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211.70619219850786</v>
      </c>
      <c r="T179" s="62">
        <f t="shared" si="142"/>
        <v>426.883837098247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2">
        <f t="shared" si="113"/>
        <v>286.92967690690404</v>
      </c>
      <c r="AN179" s="62">
        <f ca="1">AVERAGE(OFFSET($AM$3,0,0,'Données projet'!$E$10+1,1))-AVERAGE(OFFSET($H$3,0,0,'Données projet'!$E$10+1,1))</f>
        <v>374.62597460242665</v>
      </c>
      <c r="AO179" s="62">
        <f t="shared" si="144"/>
        <v>277.50105097454616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409.68685886029164</v>
      </c>
      <c r="BJ179" s="62">
        <f t="shared" si="146"/>
        <v>330.8416508650887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8.442137662708056E-2</v>
      </c>
      <c r="BR179" s="23">
        <f>EXP(-LN(2)/2)*BR178+(1-EXP(-LN(2)/2))/(LN(2)/2)*BL179*BO179*VLOOKUP('Données projet'!$B$11,Paramètres!$A$1:$I$89,3,0)*0.475*44/12</f>
        <v>1.7495625694889401E-21</v>
      </c>
      <c r="BS179" s="24">
        <f t="shared" si="169"/>
        <v>8.442137662708056E-2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211.70619219850786</v>
      </c>
      <c r="T180" s="62">
        <f t="shared" si="142"/>
        <v>426.883837098247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2">
        <f t="shared" si="113"/>
        <v>287.04076602947163</v>
      </c>
      <c r="AN180" s="62">
        <f ca="1">AVERAGE(OFFSET($AM$3,0,0,'Données projet'!$E$10+1,1))-AVERAGE(OFFSET($H$3,0,0,'Données projet'!$E$10+1,1))</f>
        <v>374.62597460242665</v>
      </c>
      <c r="AO180" s="62">
        <f t="shared" si="144"/>
        <v>277.50105097454616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409.68685886029164</v>
      </c>
      <c r="BJ180" s="62">
        <f t="shared" si="146"/>
        <v>330.8416508650887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8.211286964368579E-2</v>
      </c>
      <c r="BR180" s="23">
        <f>EXP(-LN(2)/2)*BR179+(1-EXP(-LN(2)/2))/(LN(2)/2)*BL180*BO180*VLOOKUP('Données projet'!$B$11,Paramètres!$A$1:$I$89,3,0)*0.475*44/12</f>
        <v>1.2371275569957898E-21</v>
      </c>
      <c r="BS180" s="24">
        <f t="shared" si="169"/>
        <v>8.211286964368579E-2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211.70619219850786</v>
      </c>
      <c r="T181" s="62">
        <f t="shared" si="142"/>
        <v>426.883837098247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2">
        <f t="shared" si="113"/>
        <v>287.1499280041208</v>
      </c>
      <c r="AN181" s="62">
        <f ca="1">AVERAGE(OFFSET($AM$3,0,0,'Données projet'!$E$10+1,1))-AVERAGE(OFFSET($H$3,0,0,'Données projet'!$E$10+1,1))</f>
        <v>374.62597460242665</v>
      </c>
      <c r="AO181" s="62">
        <f t="shared" si="144"/>
        <v>277.50105097454616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409.68685886029164</v>
      </c>
      <c r="BJ181" s="62">
        <f t="shared" si="146"/>
        <v>330.8416508650887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7.9867488905151066E-2</v>
      </c>
      <c r="BR181" s="23">
        <f>EXP(-LN(2)/2)*BR180+(1-EXP(-LN(2)/2))/(LN(2)/2)*BL181*BO181*VLOOKUP('Données projet'!$B$11,Paramètres!$A$1:$I$89,3,0)*0.475*44/12</f>
        <v>8.7478128474447007E-22</v>
      </c>
      <c r="BS181" s="24">
        <f t="shared" si="169"/>
        <v>7.9867488905151066E-2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211.70619219850786</v>
      </c>
      <c r="T182" s="62">
        <f t="shared" si="142"/>
        <v>426.883837098247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2">
        <f t="shared" si="113"/>
        <v>287.25719626255932</v>
      </c>
      <c r="AN182" s="62">
        <f ca="1">AVERAGE(OFFSET($AM$3,0,0,'Données projet'!$E$10+1,1))-AVERAGE(OFFSET($H$3,0,0,'Données projet'!$E$10+1,1))</f>
        <v>374.62597460242665</v>
      </c>
      <c r="AO182" s="62">
        <f t="shared" si="144"/>
        <v>277.50105097454616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409.68685886029164</v>
      </c>
      <c r="BJ182" s="62">
        <f t="shared" si="146"/>
        <v>330.8416508650887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7.7683508220991002E-2</v>
      </c>
      <c r="BR182" s="23">
        <f>EXP(-LN(2)/2)*BR181+(1-EXP(-LN(2)/2))/(LN(2)/2)*BL182*BO182*VLOOKUP('Données projet'!$B$11,Paramètres!$A$1:$I$89,3,0)*0.475*44/12</f>
        <v>6.1856377849789492E-22</v>
      </c>
      <c r="BS182" s="24">
        <f t="shared" si="169"/>
        <v>7.7683508220991002E-2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211.70619219850786</v>
      </c>
      <c r="T183" s="62">
        <f t="shared" si="142"/>
        <v>426.883837098247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2">
        <f t="shared" si="113"/>
        <v>287.36260365652993</v>
      </c>
      <c r="AN183" s="62">
        <f ca="1">AVERAGE(OFFSET($AM$3,0,0,'Données projet'!$E$10+1,1))-AVERAGE(OFFSET($H$3,0,0,'Données projet'!$E$10+1,1))</f>
        <v>374.62597460242665</v>
      </c>
      <c r="AO183" s="62">
        <f t="shared" si="144"/>
        <v>277.50105097454616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409.68685886029164</v>
      </c>
      <c r="BJ183" s="62">
        <f t="shared" si="146"/>
        <v>330.8416508650887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7.5559248603489851E-2</v>
      </c>
      <c r="BR183" s="23">
        <f>EXP(-LN(2)/2)*BR182+(1-EXP(-LN(2)/2))/(LN(2)/2)*BL183*BO183*VLOOKUP('Données projet'!$B$11,Paramètres!$A$1:$I$89,3,0)*0.475*44/12</f>
        <v>4.3739064237223503E-22</v>
      </c>
      <c r="BS183" s="24">
        <f t="shared" si="169"/>
        <v>7.5559248603489851E-2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211.70619219850786</v>
      </c>
      <c r="T184" s="62">
        <f t="shared" si="142"/>
        <v>426.883837098247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2">
        <f t="shared" si="113"/>
        <v>287.46618246787074</v>
      </c>
      <c r="AN184" s="62">
        <f ca="1">AVERAGE(OFFSET($AM$3,0,0,'Données projet'!$E$10+1,1))-AVERAGE(OFFSET($H$3,0,0,'Données projet'!$E$10+1,1))</f>
        <v>374.62597460242665</v>
      </c>
      <c r="AO184" s="62">
        <f t="shared" si="144"/>
        <v>277.50105097454616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409.68685886029164</v>
      </c>
      <c r="BJ184" s="62">
        <f t="shared" si="146"/>
        <v>330.8416508650887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7.3493076976939228E-2</v>
      </c>
      <c r="BR184" s="23">
        <f>EXP(-LN(2)/2)*BR183+(1-EXP(-LN(2)/2))/(LN(2)/2)*BL184*BO184*VLOOKUP('Données projet'!$B$11,Paramètres!$A$1:$I$89,3,0)*0.475*44/12</f>
        <v>3.0928188924894746E-22</v>
      </c>
      <c r="BS184" s="24">
        <f t="shared" si="169"/>
        <v>7.3493076976939228E-2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211.70619219850786</v>
      </c>
      <c r="T185" s="62">
        <f t="shared" si="142"/>
        <v>426.883837098247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2">
        <f t="shared" si="113"/>
        <v>287.56796441840231</v>
      </c>
      <c r="AN185" s="62">
        <f ca="1">AVERAGE(OFFSET($AM$3,0,0,'Données projet'!$E$10+1,1))-AVERAGE(OFFSET($H$3,0,0,'Données projet'!$E$10+1,1))</f>
        <v>374.62597460242665</v>
      </c>
      <c r="AO185" s="62">
        <f t="shared" si="144"/>
        <v>277.50105097454616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409.68685886029164</v>
      </c>
      <c r="BJ185" s="62">
        <f t="shared" si="146"/>
        <v>330.8416508650887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7.1483404922171881E-2</v>
      </c>
      <c r="BR185" s="23">
        <f>EXP(-LN(2)/2)*BR184+(1-EXP(-LN(2)/2))/(LN(2)/2)*BL185*BO185*VLOOKUP('Données projet'!$B$11,Paramètres!$A$1:$I$89,3,0)*0.475*44/12</f>
        <v>2.1869532118611752E-22</v>
      </c>
      <c r="BS185" s="24">
        <f t="shared" si="169"/>
        <v>7.1483404922171881E-2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211.70619219850786</v>
      </c>
      <c r="T186" s="62">
        <f t="shared" si="142"/>
        <v>426.883837098247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2">
        <f t="shared" si="113"/>
        <v>287.66798067964254</v>
      </c>
      <c r="AN186" s="62">
        <f ca="1">AVERAGE(OFFSET($AM$3,0,0,'Données projet'!$E$10+1,1))-AVERAGE(OFFSET($H$3,0,0,'Données projet'!$E$10+1,1))</f>
        <v>374.62597460242665</v>
      </c>
      <c r="AO186" s="62">
        <f t="shared" si="144"/>
        <v>277.50105097454616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409.68685886029164</v>
      </c>
      <c r="BJ186" s="62">
        <f t="shared" si="146"/>
        <v>330.8416508650887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6.9528687455426202E-2</v>
      </c>
      <c r="BR186" s="23">
        <f>EXP(-LN(2)/2)*BR185+(1-EXP(-LN(2)/2))/(LN(2)/2)*BL186*BO186*VLOOKUP('Données projet'!$B$11,Paramètres!$A$1:$I$89,3,0)*0.475*44/12</f>
        <v>1.5464094462447373E-22</v>
      </c>
      <c r="BS186" s="24">
        <f t="shared" si="169"/>
        <v>6.9528687455426202E-2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211.70619219850786</v>
      </c>
      <c r="T187" s="62">
        <f t="shared" si="142"/>
        <v>426.883837098247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2">
        <f t="shared" si="113"/>
        <v>287.76626188235304</v>
      </c>
      <c r="AN187" s="62">
        <f ca="1">AVERAGE(OFFSET($AM$3,0,0,'Données projet'!$E$10+1,1))-AVERAGE(OFFSET($H$3,0,0,'Données projet'!$E$10+1,1))</f>
        <v>374.62597460242665</v>
      </c>
      <c r="AO187" s="62">
        <f t="shared" si="144"/>
        <v>277.50105097454616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409.68685886029164</v>
      </c>
      <c r="BJ187" s="62">
        <f t="shared" si="146"/>
        <v>330.8416508650887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6.7627421840602803E-2</v>
      </c>
      <c r="BR187" s="23">
        <f>EXP(-LN(2)/2)*BR186+(1-EXP(-LN(2)/2))/(LN(2)/2)*BL187*BO187*VLOOKUP('Données projet'!$B$11,Paramètres!$A$1:$I$89,3,0)*0.475*44/12</f>
        <v>1.0934766059305876E-22</v>
      </c>
      <c r="BS187" s="24">
        <f t="shared" si="169"/>
        <v>6.7627421840602803E-2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211.70619219850786</v>
      </c>
      <c r="T188" s="62">
        <f t="shared" si="142"/>
        <v>426.883837098247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2">
        <f t="shared" si="113"/>
        <v>287.86283812592046</v>
      </c>
      <c r="AN188" s="62">
        <f ca="1">AVERAGE(OFFSET($AM$3,0,0,'Données projet'!$E$10+1,1))-AVERAGE(OFFSET($H$3,0,0,'Données projet'!$E$10+1,1))</f>
        <v>374.62597460242665</v>
      </c>
      <c r="AO188" s="62">
        <f t="shared" si="144"/>
        <v>277.50105097454616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409.68685886029164</v>
      </c>
      <c r="BJ188" s="62">
        <f t="shared" si="146"/>
        <v>330.8416508650887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6.5778146433999971E-2</v>
      </c>
      <c r="BR188" s="23">
        <f>EXP(-LN(2)/2)*BR187+(1-EXP(-LN(2)/2))/(LN(2)/2)*BL188*BO188*VLOOKUP('Données projet'!$B$11,Paramètres!$A$1:$I$89,3,0)*0.475*44/12</f>
        <v>7.7320472312236865E-23</v>
      </c>
      <c r="BS188" s="24">
        <f t="shared" si="169"/>
        <v>6.5778146433999971E-2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211.70619219850786</v>
      </c>
      <c r="T189" s="62">
        <f t="shared" si="142"/>
        <v>426.883837098247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2">
        <f t="shared" si="113"/>
        <v>287.95773898757403</v>
      </c>
      <c r="AN189" s="62">
        <f ca="1">AVERAGE(OFFSET($AM$3,0,0,'Données projet'!$E$10+1,1))-AVERAGE(OFFSET($H$3,0,0,'Données projet'!$E$10+1,1))</f>
        <v>374.62597460242665</v>
      </c>
      <c r="AO189" s="62">
        <f t="shared" si="144"/>
        <v>277.50105097454616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409.68685886029164</v>
      </c>
      <c r="BJ189" s="62">
        <f t="shared" si="146"/>
        <v>330.8416508650887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6.3979439560639853E-2</v>
      </c>
      <c r="BR189" s="23">
        <f>EXP(-LN(2)/2)*BR188+(1-EXP(-LN(2)/2))/(LN(2)/2)*BL189*BO189*VLOOKUP('Données projet'!$B$11,Paramètres!$A$1:$I$89,3,0)*0.475*44/12</f>
        <v>5.4673830296529379E-23</v>
      </c>
      <c r="BS189" s="24">
        <f t="shared" si="169"/>
        <v>6.3979439560639853E-2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211.70619219850786</v>
      </c>
      <c r="T190" s="62">
        <f t="shared" si="142"/>
        <v>426.883837098247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2">
        <f t="shared" si="113"/>
        <v>288.05099353144459</v>
      </c>
      <c r="AN190" s="62">
        <f ca="1">AVERAGE(OFFSET($AM$3,0,0,'Données projet'!$E$10+1,1))-AVERAGE(OFFSET($H$3,0,0,'Données projet'!$E$10+1,1))</f>
        <v>374.62597460242665</v>
      </c>
      <c r="AO190" s="62">
        <f t="shared" si="144"/>
        <v>277.50105097454616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409.68685886029164</v>
      </c>
      <c r="BJ190" s="62">
        <f t="shared" si="146"/>
        <v>330.8416508650887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6.2229918421321653E-2</v>
      </c>
      <c r="BR190" s="23">
        <f>EXP(-LN(2)/2)*BR189+(1-EXP(-LN(2)/2))/(LN(2)/2)*BL190*BO190*VLOOKUP('Données projet'!$B$11,Paramètres!$A$1:$I$89,3,0)*0.475*44/12</f>
        <v>3.8660236156118432E-23</v>
      </c>
      <c r="BS190" s="24">
        <f t="shared" si="169"/>
        <v>6.2229918421321653E-2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211.70619219850786</v>
      </c>
      <c r="T191" s="62">
        <f t="shared" si="142"/>
        <v>426.883837098247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2">
        <f t="shared" si="113"/>
        <v>288.14263031746481</v>
      </c>
      <c r="AN191" s="62">
        <f ca="1">AVERAGE(OFFSET($AM$3,0,0,'Données projet'!$E$10+1,1))-AVERAGE(OFFSET($H$3,0,0,'Données projet'!$E$10+1,1))</f>
        <v>374.62597460242665</v>
      </c>
      <c r="AO191" s="62">
        <f t="shared" si="144"/>
        <v>277.50105097454616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409.68685886029164</v>
      </c>
      <c r="BJ191" s="62">
        <f t="shared" si="146"/>
        <v>330.8416508650887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6.0528238029561435E-2</v>
      </c>
      <c r="BR191" s="23">
        <f>EXP(-LN(2)/2)*BR190+(1-EXP(-LN(2)/2))/(LN(2)/2)*BL191*BO191*VLOOKUP('Données projet'!$B$11,Paramètres!$A$1:$I$89,3,0)*0.475*44/12</f>
        <v>2.733691514826469E-23</v>
      </c>
      <c r="BS191" s="24">
        <f t="shared" si="169"/>
        <v>6.0528238029561435E-2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211.70619219850786</v>
      </c>
      <c r="T192" s="62">
        <f t="shared" si="142"/>
        <v>426.883837098247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2">
        <f t="shared" si="113"/>
        <v>288.23267741011676</v>
      </c>
      <c r="AN192" s="62">
        <f ca="1">AVERAGE(OFFSET($AM$3,0,0,'Données projet'!$E$10+1,1))-AVERAGE(OFFSET($H$3,0,0,'Données projet'!$E$10+1,1))</f>
        <v>374.62597460242665</v>
      </c>
      <c r="AO192" s="62">
        <f t="shared" si="144"/>
        <v>277.50105097454616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409.68685886029164</v>
      </c>
      <c r="BJ192" s="62">
        <f t="shared" si="146"/>
        <v>330.8416508650887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5.8873090177601381E-2</v>
      </c>
      <c r="BR192" s="23">
        <f>EXP(-LN(2)/2)*BR191+(1-EXP(-LN(2)/2))/(LN(2)/2)*BL192*BO192*VLOOKUP('Données projet'!$B$11,Paramètres!$A$1:$I$89,3,0)*0.475*44/12</f>
        <v>1.9330118078059216E-23</v>
      </c>
      <c r="BS192" s="24">
        <f t="shared" si="169"/>
        <v>5.8873090177601381E-2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211.70619219850786</v>
      </c>
      <c r="T193" s="62">
        <f t="shared" si="142"/>
        <v>426.883837098247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2">
        <f t="shared" si="113"/>
        <v>288.32116238702633</v>
      </c>
      <c r="AN193" s="62">
        <f ca="1">AVERAGE(OFFSET($AM$3,0,0,'Données projet'!$E$10+1,1))-AVERAGE(OFFSET($H$3,0,0,'Données projet'!$E$10+1,1))</f>
        <v>374.62597460242665</v>
      </c>
      <c r="AO193" s="62">
        <f t="shared" si="144"/>
        <v>277.50105097454616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409.68685886029164</v>
      </c>
      <c r="BJ193" s="62">
        <f t="shared" si="146"/>
        <v>330.8416508650887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5.7263202430693612E-2</v>
      </c>
      <c r="BR193" s="23">
        <f>EXP(-LN(2)/2)*BR192+(1-EXP(-LN(2)/2))/(LN(2)/2)*BL193*BO193*VLOOKUP('Données projet'!$B$11,Paramètres!$A$1:$I$89,3,0)*0.475*44/12</f>
        <v>1.3668457574132345E-23</v>
      </c>
      <c r="BS193" s="24">
        <f t="shared" si="169"/>
        <v>5.7263202430693612E-2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211.70619219850786</v>
      </c>
      <c r="T194" s="62">
        <f t="shared" si="142"/>
        <v>426.883837098247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2">
        <f t="shared" si="113"/>
        <v>288.40811234740931</v>
      </c>
      <c r="AN194" s="62">
        <f ca="1">AVERAGE(OFFSET($AM$3,0,0,'Données projet'!$E$10+1,1))-AVERAGE(OFFSET($H$3,0,0,'Données projet'!$E$10+1,1))</f>
        <v>374.62597460242665</v>
      </c>
      <c r="AO194" s="62">
        <f t="shared" si="144"/>
        <v>277.50105097454616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409.68685886029164</v>
      </c>
      <c r="BJ194" s="62">
        <f t="shared" si="146"/>
        <v>330.8416508650887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5.5697337148885355E-2</v>
      </c>
      <c r="BR194" s="23">
        <f>EXP(-LN(2)/2)*BR193+(1-EXP(-LN(2)/2))/(LN(2)/2)*BL194*BO194*VLOOKUP('Données projet'!$B$11,Paramètres!$A$1:$I$89,3,0)*0.475*44/12</f>
        <v>9.6650590390296081E-24</v>
      </c>
      <c r="BS194" s="24">
        <f t="shared" si="169"/>
        <v>5.5697337148885355E-2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211.70619219850786</v>
      </c>
      <c r="T195" s="62">
        <f t="shared" si="142"/>
        <v>426.883837098247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2">
        <f t="shared" si="113"/>
        <v>288.49355392037063</v>
      </c>
      <c r="AN195" s="62">
        <f ca="1">AVERAGE(OFFSET($AM$3,0,0,'Données projet'!$E$10+1,1))-AVERAGE(OFFSET($H$3,0,0,'Données projet'!$E$10+1,1))</f>
        <v>374.62597460242665</v>
      </c>
      <c r="AO195" s="62">
        <f t="shared" si="144"/>
        <v>277.50105097454616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409.68685886029164</v>
      </c>
      <c r="BJ195" s="62">
        <f t="shared" si="146"/>
        <v>330.8416508650887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5.4174290535553421E-2</v>
      </c>
      <c r="BR195" s="23">
        <f>EXP(-LN(2)/2)*BR194+(1-EXP(-LN(2)/2))/(LN(2)/2)*BL195*BO195*VLOOKUP('Données projet'!$B$11,Paramètres!$A$1:$I$89,3,0)*0.475*44/12</f>
        <v>6.8342287870661724E-24</v>
      </c>
      <c r="BS195" s="24">
        <f t="shared" si="169"/>
        <v>5.4174290535553421E-2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211.70619219850786</v>
      </c>
      <c r="T196" s="62">
        <f t="shared" si="142"/>
        <v>426.883837098247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2">
        <f t="shared" ref="AM196:AM203" si="193">AL196+(AD196+AE196)*44/12</f>
        <v>288.57751327305982</v>
      </c>
      <c r="AN196" s="62">
        <f ca="1">AVERAGE(OFFSET($AM$3,0,0,'Données projet'!$E$10+1,1))-AVERAGE(OFFSET($H$3,0,0,'Données projet'!$E$10+1,1))</f>
        <v>374.62597460242665</v>
      </c>
      <c r="AO196" s="62">
        <f t="shared" si="144"/>
        <v>277.50105097454616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409.68685886029164</v>
      </c>
      <c r="BJ196" s="62">
        <f t="shared" si="146"/>
        <v>330.8416508650887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5.269289171195659E-2</v>
      </c>
      <c r="BR196" s="23">
        <f>EXP(-LN(2)/2)*BR195+(1-EXP(-LN(2)/2))/(LN(2)/2)*BL196*BO196*VLOOKUP('Données projet'!$B$11,Paramètres!$A$1:$I$89,3,0)*0.475*44/12</f>
        <v>4.832529519514804E-24</v>
      </c>
      <c r="BS196" s="24">
        <f t="shared" si="169"/>
        <v>5.269289171195659E-2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211.70619219850786</v>
      </c>
      <c r="T197" s="62">
        <f t="shared" ref="T197:T203" si="204">$T$3</f>
        <v>426.883837098247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2">
        <f t="shared" si="193"/>
        <v>288.66001611868484</v>
      </c>
      <c r="AN197" s="62">
        <f ca="1">AVERAGE(OFFSET($AM$3,0,0,'Données projet'!$E$10+1,1))-AVERAGE(OFFSET($H$3,0,0,'Données projet'!$E$10+1,1))</f>
        <v>374.62597460242665</v>
      </c>
      <c r="AO197" s="62">
        <f t="shared" ref="AO197:AO203" si="205">$AO$3</f>
        <v>277.50105097454616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409.68685886029164</v>
      </c>
      <c r="BJ197" s="62">
        <f t="shared" ref="BJ197:BJ203" si="206">$BJ$3</f>
        <v>330.8416508650887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5.1252001817094391E-2</v>
      </c>
      <c r="BR197" s="23">
        <f>EXP(-LN(2)/2)*BR196+(1-EXP(-LN(2)/2))/(LN(2)/2)*BL197*BO197*VLOOKUP('Données projet'!$B$11,Paramètres!$A$1:$I$89,3,0)*0.475*44/12</f>
        <v>3.4171143935330862E-24</v>
      </c>
      <c r="BS197" s="24">
        <f t="shared" si="169"/>
        <v>5.1252001817094391E-2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211.70619219850786</v>
      </c>
      <c r="T198" s="62">
        <f t="shared" si="204"/>
        <v>426.883837098247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2">
        <f t="shared" si="193"/>
        <v>288.741087724387</v>
      </c>
      <c r="AN198" s="62">
        <f ca="1">AVERAGE(OFFSET($AM$3,0,0,'Données projet'!$E$10+1,1))-AVERAGE(OFFSET($H$3,0,0,'Données projet'!$E$10+1,1))</f>
        <v>374.62597460242665</v>
      </c>
      <c r="AO198" s="62">
        <f t="shared" si="205"/>
        <v>277.50105097454616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409.68685886029164</v>
      </c>
      <c r="BJ198" s="62">
        <f t="shared" si="206"/>
        <v>330.8416508650887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4.9850513132180307E-2</v>
      </c>
      <c r="BR198" s="23">
        <f>EXP(-LN(2)/2)*BR197+(1-EXP(-LN(2)/2))/(LN(2)/2)*BL198*BO198*VLOOKUP('Données projet'!$B$11,Paramètres!$A$1:$I$89,3,0)*0.475*44/12</f>
        <v>2.416264759757402E-24</v>
      </c>
      <c r="BS198" s="24">
        <f t="shared" si="169"/>
        <v>4.9850513132180307E-2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211.70619219850786</v>
      </c>
      <c r="T199" s="62">
        <f t="shared" si="204"/>
        <v>426.883837098247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2">
        <f t="shared" si="193"/>
        <v>288.82075291897917</v>
      </c>
      <c r="AN199" s="62">
        <f ca="1">AVERAGE(OFFSET($AM$3,0,0,'Données projet'!$E$10+1,1))-AVERAGE(OFFSET($H$3,0,0,'Données projet'!$E$10+1,1))</f>
        <v>374.62597460242665</v>
      </c>
      <c r="AO199" s="62">
        <f t="shared" si="205"/>
        <v>277.50105097454616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409.68685886029164</v>
      </c>
      <c r="BJ199" s="62">
        <f t="shared" si="206"/>
        <v>330.8416508650887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4.8487348229056287E-2</v>
      </c>
      <c r="BR199" s="23">
        <f>EXP(-LN(2)/2)*BR198+(1-EXP(-LN(2)/2))/(LN(2)/2)*BL199*BO199*VLOOKUP('Données projet'!$B$11,Paramètres!$A$1:$I$89,3,0)*0.475*44/12</f>
        <v>1.7085571967665431E-24</v>
      </c>
      <c r="BS199" s="24">
        <f t="shared" si="169"/>
        <v>4.8487348229056287E-2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211.70619219850786</v>
      </c>
      <c r="T200" s="62">
        <f t="shared" si="204"/>
        <v>426.883837098247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2">
        <f t="shared" si="193"/>
        <v>288.89903610054984</v>
      </c>
      <c r="AN200" s="62">
        <f ca="1">AVERAGE(OFFSET($AM$3,0,0,'Données projet'!$E$10+1,1))-AVERAGE(OFFSET($H$3,0,0,'Données projet'!$E$10+1,1))</f>
        <v>374.62597460242665</v>
      </c>
      <c r="AO200" s="62">
        <f t="shared" si="205"/>
        <v>277.50105097454616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409.68685886029164</v>
      </c>
      <c r="BJ200" s="62">
        <f t="shared" si="206"/>
        <v>330.8416508650887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4.7161459141893916E-2</v>
      </c>
      <c r="BR200" s="23">
        <f>EXP(-LN(2)/2)*BR199+(1-EXP(-LN(2)/2))/(LN(2)/2)*BL200*BO200*VLOOKUP('Données projet'!$B$11,Paramètres!$A$1:$I$89,3,0)*0.475*44/12</f>
        <v>1.208132379878701E-24</v>
      </c>
      <c r="BS200" s="24">
        <f t="shared" si="169"/>
        <v>4.7161459141893916E-2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211.70619219850786</v>
      </c>
      <c r="T201" s="62">
        <f t="shared" si="204"/>
        <v>426.883837098247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2">
        <f t="shared" si="193"/>
        <v>288.97596124393527</v>
      </c>
      <c r="AN201" s="62">
        <f ca="1">AVERAGE(OFFSET($AM$3,0,0,'Données projet'!$E$10+1,1))-AVERAGE(OFFSET($H$3,0,0,'Données projet'!$E$10+1,1))</f>
        <v>374.62597460242665</v>
      </c>
      <c r="AO201" s="62">
        <f t="shared" si="205"/>
        <v>277.50105097454616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409.68685886029164</v>
      </c>
      <c r="BJ201" s="62">
        <f t="shared" si="206"/>
        <v>330.8416508650887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4.5871826561545481E-2</v>
      </c>
      <c r="BR201" s="23">
        <f>EXP(-LN(2)/2)*BR200+(1-EXP(-LN(2)/2))/(LN(2)/2)*BL201*BO201*VLOOKUP('Données projet'!$B$11,Paramètres!$A$1:$I$89,3,0)*0.475*44/12</f>
        <v>8.5427859838327155E-25</v>
      </c>
      <c r="BS201" s="24">
        <f t="shared" si="169"/>
        <v>4.5871826561545481E-2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211.70619219850786</v>
      </c>
      <c r="T202" s="62">
        <f t="shared" si="204"/>
        <v>426.883837098247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2">
        <f t="shared" si="193"/>
        <v>289.05155190806181</v>
      </c>
      <c r="AN202" s="62">
        <f ca="1">AVERAGE(OFFSET($AM$3,0,0,'Données projet'!$E$10+1,1))-AVERAGE(OFFSET($H$3,0,0,'Données projet'!$E$10+1,1))</f>
        <v>374.62597460242665</v>
      </c>
      <c r="AO202" s="62">
        <f t="shared" si="205"/>
        <v>277.50105097454616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409.68685886029164</v>
      </c>
      <c r="BJ202" s="62">
        <f t="shared" si="206"/>
        <v>330.8416508650887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4.4617459051925504E-2</v>
      </c>
      <c r="BR202" s="23">
        <f>EXP(-LN(2)/2)*BR201+(1-EXP(-LN(2)/2))/(LN(2)/2)*BL202*BO202*VLOOKUP('Données projet'!$B$11,Paramètres!$A$1:$I$89,3,0)*0.475*44/12</f>
        <v>6.040661899393505E-25</v>
      </c>
      <c r="BS202" s="24">
        <f t="shared" si="169"/>
        <v>4.4617459051925504E-2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211.70619219850786</v>
      </c>
      <c r="T203" s="62">
        <f t="shared" si="204"/>
        <v>426.883837098247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2">
        <f t="shared" si="193"/>
        <v>289.1258312431612</v>
      </c>
      <c r="AN203" s="62">
        <f ca="1">AVERAGE(OFFSET($AM$3,0,0,'Données projet'!$E$10+1,1))-AVERAGE(OFFSET($H$3,0,0,'Données projet'!$E$10+1,1))</f>
        <v>374.62597460242665</v>
      </c>
      <c r="AO203" s="62">
        <f t="shared" si="205"/>
        <v>277.50105097454616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409.68685886029164</v>
      </c>
      <c r="BJ203" s="62">
        <f t="shared" si="206"/>
        <v>330.8416508650887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4.3397392287820406E-2</v>
      </c>
      <c r="BR203" s="23">
        <f>EXP(-LN(2)/2)*BR202+(1-EXP(-LN(2)/2))/(LN(2)/2)*BL203*BO203*VLOOKUP('Données projet'!$B$11,Paramètres!$A$1:$I$89,3,0)*0.475*44/12</f>
        <v>4.2713929919163577E-25</v>
      </c>
      <c r="BS203" s="24">
        <f t="shared" si="169"/>
        <v>4.3397392287820406E-2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1.1921598380198544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2.9201999999999999</v>
      </c>
      <c r="C6" s="156">
        <f ca="1">IF(OR('Données projet'!B9="",'Données projet'!C9="",'Données projet'!C9=0%),0,Calculateur!S3)</f>
        <v>211.70619219850786</v>
      </c>
      <c r="D6" s="156">
        <f>IF(OR('Données projet'!B9="",'Données projet'!C9="",'Données projet'!C9=0%),0,Calculateur!T3)</f>
        <v>426.883837098247</v>
      </c>
      <c r="E6" s="156">
        <f ca="1">MIN(C6,D6)</f>
        <v>211.70619219850786</v>
      </c>
      <c r="F6" s="156">
        <f ca="1">E6*B6</f>
        <v>618.2244224580827</v>
      </c>
      <c r="G6" s="156">
        <f ca="1">F6*(100%-'Données projet'!$C$24)*(100%-'Données projet'!$C$25)*(100%-'Données projet'!$C$26)*(100%-'Données projet'!$C$27)</f>
        <v>528.58188120166074</v>
      </c>
      <c r="H6" s="157">
        <f>IF(OR('Données projet'!B9="",'Données projet'!C9="",'Données projet'!C9=0%),0,AVERAGE(Calculateur!$AC$3:$AC$33)*B6)</f>
        <v>28.279164191907959</v>
      </c>
      <c r="I6" s="158">
        <f>H6*(100%-'Données projet'!$C$24)*(100%-'Données projet'!$C$25)*(100%-'Données projet'!$C$26)*(100%-'Données projet'!$C$27)</f>
        <v>24.178685384081305</v>
      </c>
      <c r="J6" s="159">
        <f>IF(OR('Données projet'!B9="",'Données projet'!C9="",'Données projet'!C9=0%),0,SUM(Calculateur!$V$3:$V$33)*VLOOKUP('Données projet'!$B$9,Paramètres!$A$1:$I$89,9,0)*B6)</f>
        <v>206.75015999999999</v>
      </c>
      <c r="K6" s="160">
        <f>J6*(100%-'Données projet'!$C$24)*(100%-'Données projet'!$C$25)*(100%-'Données projet'!$C$26)*(100%-'Données projet'!$C$27)</f>
        <v>176.77138679999999</v>
      </c>
      <c r="L6" s="161">
        <f ca="1">G6+I6+K6</f>
        <v>729.53195338574199</v>
      </c>
      <c r="M6" s="25">
        <f ca="1">L6/B6</f>
        <v>249.82259892669748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0.42013200000000001</v>
      </c>
      <c r="C7" s="156">
        <f ca="1">IF(OR('Données projet'!B10="",'Données projet'!C10="",'Données projet'!C10=0%),0,Calculateur!AN3)</f>
        <v>374.62597460242665</v>
      </c>
      <c r="D7" s="156">
        <f>IF(OR('Données projet'!B10="",'Données projet'!C10="",'Données projet'!C10=0%),0,Calculateur!AO3)</f>
        <v>277.50105097454616</v>
      </c>
      <c r="E7" s="156">
        <f t="shared" ref="E7:E15" ca="1" si="0">MIN(C7,D7)</f>
        <v>277.50105097454616</v>
      </c>
      <c r="F7" s="156">
        <f t="shared" ref="F7:F15" ca="1" si="1">E7*B7</f>
        <v>116.58707154803803</v>
      </c>
      <c r="G7" s="156">
        <f ca="1">F7*(100%-'Données projet'!$C$24)*(100%-'Données projet'!$C$25)*(100%-'Données projet'!$C$26)*(100%-'Données projet'!$C$27)</f>
        <v>99.681946173572499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99.681946173572499</v>
      </c>
      <c r="M7" s="25">
        <f ca="1">L7/B7</f>
        <v>237.26339858323692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1.3658999999999999</v>
      </c>
      <c r="C8" s="156">
        <f ca="1">IF(OR('Données projet'!B11="",'Données projet'!C11="",'Données projet'!C11=0%),0,Calculateur!BI3)</f>
        <v>409.68685886029164</v>
      </c>
      <c r="D8" s="156">
        <f>IF(OR('Données projet'!B11="",'Données projet'!C11="",'Données projet'!C11=0%),0,Calculateur!BJ3)</f>
        <v>330.8416508650887</v>
      </c>
      <c r="E8" s="156">
        <f t="shared" ca="1" si="0"/>
        <v>330.8416508650887</v>
      </c>
      <c r="F8" s="156">
        <f t="shared" ca="1" si="1"/>
        <v>451.89661091662464</v>
      </c>
      <c r="G8" s="156">
        <f ca="1">F8*(100%-'Données projet'!$C$24)*(100%-'Données projet'!$C$25)*(100%-'Données projet'!$C$26)*(100%-'Données projet'!$C$27)</f>
        <v>386.37160233371407</v>
      </c>
      <c r="H8" s="164">
        <f>IF(OR('Données projet'!B11="",'Données projet'!C11="",'Données projet'!C11=0%),0,AVERAGE(Calculateur!$BS$3:$BS$33)*B8)</f>
        <v>3.8944270215135153</v>
      </c>
      <c r="I8" s="158">
        <f>H8*(100%-'Données projet'!$C$24)*(100%-'Données projet'!$C$25)*(100%-'Données projet'!$C$26)*(100%-'Données projet'!$C$27)</f>
        <v>3.3297351033940554</v>
      </c>
      <c r="J8" s="159">
        <f>IF(OR('Données projet'!B11="",'Données projet'!C11="",'Données projet'!C11=0%),0,SUM(Calculateur!$BL$3:$BL$33)*VLOOKUP('Données projet'!$B$11,Paramètres!$A$1:$I$89,9,0)*B8)</f>
        <v>39.351578999999994</v>
      </c>
      <c r="K8" s="160">
        <f>J8*(100%-'Données projet'!$C$24)*(100%-'Données projet'!$C$25)*(100%-'Données projet'!$C$26)*(100%-'Données projet'!$C$27)</f>
        <v>33.645600044999995</v>
      </c>
      <c r="L8" s="161">
        <f t="shared" ca="1" si="2"/>
        <v>423.3469374821081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1186.7081049227454</v>
      </c>
      <c r="G16" s="175">
        <f t="shared" ca="1" si="3"/>
        <v>1014.6354297089472</v>
      </c>
      <c r="H16" s="176">
        <f t="shared" si="3"/>
        <v>32.173591213421474</v>
      </c>
      <c r="I16" s="176">
        <f t="shared" si="3"/>
        <v>27.508420487475362</v>
      </c>
      <c r="J16" s="177">
        <f t="shared" si="3"/>
        <v>246.10173899999998</v>
      </c>
      <c r="K16" s="177">
        <f t="shared" si="3"/>
        <v>210.416986845</v>
      </c>
      <c r="L16" s="178">
        <f t="shared" ca="1" si="3"/>
        <v>1252.5608370414227</v>
      </c>
      <c r="M16" s="25">
        <f ca="1">L16/6.42</f>
        <v>195.10293411860167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0" zoomScale="90" zoomScaleNormal="90" workbookViewId="0">
      <selection activeCell="U17" sqref="U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4267.0689400924093</v>
      </c>
      <c r="U10" s="190">
        <f>'Données projet'!D9</f>
        <v>2.9201999999999999</v>
      </c>
      <c r="V10" s="189">
        <f>U10*T10</f>
        <v>12460.694718857852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1041.5894632500376</v>
      </c>
      <c r="U11" s="190">
        <f>'Données projet'!D10</f>
        <v>0.42013200000000001</v>
      </c>
      <c r="V11" s="189">
        <f t="shared" ref="V11" si="0">U11*T11</f>
        <v>437.60506437416484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1997.5625420038677</v>
      </c>
      <c r="U12" s="190">
        <f>'Données projet'!D11</f>
        <v>1.3658999999999999</v>
      </c>
      <c r="V12" s="189">
        <f t="shared" ref="V12:V19" si="1">U12*T12</f>
        <v>2728.4706761230827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9998/4.61</f>
        <v>2168.7635574837309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3495/4.61</f>
        <v>758.13449023861165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2913/4.61</f>
        <v>631.88720173535785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f>873/4.61</f>
        <v>189.37093275488067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-2975.8186778106156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f>873/4.61</f>
        <v>189.37093275488067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31798.625099100987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>
        <v>5</v>
      </c>
      <c r="I25" s="204">
        <f>873/4.61</f>
        <v>189.37093275488067</v>
      </c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37">
        <f ca="1">T23-T24</f>
        <v>-34774.443776911605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6751.3004456689996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146.81134744813039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140.48932770156023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182</v>
      </c>
      <c r="C56" s="292">
        <v>8</v>
      </c>
      <c r="D56" s="191">
        <f t="shared" si="4"/>
        <v>1456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134.43954803977056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43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128.6502852055221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49</v>
      </c>
      <c r="B58" s="193">
        <f>'Données projet'!D66</f>
        <v>100</v>
      </c>
      <c r="C58" s="292">
        <v>10</v>
      </c>
      <c r="D58" s="191">
        <f t="shared" si="4"/>
        <v>1000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123.11032077083455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117.80891939792782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79</v>
      </c>
      <c r="C60" s="292">
        <v>10</v>
      </c>
      <c r="D60" s="191">
        <f t="shared" si="4"/>
        <v>790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112.73580803629457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57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107.88115601559291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63</v>
      </c>
      <c r="B62" s="193">
        <f>'Données projet'!D70</f>
        <v>79</v>
      </c>
      <c r="C62" s="204">
        <v>15</v>
      </c>
      <c r="D62" s="191">
        <f t="shared" si="4"/>
        <v>1185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103.23555599578268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64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98.790005737591116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71</v>
      </c>
      <c r="B64" s="193">
        <f>'Données projet'!D72</f>
        <v>91</v>
      </c>
      <c r="C64" s="204">
        <v>20</v>
      </c>
      <c r="D64" s="191">
        <f t="shared" si="4"/>
        <v>1820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94.535890657981909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90.464967136824839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79</v>
      </c>
      <c r="B66" s="193">
        <f>'Données projet'!D74</f>
        <v>88</v>
      </c>
      <c r="C66" s="204">
        <v>25</v>
      </c>
      <c r="D66" s="191">
        <f t="shared" si="4"/>
        <v>2200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86.569346542416127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82.841479944895823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87</v>
      </c>
      <c r="B68" s="193">
        <f>'Données projet'!D76</f>
        <v>89</v>
      </c>
      <c r="C68" s="204">
        <v>35</v>
      </c>
      <c r="D68" s="191">
        <f t="shared" si="4"/>
        <v>3115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88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94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269</v>
      </c>
      <c r="C71" s="204">
        <v>40</v>
      </c>
      <c r="D71" s="191">
        <f t="shared" si="4"/>
        <v>10760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96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105</v>
      </c>
      <c r="B73" s="193">
        <f>'Données projet'!D81</f>
        <v>357</v>
      </c>
      <c r="C73" s="204">
        <v>50</v>
      </c>
      <c r="D73" s="191">
        <f t="shared" si="4"/>
        <v>17850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92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92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92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92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92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92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92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92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92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92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92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2025-05-05T14:25:26Z</dcterms:modified>
</cp:coreProperties>
</file>