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19-001 LA GANE/h. Carbone/2025 LBC boisement/Dépôt/V4/"/>
    </mc:Choice>
  </mc:AlternateContent>
  <xr:revisionPtr revIDLastSave="12" documentId="8_{F6B9C95F-A7E4-4149-A619-DF845CD23C27}" xr6:coauthVersionLast="47" xr6:coauthVersionMax="47" xr10:uidLastSave="{641B9281-A2DF-4454-B730-31A7B2F50397}"/>
  <bookViews>
    <workbookView xWindow="-120" yWindow="-120" windowWidth="29040" windowHeight="175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6" l="1"/>
  <c r="E111" i="6"/>
  <c r="E80" i="6" l="1"/>
  <c r="E49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H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HG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FS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FS44" i="2"/>
  <c r="HH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G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B113" i="2"/>
  <c r="FS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G130" i="2"/>
  <c r="HI130" i="2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AB156" i="2"/>
  <c r="HI156" i="2"/>
  <c r="HG156" i="2"/>
  <c r="EX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W162" i="2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G163" i="2"/>
  <c r="EA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HG164" i="2"/>
  <c r="HH164" i="2"/>
  <c r="EX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EC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B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H178" i="2"/>
  <c r="FQ178" i="2"/>
  <c r="HG178" i="2"/>
  <c r="EB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DF179" i="2"/>
  <c r="HI179" i="2"/>
  <c r="EV179" i="2"/>
  <c r="EA179" i="2"/>
  <c r="ED179" i="2" s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FR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C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HH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ED192" i="2" s="1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HG194" i="2"/>
  <c r="EB194" i="2"/>
  <c r="CN193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A195" i="2"/>
  <c r="DH195" i="2"/>
  <c r="FQ195" i="2"/>
  <c r="HG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W197" i="2"/>
  <c r="HH197" i="2"/>
  <c r="EC197" i="2"/>
  <c r="AA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HH199" i="2"/>
  <c r="EV199" i="2"/>
  <c r="FS199" i="2"/>
  <c r="HG199" i="2"/>
  <c r="HJ199" i="2" s="1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/>
  <c r="EB201" i="2" l="1"/>
  <c r="EA201" i="2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S202" i="2"/>
  <c r="HG202" i="2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32" i="2" a="1"/>
  <c r="FY32" i="2" s="1"/>
  <c r="FY35" i="2" a="1"/>
  <c r="FY35" i="2" s="1"/>
  <c r="FY71" i="2" a="1"/>
  <c r="FY71" i="2" s="1"/>
  <c r="FY69" i="2" a="1"/>
  <c r="FY69" i="2" s="1"/>
  <c r="FY143" i="2" a="1"/>
  <c r="FY143" i="2" s="1"/>
  <c r="FY186" i="2" a="1"/>
  <c r="FY186" i="2" s="1"/>
  <c r="FY116" i="2" a="1"/>
  <c r="FY116" i="2" s="1"/>
  <c r="FY78" i="2" a="1"/>
  <c r="FY78" i="2" s="1"/>
  <c r="FY178" i="2" a="1"/>
  <c r="FY178" i="2" s="1"/>
  <c r="FY190" i="2" a="1"/>
  <c r="FY190" i="2" s="1"/>
  <c r="FY149" i="2" a="1"/>
  <c r="FY149" i="2" s="1"/>
  <c r="FY104" i="2" a="1"/>
  <c r="FY104" i="2" s="1"/>
  <c r="GT115" i="2" a="1"/>
  <c r="GT115" i="2" s="1"/>
  <c r="GT51" i="2" a="1"/>
  <c r="GT51" i="2" s="1"/>
  <c r="GT121" i="2" a="1"/>
  <c r="GT121" i="2" s="1"/>
  <c r="GT133" i="2" a="1"/>
  <c r="GT133" i="2" s="1"/>
  <c r="GT33" i="2" a="1"/>
  <c r="GT33" i="2" s="1"/>
  <c r="GT11" i="2" a="1"/>
  <c r="GT11" i="2" s="1"/>
  <c r="EI106" i="2" a="1"/>
  <c r="EI106" i="2" s="1"/>
  <c r="CS66" i="2" a="1"/>
  <c r="CS66" i="2" s="1"/>
  <c r="DN66" i="2" a="1"/>
  <c r="DN66" i="2" s="1"/>
  <c r="CS116" i="2" a="1"/>
  <c r="CS116" i="2" s="1"/>
  <c r="CS137" i="2" a="1"/>
  <c r="CS137" i="2" s="1"/>
  <c r="DN103" i="2" a="1"/>
  <c r="DN103" i="2" s="1"/>
  <c r="CS105" i="2" a="1"/>
  <c r="CS105" i="2" s="1"/>
  <c r="CS38" i="2" a="1"/>
  <c r="CS38" i="2" s="1"/>
  <c r="FY82" i="2" a="1"/>
  <c r="FY82" i="2" s="1"/>
  <c r="FY196" i="2" a="1"/>
  <c r="FY196" i="2" s="1"/>
  <c r="FY30" i="2" a="1"/>
  <c r="FY30" i="2" s="1"/>
  <c r="FD60" i="2" a="1"/>
  <c r="FD60" i="2" s="1"/>
  <c r="FD188" i="2" a="1"/>
  <c r="FD188" i="2" s="1"/>
  <c r="FD48" i="2" a="1"/>
  <c r="FD48" i="2" s="1"/>
  <c r="FD131" i="2" a="1"/>
  <c r="FD131" i="2" s="1"/>
  <c r="FD167" i="2" a="1"/>
  <c r="FD167" i="2" s="1"/>
  <c r="FD159" i="2" a="1"/>
  <c r="FD159" i="2" s="1"/>
  <c r="FD187" i="2" a="1"/>
  <c r="FD187" i="2" s="1"/>
  <c r="BC192" i="2" a="1"/>
  <c r="BC192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57" i="2" a="1"/>
  <c r="EI57" i="2" s="1"/>
  <c r="EI170" i="2" a="1"/>
  <c r="EI170" i="2" s="1"/>
  <c r="DN168" i="2" a="1"/>
  <c r="DN168" i="2" s="1"/>
  <c r="CS185" i="2" a="1"/>
  <c r="CS185" i="2" s="1"/>
  <c r="CS56" i="2" a="1"/>
  <c r="CS56" i="2" s="1"/>
  <c r="CS114" i="2" a="1"/>
  <c r="CS114" i="2" s="1"/>
  <c r="DN65" i="2" a="1"/>
  <c r="DN65" i="2" s="1"/>
  <c r="DN133" i="2" a="1"/>
  <c r="DN133" i="2" s="1"/>
  <c r="DN6" i="2" a="1"/>
  <c r="DN6" i="2" s="1"/>
  <c r="DO6" i="2" s="1"/>
  <c r="CS24" i="2" a="1"/>
  <c r="CS24" i="2" s="1"/>
  <c r="CS134" i="2" a="1"/>
  <c r="CS134" i="2" s="1"/>
  <c r="CS72" i="2" a="1"/>
  <c r="CS72" i="2" s="1"/>
  <c r="HJ202" i="2"/>
  <c r="EY202" i="2"/>
  <c r="AX200" i="2"/>
  <c r="BC126" i="2" l="1" a="1"/>
  <c r="BC126" i="2" s="1"/>
  <c r="BC84" i="2" a="1"/>
  <c r="BC84" i="2" s="1"/>
  <c r="BC82" i="2" a="1"/>
  <c r="BC82" i="2" s="1"/>
  <c r="BC38" i="2" a="1"/>
  <c r="BC38" i="2" s="1"/>
  <c r="BC185" i="2" a="1"/>
  <c r="BC185" i="2" s="1"/>
  <c r="BC7" i="2" a="1"/>
  <c r="BC7" i="2" s="1"/>
  <c r="BC114" i="2" a="1"/>
  <c r="BC114" i="2" s="1"/>
  <c r="BC47" i="2" a="1"/>
  <c r="BC47" i="2" s="1"/>
  <c r="BC32" i="2" a="1"/>
  <c r="BC32" i="2" s="1"/>
  <c r="BC18" i="2" a="1"/>
  <c r="BC18" i="2" s="1"/>
  <c r="BC164" i="2" a="1"/>
  <c r="BC164" i="2" s="1"/>
  <c r="BC83" i="2" a="1"/>
  <c r="BC83" i="2" s="1"/>
  <c r="BC55" i="2" a="1"/>
  <c r="BC55" i="2" s="1"/>
  <c r="BC151" i="2" a="1"/>
  <c r="BC151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BC31" i="2" a="1"/>
  <c r="BC31" i="2" s="1"/>
  <c r="BC181" i="2" a="1"/>
  <c r="BC181" i="2" s="1"/>
  <c r="BC34" i="2" a="1"/>
  <c r="BC34" i="2" s="1"/>
  <c r="BC65" i="2" a="1"/>
  <c r="BC65" i="2" s="1"/>
  <c r="BX107" i="2" a="1"/>
  <c r="BX107" i="2" s="1"/>
  <c r="CS77" i="2" a="1"/>
  <c r="CS77" i="2" s="1"/>
  <c r="CS52" i="2" a="1"/>
  <c r="CS52" i="2" s="1"/>
  <c r="CS161" i="2" a="1"/>
  <c r="CS161" i="2" s="1"/>
  <c r="DN153" i="2" a="1"/>
  <c r="DN153" i="2" s="1"/>
  <c r="AH163" i="2" a="1"/>
  <c r="AH163" i="2" s="1"/>
  <c r="DN50" i="2" a="1"/>
  <c r="DN50" i="2" s="1"/>
  <c r="AH19" i="2" a="1"/>
  <c r="AH19" i="2" s="1"/>
  <c r="CS129" i="2" a="1"/>
  <c r="CS129" i="2" s="1"/>
  <c r="GT122" i="2" a="1"/>
  <c r="GT122" i="2" s="1"/>
  <c r="DN176" i="2" a="1"/>
  <c r="DN176" i="2" s="1"/>
  <c r="EI113" i="2" a="1"/>
  <c r="EI113" i="2" s="1"/>
  <c r="EI87" i="2" a="1"/>
  <c r="EI87" i="2" s="1"/>
  <c r="DN114" i="2" a="1"/>
  <c r="DN114" i="2" s="1"/>
  <c r="DN129" i="2" a="1"/>
  <c r="DN129" i="2" s="1"/>
  <c r="EI142" i="2" a="1"/>
  <c r="EI142" i="2" s="1"/>
  <c r="EI166" i="2" a="1"/>
  <c r="EI166" i="2" s="1"/>
  <c r="EI109" i="2" a="1"/>
  <c r="EI109" i="2" s="1"/>
  <c r="EI178" i="2" a="1"/>
  <c r="EI178" i="2" s="1"/>
  <c r="EI198" i="2" a="1"/>
  <c r="EI198" i="2" s="1"/>
  <c r="EI16" i="2" a="1"/>
  <c r="EI16" i="2" s="1"/>
  <c r="EI38" i="2" a="1"/>
  <c r="EI38" i="2" s="1"/>
  <c r="DN167" i="2" a="1"/>
  <c r="DN167" i="2" s="1"/>
  <c r="EI35" i="2" a="1"/>
  <c r="EI35" i="2" s="1"/>
  <c r="EI34" i="2" a="1"/>
  <c r="EI34" i="2" s="1"/>
  <c r="EI195" i="2" a="1"/>
  <c r="EI195" i="2" s="1"/>
  <c r="DN43" i="2" a="1"/>
  <c r="DN43" i="2" s="1"/>
  <c r="EI162" i="2" a="1"/>
  <c r="EI162" i="2" s="1"/>
  <c r="GT102" i="2" a="1"/>
  <c r="GT102" i="2" s="1"/>
  <c r="GT68" i="2" a="1"/>
  <c r="GT68" i="2" s="1"/>
  <c r="EI153" i="2" a="1"/>
  <c r="EI153" i="2" s="1"/>
  <c r="EI37" i="2" a="1"/>
  <c r="EI37" i="2" s="1"/>
  <c r="DN29" i="2" a="1"/>
  <c r="DN29" i="2" s="1"/>
  <c r="DN162" i="2" a="1"/>
  <c r="DN162" i="2" s="1"/>
  <c r="EI139" i="2" a="1"/>
  <c r="EI139" i="2" s="1"/>
  <c r="EI165" i="2" a="1"/>
  <c r="EI165" i="2" s="1"/>
  <c r="DN186" i="2" a="1"/>
  <c r="DN186" i="2" s="1"/>
  <c r="EI150" i="2" a="1"/>
  <c r="EI150" i="2" s="1"/>
  <c r="GT147" i="2" a="1"/>
  <c r="GT147" i="2" s="1"/>
  <c r="GT181" i="2" a="1"/>
  <c r="GT181" i="2" s="1"/>
  <c r="AH92" i="2" a="1"/>
  <c r="AH92" i="2" s="1"/>
  <c r="EI36" i="2" a="1"/>
  <c r="EI36" i="2" s="1"/>
  <c r="EI128" i="2" a="1"/>
  <c r="EI128" i="2" s="1"/>
  <c r="EI20" i="2" a="1"/>
  <c r="EI20" i="2" s="1"/>
  <c r="EI145" i="2" a="1"/>
  <c r="EI145" i="2" s="1"/>
  <c r="DN49" i="2" a="1"/>
  <c r="DN49" i="2" s="1"/>
  <c r="EI67" i="2" a="1"/>
  <c r="EI67" i="2" s="1"/>
  <c r="EI71" i="2" a="1"/>
  <c r="EI71" i="2" s="1"/>
  <c r="DN192" i="2" a="1"/>
  <c r="DN192" i="2" s="1"/>
  <c r="EI29" i="2" a="1"/>
  <c r="EI29" i="2" s="1"/>
  <c r="GT152" i="2" a="1"/>
  <c r="GT152" i="2" s="1"/>
  <c r="GT184" i="2" a="1"/>
  <c r="GT184" i="2" s="1"/>
  <c r="AH90" i="2" a="1"/>
  <c r="AH90" i="2" s="1"/>
  <c r="AH151" i="2" a="1"/>
  <c r="AH151" i="2" s="1"/>
  <c r="AH199" i="2" a="1"/>
  <c r="AH199" i="2" s="1"/>
  <c r="AH62" i="2" a="1"/>
  <c r="AH62" i="2" s="1"/>
  <c r="AH166" i="2" a="1"/>
  <c r="AH166" i="2" s="1"/>
  <c r="DN45" i="2" a="1"/>
  <c r="DN45" i="2" s="1"/>
  <c r="DN190" i="2" a="1"/>
  <c r="DN190" i="2" s="1"/>
  <c r="DN16" i="2" a="1"/>
  <c r="DN16" i="2" s="1"/>
  <c r="DN80" i="2" a="1"/>
  <c r="DN80" i="2" s="1"/>
  <c r="FD107" i="2" a="1"/>
  <c r="FD107" i="2" s="1"/>
  <c r="FD44" i="2" a="1"/>
  <c r="FD44" i="2" s="1"/>
  <c r="FY42" i="2" a="1"/>
  <c r="FY42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DN70" i="2" a="1"/>
  <c r="DN70" i="2" s="1"/>
  <c r="DN113" i="2" a="1"/>
  <c r="DN113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43" i="2" a="1"/>
  <c r="FD43" i="2" s="1"/>
  <c r="DN137" i="2" a="1"/>
  <c r="DN137" i="2" s="1"/>
  <c r="DN30" i="2" a="1"/>
  <c r="DN30" i="2" s="1"/>
  <c r="DN55" i="2" a="1"/>
  <c r="DN55" i="2" s="1"/>
  <c r="DN135" i="2" a="1"/>
  <c r="DN135" i="2" s="1"/>
  <c r="FD19" i="2" a="1"/>
  <c r="FD19" i="2" s="1"/>
  <c r="FD64" i="2" a="1"/>
  <c r="FD64" i="2" s="1"/>
  <c r="FY167" i="2" a="1"/>
  <c r="FY167" i="2" s="1"/>
  <c r="FY115" i="2" a="1"/>
  <c r="FY115" i="2" s="1"/>
  <c r="DN86" i="2" a="1"/>
  <c r="DN86" i="2" s="1"/>
  <c r="DN25" i="2" a="1"/>
  <c r="DN2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DN164" i="2" a="1"/>
  <c r="DN164" i="2" s="1"/>
  <c r="FD194" i="2" a="1"/>
  <c r="FD194" i="2" s="1"/>
  <c r="FY182" i="2" a="1"/>
  <c r="FY182" i="2" s="1"/>
  <c r="DN188" i="2" a="1"/>
  <c r="DN188" i="2" s="1"/>
  <c r="DN187" i="2" a="1"/>
  <c r="DN187" i="2" s="1"/>
  <c r="FD82" i="2" a="1"/>
  <c r="FD82" i="2" s="1"/>
  <c r="DN46" i="2" a="1"/>
  <c r="DN46" i="2" s="1"/>
  <c r="DN110" i="2" a="1"/>
  <c r="DN110" i="2" s="1"/>
  <c r="DN38" i="2" a="1"/>
  <c r="DN38" i="2" s="1"/>
  <c r="FD160" i="2" a="1"/>
  <c r="FD160" i="2" s="1"/>
  <c r="FD189" i="2" a="1"/>
  <c r="FD189" i="2" s="1"/>
  <c r="FY142" i="2" a="1"/>
  <c r="FY142" i="2" s="1"/>
  <c r="FY86" i="2" a="1"/>
  <c r="FY86" i="2" s="1"/>
  <c r="DN123" i="2" a="1"/>
  <c r="DN123" i="2" s="1"/>
  <c r="DN177" i="2" a="1"/>
  <c r="DN177" i="2" s="1"/>
  <c r="DN184" i="2" a="1"/>
  <c r="DN184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DN132" i="2" a="1"/>
  <c r="DN132" i="2" s="1"/>
  <c r="DN63" i="2" a="1"/>
  <c r="DN63" i="2" s="1"/>
  <c r="FY121" i="2" a="1"/>
  <c r="FY121" i="2" s="1"/>
  <c r="DN31" i="2" a="1"/>
  <c r="DN31" i="2" s="1"/>
  <c r="FD137" i="2" a="1"/>
  <c r="FD137" i="2" s="1"/>
  <c r="FD14" i="2" a="1"/>
  <c r="FD14" i="2" s="1"/>
  <c r="FY80" i="2" a="1"/>
  <c r="FY80" i="2" s="1"/>
  <c r="FY58" i="2" a="1"/>
  <c r="FY58" i="2" s="1"/>
  <c r="DN115" i="2" a="1"/>
  <c r="DN115" i="2" s="1"/>
  <c r="DN152" i="2" a="1"/>
  <c r="DN152" i="2" s="1"/>
  <c r="DN124" i="2" a="1"/>
  <c r="DN124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<sst xmlns="http://schemas.openxmlformats.org/spreadsheetml/2006/main" count="1176" uniqueCount="326">
  <si>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</si>
  <si>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</si>
  <si>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</si>
  <si>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</si>
  <si>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</si>
  <si>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</si>
  <si>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</si>
  <si>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</si>
  <si>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</si>
  <si>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</si>
  <si>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</si>
  <si>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</si>
  <si>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</si>
  <si>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</si>
  <si>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</si>
  <si>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</si>
  <si>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</si>
  <si>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</si>
  <si>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</si>
  <si>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</si>
  <si>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</si>
  <si>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</si>
  <si>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</si>
  <si>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</si>
  <si>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</si>
  <si>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</si>
  <si>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</si>
  <si>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</si>
  <si>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</si>
  <si>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</si>
  <si>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</si>
  <si>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</si>
  <si>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</si>
  <si>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</si>
  <si>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</si>
  <si>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</si>
  <si>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</si>
  <si>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</si>
  <si>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</si>
  <si>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</si>
  <si>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</si>
  <si>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</si>
  <si>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</si>
  <si>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</si>
  <si>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</si>
  <si>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</si>
  <si>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</si>
  <si>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</si>
  <si>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</si>
  <si>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</si>
  <si>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</si>
  <si>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</si>
  <si>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</si>
  <si>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</si>
  <si>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</si>
  <si>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</si>
  <si>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</si>
  <si>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</si>
  <si>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</si>
  <si>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</si>
  <si>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</si>
  <si>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</si>
  <si>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</si>
  <si>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</si>
  <si>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</si>
  <si>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</si>
  <si>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</si>
  <si>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</si>
  <si>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</si>
  <si>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</si>
  <si>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</si>
  <si>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</si>
  <si>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</si>
  <si>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</si>
  <si>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</si>
  <si>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</si>
  <si>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</si>
  <si>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</si>
  <si>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</si>
  <si>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</si>
  <si>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</si>
  <si>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</si>
  <si>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</si>
  <si>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</si>
  <si>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</si>
  <si>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</si>
  <si>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</si>
  <si>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</si>
  <si>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</si>
  <si>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</si>
  <si>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</si>
  <si>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</si>
  <si>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</si>
  <si>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</si>
  <si>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</si>
  <si>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</si>
  <si>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</si>
  <si>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</si>
  <si>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</si>
  <si>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</si>
  <si>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</si>
  <si>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</si>
  <si>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</si>
  <si>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</si>
  <si>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</si>
  <si>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</si>
  <si>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</si>
  <si>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</si>
  <si>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</si>
  <si>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</si>
  <si>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</si>
  <si>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</si>
  <si>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</si>
  <si>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</si>
  <si>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</si>
  <si>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</si>
  <si>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</si>
  <si>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</si>
  <si>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</si>
  <si>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</si>
  <si>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</si>
  <si>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</si>
  <si>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</si>
  <si>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</si>
  <si>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</si>
  <si>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</si>
  <si>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</si>
  <si>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</si>
  <si>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</si>
  <si>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</si>
  <si>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</si>
  <si>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</si>
  <si>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</si>
  <si>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</si>
  <si>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</si>
  <si>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</si>
  <si>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</si>
  <si>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</si>
  <si>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</si>
  <si>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</si>
  <si>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</si>
  <si>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</si>
  <si>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</si>
  <si>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</si>
  <si>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</si>
  <si>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</si>
  <si>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</si>
  <si>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</si>
  <si>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</si>
  <si>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</si>
  <si>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</si>
  <si>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</si>
  <si>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</si>
  <si>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</si>
  <si>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</si>
  <si>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</si>
  <si>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</si>
  <si>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</si>
  <si>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</si>
  <si>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</si>
  <si>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</si>
  <si>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</si>
  <si>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</si>
  <si>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</si>
  <si>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</si>
  <si>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</si>
  <si>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</si>
  <si>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</si>
  <si>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</si>
  <si>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</si>
  <si>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</si>
  <si>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</si>
  <si>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</si>
  <si>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</si>
  <si>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</si>
  <si>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</si>
  <si>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</si>
  <si>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</si>
  <si>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</si>
  <si>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</si>
  <si>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</si>
  <si>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</si>
  <si>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</si>
  <si>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</si>
  <si>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</si>
  <si>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</si>
  <si>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</si>
  <si>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</si>
  <si>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</si>
  <si>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</si>
  <si>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</si>
  <si>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</si>
  <si>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</si>
  <si>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</si>
  <si>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</si>
  <si>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</si>
  <si>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</si>
  <si>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</si>
  <si>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</si>
  <si>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</si>
  <si>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</si>
  <si>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</si>
  <si>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</si>
  <si>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</si>
  <si>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</si>
  <si>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</si>
  <si>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</si>
  <si>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</si>
  <si>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</si>
  <si>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</si>
  <si>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</si>
  <si>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</si>
  <si>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</si>
  <si>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</si>
  <si>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</si>
  <si>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</si>
  <si>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</si>
  <si>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</si>
  <si>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</si>
  <si>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</si>
  <si>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</si>
  <si>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</si>
  <si>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</si>
  <si>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</si>
  <si>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</si>
  <si>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</si>
  <si>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</si>
  <si>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</si>
  <si>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</si>
  <si>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</si>
  <si>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</si>
  <si>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</si>
  <si>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</si>
  <si>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</si>
  <si>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</si>
  <si>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</si>
  <si>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</si>
  <si>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</si>
  <si>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</si>
  <si>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</si>
  <si>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</si>
  <si>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</si>
  <si>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</si>
  <si>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</si>
  <si>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</si>
  <si>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</si>
  <si>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</si>
  <si>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</si>
  <si>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</si>
  <si>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</si>
  <si>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</si>
  <si>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</si>
  <si>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</si>
  <si>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</si>
  <si>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</si>
  <si>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</si>
  <si>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</si>
  <si>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</si>
  <si>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</si>
  <si>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</si>
  <si>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</si>
  <si>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</si>
  <si>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</si>
  <si>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</si>
  <si>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</si>
  <si>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</si>
  <si>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</si>
  <si>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</si>
  <si>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</si>
  <si>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</si>
  <si>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</si>
  <si>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</si>
  <si>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</si>
  <si>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</si>
  <si>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</si>
  <si>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</si>
  <si>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</si>
  <si>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</si>
  <si>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</si>
  <si>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</si>
  <si>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</si>
  <si>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</si>
  <si>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</si>
  <si>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</si>
  <si>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</si>
  <si>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</si>
  <si>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</si>
  <si>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</si>
  <si>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</si>
  <si>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</si>
  <si>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</si>
  <si>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</si>
  <si>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</si>
  <si>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</si>
  <si>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</si>
  <si>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</si>
  <si>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</si>
  <si>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</si>
  <si>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</si>
  <si>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</si>
  <si>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</si>
  <si>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</si>
  <si>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</si>
  <si>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</si>
  <si>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</si>
  <si>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</si>
  <si>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</si>
  <si>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</si>
  <si>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</si>
  <si>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</si>
  <si>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</si>
  <si>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</si>
  <si>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</si>
  <si>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</si>
  <si>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</si>
  <si>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</si>
  <si>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</si>
  <si>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</si>
  <si>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</si>
  <si>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</si>
  <si>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</si>
  <si>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</si>
  <si>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</si>
  <si>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</si>
  <si>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</si>
  <si>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(Dano)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</si>
</sst>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5">
    <cellStyle name="Lien hypertexte" xfId="2" builtinId="8"/>
    <cellStyle name="Normal" xfId="0" builtinId="0"/>
    <cellStyle name="Normal 2" xfId="3" xr:uid="{0C6EFB01-6E78-444D-9B5E-85564EEFDD11}"/>
    <cellStyle name="Pourcentage" xfId="1" builtinId="5"/>
    <cellStyle name="Pourcentage 2" xfId="4" xr:uid="{56EAE35F-C7EF-594D-A9F4-42561E46CD2E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2.8229146148735942</c:v>
                </c:pt>
                <c:pt idx="2">
                  <c:v>3.5679817472452289</c:v>
                </c:pt>
                <c:pt idx="3">
                  <c:v>4.5104656747748892</c:v>
                </c:pt>
                <c:pt idx="4">
                  <c:v>5.7028664442127992</c:v>
                </c:pt>
                <c:pt idx="5">
                  <c:v>7.2116933118895146</c:v>
                </c:pt>
                <c:pt idx="6">
                  <c:v>9.1212147798887706</c:v>
                </c:pt>
                <c:pt idx="7">
                  <c:v>11.538215366837889</c:v>
                </c:pt>
                <c:pt idx="8">
                  <c:v>14.598030097720615</c:v>
                </c:pt>
                <c:pt idx="9">
                  <c:v>18.472200814239098</c:v>
                </c:pt>
                <c:pt idx="10">
                  <c:v>23.378191295890257</c:v>
                </c:pt>
                <c:pt idx="11">
                  <c:v>29.591716198975757</c:v>
                </c:pt>
                <c:pt idx="12">
                  <c:v>37.462388777088456</c:v>
                </c:pt>
                <c:pt idx="13">
                  <c:v>47.433582902278893</c:v>
                </c:pt>
                <c:pt idx="14">
                  <c:v>60.067647073228102</c:v>
                </c:pt>
                <c:pt idx="15">
                  <c:v>76.077915879304669</c:v>
                </c:pt>
                <c:pt idx="16">
                  <c:v>96.369355597203011</c:v>
                </c:pt>
                <c:pt idx="17">
                  <c:v>122.09017788147132</c:v>
                </c:pt>
                <c:pt idx="18">
                  <c:v>154.69738768293033</c:v>
                </c:pt>
                <c:pt idx="19">
                  <c:v>196.04003523816644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1.8173728774347595</c:v>
                </c:pt>
                <c:pt idx="2">
                  <c:v>2.4890800869712595</c:v>
                </c:pt>
                <c:pt idx="3">
                  <c:v>3.4101183080567701</c:v>
                </c:pt>
                <c:pt idx="4">
                  <c:v>4.673409561094414</c:v>
                </c:pt>
                <c:pt idx="5">
                  <c:v>6.4066364200615604</c:v>
                </c:pt>
                <c:pt idx="6">
                  <c:v>8.7852904067714217</c:v>
                </c:pt>
                <c:pt idx="7">
                  <c:v>12.050634058029976</c:v>
                </c:pt>
                <c:pt idx="8">
                  <c:v>16.534432387135084</c:v>
                </c:pt>
                <c:pt idx="9">
                  <c:v>22.693012144023651</c:v>
                </c:pt>
                <c:pt idx="10">
                  <c:v>31.154176668066636</c:v>
                </c:pt>
                <c:pt idx="11">
                  <c:v>42.781841669337133</c:v>
                </c:pt>
                <c:pt idx="12">
                  <c:v>58.765103072789344</c:v>
                </c:pt>
                <c:pt idx="13">
                  <c:v>80.740995636679443</c:v>
                </c:pt>
                <c:pt idx="14">
                  <c:v>110.96371774938193</c:v>
                </c:pt>
                <c:pt idx="15">
                  <c:v>152.53795297225261</c:v>
                </c:pt>
                <c:pt idx="16">
                  <c:v>209.74062289228337</c:v>
                </c:pt>
                <c:pt idx="17">
                  <c:v>288.46466395815975</c:v>
                </c:pt>
                <c:pt idx="18">
                  <c:v>396.83120794918841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1.8173728774347595</c:v>
                </c:pt>
                <c:pt idx="2">
                  <c:v>2.4890800869712595</c:v>
                </c:pt>
                <c:pt idx="3">
                  <c:v>3.4101183080567701</c:v>
                </c:pt>
                <c:pt idx="4">
                  <c:v>4.673409561094414</c:v>
                </c:pt>
                <c:pt idx="5">
                  <c:v>6.4066364200615604</c:v>
                </c:pt>
                <c:pt idx="6">
                  <c:v>8.7852904067714217</c:v>
                </c:pt>
                <c:pt idx="7">
                  <c:v>12.050634058029976</c:v>
                </c:pt>
                <c:pt idx="8">
                  <c:v>16.534432387135084</c:v>
                </c:pt>
                <c:pt idx="9">
                  <c:v>22.693012144023651</c:v>
                </c:pt>
                <c:pt idx="10">
                  <c:v>31.154176668066636</c:v>
                </c:pt>
                <c:pt idx="11">
                  <c:v>42.781841669337133</c:v>
                </c:pt>
                <c:pt idx="12">
                  <c:v>58.765103072789344</c:v>
                </c:pt>
                <c:pt idx="13">
                  <c:v>80.740995636679443</c:v>
                </c:pt>
                <c:pt idx="14">
                  <c:v>110.96371774938193</c:v>
                </c:pt>
                <c:pt idx="15">
                  <c:v>152.53795297225261</c:v>
                </c:pt>
                <c:pt idx="16">
                  <c:v>209.74062289228337</c:v>
                </c:pt>
                <c:pt idx="17">
                  <c:v>288.46466395815975</c:v>
                </c:pt>
                <c:pt idx="18">
                  <c:v>396.83120794918841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304.98138810771292</c:v>
                </c:pt>
                <c:pt idx="62">
                  <c:v>312.27386950303764</c:v>
                </c:pt>
                <c:pt idx="63">
                  <c:v>319.56257332567844</c:v>
                </c:pt>
                <c:pt idx="64">
                  <c:v>326.84759797683068</c:v>
                </c:pt>
                <c:pt idx="65">
                  <c:v>334.12903710888457</c:v>
                </c:pt>
                <c:pt idx="66">
                  <c:v>312.83467185841943</c:v>
                </c:pt>
                <c:pt idx="67">
                  <c:v>319.56257332567844</c:v>
                </c:pt>
                <c:pt idx="68">
                  <c:v>326.28733992743042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319.56257332567844</c:v>
                </c:pt>
                <c:pt idx="72">
                  <c:v>326.00720293449439</c:v>
                </c:pt>
                <c:pt idx="73">
                  <c:v>332.44901850357923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332.44901850357911</c:v>
                </c:pt>
                <c:pt idx="82">
                  <c:v>337.76844015494419</c:v>
                </c:pt>
                <c:pt idx="83">
                  <c:v>343.08601778170447</c:v>
                </c:pt>
                <c:pt idx="84">
                  <c:v>348.40178403373966</c:v>
                </c:pt>
                <c:pt idx="85">
                  <c:v>353.71577048208877</c:v>
                </c:pt>
                <c:pt idx="86">
                  <c:v>337.76844015494424</c:v>
                </c:pt>
                <c:pt idx="87">
                  <c:v>342.80619071488081</c:v>
                </c:pt>
                <c:pt idx="88">
                  <c:v>347.84231404401629</c:v>
                </c:pt>
                <c:pt idx="89">
                  <c:v>352.87683705646708</c:v>
                </c:pt>
                <c:pt idx="90">
                  <c:v>357.90978583474595</c:v>
                </c:pt>
                <c:pt idx="91">
                  <c:v>1.6615082531095774E-12</c:v>
                </c:pt>
                <c:pt idx="92">
                  <c:v>1.6615082531095774E-12</c:v>
                </c:pt>
                <c:pt idx="93">
                  <c:v>1.6615082531095774E-12</c:v>
                </c:pt>
                <c:pt idx="94">
                  <c:v>1.6615082531095774E-12</c:v>
                </c:pt>
                <c:pt idx="95">
                  <c:v>1.6615082531095774E-12</c:v>
                </c:pt>
                <c:pt idx="96">
                  <c:v>1.6615082531095774E-12</c:v>
                </c:pt>
                <c:pt idx="97">
                  <c:v>1.6615082531095774E-12</c:v>
                </c:pt>
                <c:pt idx="98">
                  <c:v>1.6615082531095774E-12</c:v>
                </c:pt>
                <c:pt idx="99">
                  <c:v>1.6615082531095774E-12</c:v>
                </c:pt>
                <c:pt idx="100">
                  <c:v>1.6615082531095774E-12</c:v>
                </c:pt>
                <c:pt idx="101">
                  <c:v>1.6615082531095774E-12</c:v>
                </c:pt>
                <c:pt idx="102">
                  <c:v>1.6615082531095774E-12</c:v>
                </c:pt>
                <c:pt idx="103">
                  <c:v>1.6615082531095774E-12</c:v>
                </c:pt>
                <c:pt idx="104">
                  <c:v>1.6615082531095774E-12</c:v>
                </c:pt>
                <c:pt idx="105">
                  <c:v>1.6615082531095774E-12</c:v>
                </c:pt>
                <c:pt idx="106">
                  <c:v>1.6615082531095774E-12</c:v>
                </c:pt>
                <c:pt idx="107">
                  <c:v>1.6615082531095774E-12</c:v>
                </c:pt>
                <c:pt idx="108">
                  <c:v>1.6615082531095774E-12</c:v>
                </c:pt>
                <c:pt idx="109">
                  <c:v>1.6615082531095774E-12</c:v>
                </c:pt>
                <c:pt idx="110">
                  <c:v>1.6615082531095774E-12</c:v>
                </c:pt>
                <c:pt idx="111">
                  <c:v>1.6615082531095774E-12</c:v>
                </c:pt>
                <c:pt idx="112">
                  <c:v>1.6615082531095774E-12</c:v>
                </c:pt>
                <c:pt idx="113">
                  <c:v>1.6615082531095774E-12</c:v>
                </c:pt>
                <c:pt idx="114">
                  <c:v>1.6615082531095774E-12</c:v>
                </c:pt>
                <c:pt idx="115">
                  <c:v>1.6615082531095774E-12</c:v>
                </c:pt>
                <c:pt idx="116">
                  <c:v>1.6615082531095774E-12</c:v>
                </c:pt>
                <c:pt idx="117">
                  <c:v>1.6615082531095774E-12</c:v>
                </c:pt>
                <c:pt idx="118">
                  <c:v>1.6615082531095774E-12</c:v>
                </c:pt>
                <c:pt idx="119">
                  <c:v>1.6615082531095774E-12</c:v>
                </c:pt>
                <c:pt idx="120">
                  <c:v>1.6615082531095774E-12</c:v>
                </c:pt>
                <c:pt idx="121">
                  <c:v>1.6615082531095774E-12</c:v>
                </c:pt>
                <c:pt idx="122">
                  <c:v>1.6615082531095774E-12</c:v>
                </c:pt>
                <c:pt idx="123">
                  <c:v>1.6615082531095774E-12</c:v>
                </c:pt>
                <c:pt idx="124">
                  <c:v>1.6615082531095774E-12</c:v>
                </c:pt>
                <c:pt idx="125">
                  <c:v>1.6615082531095774E-12</c:v>
                </c:pt>
                <c:pt idx="126">
                  <c:v>1.6615082531095774E-12</c:v>
                </c:pt>
                <c:pt idx="127">
                  <c:v>1.6615082531095774E-12</c:v>
                </c:pt>
                <c:pt idx="128">
                  <c:v>1.6615082531095774E-12</c:v>
                </c:pt>
                <c:pt idx="129">
                  <c:v>1.6615082531095774E-12</c:v>
                </c:pt>
                <c:pt idx="130">
                  <c:v>1.6615082531095774E-12</c:v>
                </c:pt>
                <c:pt idx="131">
                  <c:v>1.6615082531095774E-12</c:v>
                </c:pt>
                <c:pt idx="132">
                  <c:v>1.6615082531095774E-12</c:v>
                </c:pt>
                <c:pt idx="133">
                  <c:v>1.6615082531095774E-12</c:v>
                </c:pt>
                <c:pt idx="134">
                  <c:v>1.6615082531095774E-12</c:v>
                </c:pt>
                <c:pt idx="135">
                  <c:v>1.6615082531095774E-12</c:v>
                </c:pt>
                <c:pt idx="136">
                  <c:v>1.6615082531095774E-12</c:v>
                </c:pt>
                <c:pt idx="137">
                  <c:v>1.6615082531095774E-12</c:v>
                </c:pt>
                <c:pt idx="138">
                  <c:v>1.6615082531095774E-12</c:v>
                </c:pt>
                <c:pt idx="139">
                  <c:v>1.6615082531095774E-12</c:v>
                </c:pt>
                <c:pt idx="140">
                  <c:v>1.6615082531095774E-12</c:v>
                </c:pt>
                <c:pt idx="141">
                  <c:v>1.6615082531095774E-12</c:v>
                </c:pt>
                <c:pt idx="142">
                  <c:v>1.6615082531095774E-12</c:v>
                </c:pt>
                <c:pt idx="143">
                  <c:v>1.6615082531095774E-12</c:v>
                </c:pt>
                <c:pt idx="144">
                  <c:v>1.6615082531095774E-12</c:v>
                </c:pt>
                <c:pt idx="145">
                  <c:v>1.6615082531095774E-12</c:v>
                </c:pt>
                <c:pt idx="146">
                  <c:v>1.6615082531095774E-12</c:v>
                </c:pt>
                <c:pt idx="147">
                  <c:v>1.6615082531095774E-12</c:v>
                </c:pt>
                <c:pt idx="148">
                  <c:v>1.6615082531095774E-12</c:v>
                </c:pt>
                <c:pt idx="149">
                  <c:v>1.6615082531095774E-12</c:v>
                </c:pt>
                <c:pt idx="150">
                  <c:v>1.6615082531095774E-12</c:v>
                </c:pt>
                <c:pt idx="151">
                  <c:v>1.6615082531095774E-12</c:v>
                </c:pt>
                <c:pt idx="152">
                  <c:v>1.6615082531095774E-12</c:v>
                </c:pt>
                <c:pt idx="153">
                  <c:v>1.6615082531095774E-12</c:v>
                </c:pt>
                <c:pt idx="154">
                  <c:v>1.6615082531095774E-12</c:v>
                </c:pt>
                <c:pt idx="155">
                  <c:v>1.6615082531095774E-12</c:v>
                </c:pt>
                <c:pt idx="156">
                  <c:v>1.6615082531095774E-12</c:v>
                </c:pt>
                <c:pt idx="157">
                  <c:v>1.6615082531095774E-12</c:v>
                </c:pt>
                <c:pt idx="158">
                  <c:v>1.6615082531095774E-12</c:v>
                </c:pt>
                <c:pt idx="159">
                  <c:v>1.6615082531095774E-12</c:v>
                </c:pt>
                <c:pt idx="160">
                  <c:v>1.6615082531095774E-12</c:v>
                </c:pt>
                <c:pt idx="161">
                  <c:v>1.6615082531095774E-12</c:v>
                </c:pt>
                <c:pt idx="162">
                  <c:v>1.6615082531095774E-12</c:v>
                </c:pt>
                <c:pt idx="163">
                  <c:v>1.6615082531095774E-12</c:v>
                </c:pt>
                <c:pt idx="164">
                  <c:v>1.6615082531095774E-12</c:v>
                </c:pt>
                <c:pt idx="165">
                  <c:v>1.6615082531095774E-12</c:v>
                </c:pt>
                <c:pt idx="166">
                  <c:v>1.6615082531095774E-12</c:v>
                </c:pt>
                <c:pt idx="167">
                  <c:v>1.6615082531095774E-12</c:v>
                </c:pt>
                <c:pt idx="168">
                  <c:v>1.6615082531095774E-12</c:v>
                </c:pt>
                <c:pt idx="169">
                  <c:v>1.6615082531095774E-12</c:v>
                </c:pt>
                <c:pt idx="170">
                  <c:v>1.6615082531095774E-12</c:v>
                </c:pt>
                <c:pt idx="171">
                  <c:v>1.6615082531095774E-12</c:v>
                </c:pt>
                <c:pt idx="172">
                  <c:v>1.6615082531095774E-12</c:v>
                </c:pt>
                <c:pt idx="173">
                  <c:v>1.6615082531095774E-12</c:v>
                </c:pt>
                <c:pt idx="174">
                  <c:v>1.6615082531095774E-12</c:v>
                </c:pt>
                <c:pt idx="175">
                  <c:v>1.6615082531095774E-12</c:v>
                </c:pt>
                <c:pt idx="176">
                  <c:v>1.6615082531095774E-12</c:v>
                </c:pt>
                <c:pt idx="177">
                  <c:v>1.6615082531095774E-12</c:v>
                </c:pt>
                <c:pt idx="178">
                  <c:v>1.6615082531095774E-12</c:v>
                </c:pt>
                <c:pt idx="179">
                  <c:v>1.6615082531095774E-12</c:v>
                </c:pt>
                <c:pt idx="180">
                  <c:v>1.6615082531095774E-12</c:v>
                </c:pt>
                <c:pt idx="181">
                  <c:v>1.6615082531095774E-12</c:v>
                </c:pt>
                <c:pt idx="182">
                  <c:v>1.6615082531095774E-12</c:v>
                </c:pt>
                <c:pt idx="183">
                  <c:v>1.6615082531095774E-12</c:v>
                </c:pt>
                <c:pt idx="184">
                  <c:v>1.6615082531095774E-12</c:v>
                </c:pt>
                <c:pt idx="185">
                  <c:v>1.6615082531095774E-12</c:v>
                </c:pt>
                <c:pt idx="186">
                  <c:v>1.6615082531095774E-12</c:v>
                </c:pt>
                <c:pt idx="187">
                  <c:v>1.6615082531095774E-12</c:v>
                </c:pt>
                <c:pt idx="188">
                  <c:v>1.6615082531095774E-12</c:v>
                </c:pt>
                <c:pt idx="189">
                  <c:v>1.6615082531095774E-12</c:v>
                </c:pt>
                <c:pt idx="190">
                  <c:v>1.6615082531095774E-12</c:v>
                </c:pt>
                <c:pt idx="191">
                  <c:v>1.6615082531095774E-12</c:v>
                </c:pt>
                <c:pt idx="192">
                  <c:v>1.6615082531095774E-12</c:v>
                </c:pt>
                <c:pt idx="193">
                  <c:v>1.6615082531095774E-12</c:v>
                </c:pt>
                <c:pt idx="194">
                  <c:v>1.6615082531095774E-12</c:v>
                </c:pt>
                <c:pt idx="195">
                  <c:v>1.6615082531095774E-12</c:v>
                </c:pt>
                <c:pt idx="196">
                  <c:v>1.6615082531095774E-12</c:v>
                </c:pt>
                <c:pt idx="197">
                  <c:v>1.6615082531095774E-12</c:v>
                </c:pt>
                <c:pt idx="198">
                  <c:v>1.6615082531095774E-12</c:v>
                </c:pt>
                <c:pt idx="199">
                  <c:v>1.6615082531095774E-12</c:v>
                </c:pt>
                <c:pt idx="200">
                  <c:v>1.6615082531095774E-12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5" zoomScale="90" zoomScaleNormal="90" workbookViewId="0">
      <selection activeCell="G88" sqref="G8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5.88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13</v>
      </c>
      <c r="C9" s="32">
        <v>0.22789000000000001</v>
      </c>
      <c r="D9" s="33">
        <f>C9*$C$5</f>
        <v>1.3399932000000001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112</v>
      </c>
      <c r="C10" s="32">
        <v>0.31292999999999999</v>
      </c>
      <c r="D10" s="33">
        <f>C10*$C$5</f>
        <v>1.8400283999999998</v>
      </c>
      <c r="E10" s="34">
        <v>18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112</v>
      </c>
      <c r="C11" s="32">
        <v>0.25340000000000001</v>
      </c>
      <c r="D11" s="33">
        <f>C11*$C$5</f>
        <v>1.489992</v>
      </c>
      <c r="E11" s="34">
        <v>18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4</v>
      </c>
      <c r="C12" s="32">
        <v>0.20577999999999999</v>
      </c>
      <c r="D12" s="33">
        <f>C12*$C$5</f>
        <v>1.2099864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ref="D13:D18" si="0">C13*$C$5</f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0.99999999999999989</v>
      </c>
      <c r="D19" s="38">
        <f>SUM(D9:D18)</f>
        <v>5.88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129</v>
      </c>
      <c r="C36" s="60">
        <v>1</v>
      </c>
      <c r="D36" s="60">
        <v>54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6.45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126</v>
      </c>
      <c r="C37" s="60">
        <v>2</v>
      </c>
      <c r="D37" s="60">
        <v>26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10.199999999999999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149</v>
      </c>
      <c r="C38" s="60">
        <v>3</v>
      </c>
      <c r="D38" s="60">
        <v>27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9.8000000000000007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168</v>
      </c>
      <c r="C39" s="60">
        <v>4</v>
      </c>
      <c r="D39" s="60">
        <v>27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9.1999999999999993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185</v>
      </c>
      <c r="C40" s="60">
        <v>5</v>
      </c>
      <c r="D40" s="60">
        <v>27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198</v>
      </c>
      <c r="C41" s="60">
        <v>6</v>
      </c>
      <c r="D41" s="60">
        <v>26</v>
      </c>
      <c r="E41" s="51">
        <v>0</v>
      </c>
      <c r="F41" s="51">
        <v>0</v>
      </c>
      <c r="G41" s="51">
        <v>0</v>
      </c>
      <c r="H41" s="51">
        <v>1</v>
      </c>
      <c r="I41" s="53">
        <f t="shared" si="1"/>
        <v>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209</v>
      </c>
      <c r="C42" s="60">
        <v>7</v>
      </c>
      <c r="D42" s="60">
        <v>24</v>
      </c>
      <c r="E42" s="51">
        <v>0.3</v>
      </c>
      <c r="F42" s="51">
        <v>0</v>
      </c>
      <c r="G42" s="51">
        <v>0.4</v>
      </c>
      <c r="H42" s="51">
        <v>0.3</v>
      </c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218</v>
      </c>
      <c r="C43" s="60">
        <v>8</v>
      </c>
      <c r="D43" s="60">
        <v>23</v>
      </c>
      <c r="E43" s="51">
        <v>0.3</v>
      </c>
      <c r="F43" s="51">
        <v>0</v>
      </c>
      <c r="G43" s="51">
        <v>0.4</v>
      </c>
      <c r="H43" s="51">
        <v>0.3</v>
      </c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225</v>
      </c>
      <c r="C44" s="60">
        <v>9</v>
      </c>
      <c r="D44" s="60">
        <v>21</v>
      </c>
      <c r="E44" s="51">
        <v>0.3</v>
      </c>
      <c r="F44" s="51">
        <v>0</v>
      </c>
      <c r="G44" s="51">
        <v>0.4</v>
      </c>
      <c r="H44" s="51">
        <v>0.3</v>
      </c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65</v>
      </c>
      <c r="B45" s="60">
        <v>232</v>
      </c>
      <c r="C45" s="60">
        <v>10</v>
      </c>
      <c r="D45" s="60">
        <v>20</v>
      </c>
      <c r="E45" s="51">
        <v>0.3</v>
      </c>
      <c r="F45" s="51">
        <v>0</v>
      </c>
      <c r="G45" s="51">
        <v>0.4</v>
      </c>
      <c r="H45" s="51">
        <v>0.3</v>
      </c>
      <c r="I45" s="49">
        <f t="shared" si="1"/>
        <v>5.6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70</v>
      </c>
      <c r="B46" s="60">
        <v>237</v>
      </c>
      <c r="C46" s="60">
        <v>11</v>
      </c>
      <c r="D46" s="60">
        <v>18</v>
      </c>
      <c r="E46" s="51">
        <v>0.3</v>
      </c>
      <c r="F46" s="51">
        <v>0</v>
      </c>
      <c r="G46" s="51">
        <v>0.4</v>
      </c>
      <c r="H46" s="51">
        <v>0.3</v>
      </c>
      <c r="I46" s="49">
        <f t="shared" si="1"/>
        <v>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75</v>
      </c>
      <c r="B47" s="60">
        <v>241</v>
      </c>
      <c r="C47" s="60">
        <v>12</v>
      </c>
      <c r="D47" s="60">
        <v>16</v>
      </c>
      <c r="E47" s="51">
        <v>0.3</v>
      </c>
      <c r="F47" s="51">
        <v>0</v>
      </c>
      <c r="G47" s="51">
        <v>0.4</v>
      </c>
      <c r="H47" s="51">
        <v>0.3</v>
      </c>
      <c r="I47" s="49">
        <f t="shared" si="1"/>
        <v>4.4000000000000004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80</v>
      </c>
      <c r="B48" s="60">
        <v>245</v>
      </c>
      <c r="C48" s="60">
        <v>13</v>
      </c>
      <c r="D48" s="60">
        <v>15</v>
      </c>
      <c r="E48" s="51">
        <v>0.5</v>
      </c>
      <c r="F48" s="51">
        <v>0</v>
      </c>
      <c r="G48" s="51">
        <v>0.3</v>
      </c>
      <c r="H48" s="51">
        <v>0.2</v>
      </c>
      <c r="I48" s="49">
        <f t="shared" si="1"/>
        <v>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85</v>
      </c>
      <c r="B49" s="60">
        <v>248</v>
      </c>
      <c r="C49" s="60">
        <v>14</v>
      </c>
      <c r="D49" s="60">
        <v>14</v>
      </c>
      <c r="E49" s="51">
        <v>0.5</v>
      </c>
      <c r="F49" s="51">
        <v>0</v>
      </c>
      <c r="G49" s="51">
        <v>0.3</v>
      </c>
      <c r="H49" s="51">
        <v>0.2</v>
      </c>
      <c r="I49" s="49">
        <f t="shared" si="1"/>
        <v>3.6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90</v>
      </c>
      <c r="B50" s="50">
        <v>249</v>
      </c>
      <c r="C50" s="50">
        <v>15</v>
      </c>
      <c r="D50" s="50">
        <v>12</v>
      </c>
      <c r="E50" s="51">
        <v>0.5</v>
      </c>
      <c r="F50" s="51">
        <v>0</v>
      </c>
      <c r="G50" s="51">
        <v>0.3</v>
      </c>
      <c r="H50" s="51">
        <v>0.2</v>
      </c>
      <c r="I50" s="49">
        <f t="shared" si="1"/>
        <v>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95</v>
      </c>
      <c r="B51" s="50">
        <v>252</v>
      </c>
      <c r="C51" s="50">
        <v>16</v>
      </c>
      <c r="D51" s="50">
        <v>12</v>
      </c>
      <c r="E51" s="51">
        <v>0.5</v>
      </c>
      <c r="F51" s="51">
        <v>0</v>
      </c>
      <c r="G51" s="51">
        <v>0.3</v>
      </c>
      <c r="H51" s="51">
        <v>0.2</v>
      </c>
      <c r="I51" s="49">
        <f t="shared" si="1"/>
        <v>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100</v>
      </c>
      <c r="B52" s="50">
        <v>255</v>
      </c>
      <c r="C52" s="50" t="s">
        <v>324</v>
      </c>
      <c r="D52" s="50">
        <v>255</v>
      </c>
      <c r="E52" s="51">
        <v>0.7</v>
      </c>
      <c r="F52" s="51">
        <v>0</v>
      </c>
      <c r="G52" s="51">
        <v>0.2</v>
      </c>
      <c r="H52" s="51">
        <v>0.1</v>
      </c>
      <c r="I52" s="49">
        <f t="shared" si="1"/>
        <v>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Peuplier Koster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18</v>
      </c>
      <c r="B62" s="60">
        <v>358</v>
      </c>
      <c r="C62" s="60">
        <v>1</v>
      </c>
      <c r="D62" s="60">
        <v>358</v>
      </c>
      <c r="E62" s="51">
        <v>0.78</v>
      </c>
      <c r="F62" s="51"/>
      <c r="G62" s="51"/>
      <c r="H62" s="51">
        <v>0.22</v>
      </c>
      <c r="I62" s="53">
        <f>IFERROR(B62/A62,"")</f>
        <v>19.888888888888889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Peuplier Koster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18</v>
      </c>
      <c r="B88" s="60">
        <v>358</v>
      </c>
      <c r="C88" s="60">
        <v>1</v>
      </c>
      <c r="D88" s="60">
        <v>358</v>
      </c>
      <c r="E88" s="51">
        <v>0.78</v>
      </c>
      <c r="F88" s="51"/>
      <c r="G88" s="51"/>
      <c r="H88" s="87">
        <v>0.22</v>
      </c>
      <c r="I88" s="53">
        <f>IFERROR(B88/A88,"")</f>
        <v>19.888888888888889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Aulne glutineux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11</v>
      </c>
      <c r="C114" s="50">
        <v>1</v>
      </c>
      <c r="D114" s="60">
        <v>1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15</v>
      </c>
      <c r="B115" s="60">
        <v>44</v>
      </c>
      <c r="C115" s="50">
        <v>2</v>
      </c>
      <c r="D115" s="60">
        <v>4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6.8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20</v>
      </c>
      <c r="B116" s="60">
        <v>100</v>
      </c>
      <c r="C116" s="50">
        <v>3</v>
      </c>
      <c r="D116" s="60">
        <v>10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25</v>
      </c>
      <c r="B117" s="60">
        <v>138</v>
      </c>
      <c r="C117" s="50">
        <v>4</v>
      </c>
      <c r="D117" s="60">
        <v>21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9.6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30</v>
      </c>
      <c r="B118" s="60">
        <v>161</v>
      </c>
      <c r="C118" s="50">
        <v>5</v>
      </c>
      <c r="D118" s="60">
        <v>23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8.8000000000000007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35</v>
      </c>
      <c r="B119" s="60">
        <v>181</v>
      </c>
      <c r="C119" s="50">
        <v>6</v>
      </c>
      <c r="D119" s="60">
        <v>25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8.6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40</v>
      </c>
      <c r="B120" s="60">
        <v>195</v>
      </c>
      <c r="C120" s="60">
        <v>7</v>
      </c>
      <c r="D120" s="60">
        <v>25</v>
      </c>
      <c r="E120" s="87">
        <v>0</v>
      </c>
      <c r="F120" s="87">
        <v>0</v>
      </c>
      <c r="G120" s="87">
        <v>0</v>
      </c>
      <c r="H120" s="87">
        <v>1</v>
      </c>
      <c r="I120" s="53">
        <f t="shared" si="4"/>
        <v>7.8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45</v>
      </c>
      <c r="B121" s="60">
        <v>207</v>
      </c>
      <c r="C121" s="60">
        <v>8</v>
      </c>
      <c r="D121" s="60">
        <v>25</v>
      </c>
      <c r="E121" s="87">
        <v>0</v>
      </c>
      <c r="F121" s="87">
        <v>0</v>
      </c>
      <c r="G121" s="87">
        <v>0</v>
      </c>
      <c r="H121" s="87">
        <v>1</v>
      </c>
      <c r="I121" s="53">
        <f t="shared" si="4"/>
        <v>7.4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50</v>
      </c>
      <c r="B122" s="60">
        <v>215</v>
      </c>
      <c r="C122" s="60">
        <v>9</v>
      </c>
      <c r="D122" s="60">
        <v>24</v>
      </c>
      <c r="E122" s="87">
        <v>0</v>
      </c>
      <c r="F122" s="87">
        <v>0</v>
      </c>
      <c r="G122" s="87">
        <v>0</v>
      </c>
      <c r="H122" s="87">
        <v>1</v>
      </c>
      <c r="I122" s="53">
        <f t="shared" si="4"/>
        <v>6.6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55</v>
      </c>
      <c r="B123" s="60">
        <v>223</v>
      </c>
      <c r="C123" s="60">
        <v>10</v>
      </c>
      <c r="D123" s="60">
        <v>23</v>
      </c>
      <c r="E123" s="87">
        <v>0.2</v>
      </c>
      <c r="F123" s="87">
        <v>0</v>
      </c>
      <c r="G123" s="87">
        <v>0.5</v>
      </c>
      <c r="H123" s="87">
        <v>0.3</v>
      </c>
      <c r="I123" s="53">
        <f t="shared" si="4"/>
        <v>6.4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60</v>
      </c>
      <c r="B124" s="60">
        <v>229</v>
      </c>
      <c r="C124" s="60">
        <v>11</v>
      </c>
      <c r="D124" s="60">
        <v>22</v>
      </c>
      <c r="E124" s="87">
        <v>0.2</v>
      </c>
      <c r="F124" s="87">
        <v>0</v>
      </c>
      <c r="G124" s="87">
        <v>0.5</v>
      </c>
      <c r="H124" s="87">
        <v>0.3</v>
      </c>
      <c r="I124" s="53">
        <f t="shared" si="4"/>
        <v>5.8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65</v>
      </c>
      <c r="B125" s="60">
        <v>233</v>
      </c>
      <c r="C125" s="60">
        <v>12</v>
      </c>
      <c r="D125" s="60">
        <v>20</v>
      </c>
      <c r="E125" s="87">
        <v>0.2</v>
      </c>
      <c r="F125" s="87">
        <v>0</v>
      </c>
      <c r="G125" s="87">
        <v>0.5</v>
      </c>
      <c r="H125" s="87">
        <v>0.3</v>
      </c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70</v>
      </c>
      <c r="B126" s="60">
        <v>237</v>
      </c>
      <c r="C126" s="60">
        <v>13</v>
      </c>
      <c r="D126" s="60">
        <v>19</v>
      </c>
      <c r="E126" s="65">
        <v>0.2</v>
      </c>
      <c r="F126" s="65">
        <v>0</v>
      </c>
      <c r="G126" s="65">
        <v>0.5</v>
      </c>
      <c r="H126" s="65">
        <v>0.3</v>
      </c>
      <c r="I126" s="53">
        <f t="shared" si="4"/>
        <v>4.8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75</v>
      </c>
      <c r="B127" s="60">
        <v>241</v>
      </c>
      <c r="C127" s="60">
        <v>14</v>
      </c>
      <c r="D127" s="60">
        <v>18</v>
      </c>
      <c r="E127" s="65">
        <v>0.2</v>
      </c>
      <c r="F127" s="65">
        <v>0</v>
      </c>
      <c r="G127" s="65">
        <v>0.5</v>
      </c>
      <c r="H127" s="65">
        <v>0.3</v>
      </c>
      <c r="I127" s="53">
        <f t="shared" si="4"/>
        <v>4.5999999999999996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80</v>
      </c>
      <c r="B128" s="50">
        <v>244</v>
      </c>
      <c r="C128" s="50">
        <v>15</v>
      </c>
      <c r="D128" s="50">
        <v>16</v>
      </c>
      <c r="E128" s="54">
        <v>0.2</v>
      </c>
      <c r="F128" s="54">
        <v>0</v>
      </c>
      <c r="G128" s="54">
        <v>0.5</v>
      </c>
      <c r="H128" s="54">
        <v>0.3</v>
      </c>
      <c r="I128" s="53">
        <f t="shared" si="4"/>
        <v>4.2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>
        <v>85</v>
      </c>
      <c r="B129" s="50">
        <v>247</v>
      </c>
      <c r="C129" s="50">
        <v>16</v>
      </c>
      <c r="D129" s="50">
        <v>15</v>
      </c>
      <c r="E129" s="54">
        <v>0.2</v>
      </c>
      <c r="F129" s="54">
        <v>0</v>
      </c>
      <c r="G129" s="54">
        <v>0.5</v>
      </c>
      <c r="H129" s="54">
        <v>0.3</v>
      </c>
      <c r="I129" s="53">
        <f t="shared" si="4"/>
        <v>3.8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>
        <v>90</v>
      </c>
      <c r="B130" s="50">
        <v>250</v>
      </c>
      <c r="C130" s="50" t="s">
        <v>324</v>
      </c>
      <c r="D130" s="50">
        <v>250</v>
      </c>
      <c r="E130" s="54">
        <v>0.5</v>
      </c>
      <c r="F130" s="54">
        <v>0</v>
      </c>
      <c r="G130" s="54">
        <v>0.3</v>
      </c>
      <c r="H130" s="54">
        <v>0.2</v>
      </c>
      <c r="I130" s="53">
        <f t="shared" si="4"/>
        <v>3.6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rouge d'Amérique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Koster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Aulne glutineux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265.44504059292035</v>
      </c>
      <c r="T3" s="59">
        <f>IF('Données projet'!E9&gt;30,$R$33-$H$33,LOOKUP('Données projet'!$E$9,$A$3:$A$203,R3:R203)-LOOKUP('Données projet'!$E$9,$A$3:$A$203,$H$3:$H$203))</f>
        <v>272.02069798702723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71.716690190721977</v>
      </c>
      <c r="AO3" s="59">
        <f>IF('Données projet'!E10&gt;30,$AM$33-$H$33,LOOKUP('Données projet'!$E$10,$A$3:$A$203,AM3:AM203)-LOOKUP('Données projet'!$E$10,$A$3:$A$203,$H$3:$H$203))</f>
        <v>388.00050527441761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71.716690190721977</v>
      </c>
      <c r="BJ3" s="59">
        <f>IF('Données projet'!E11&gt;30,$BH$33-$H$33,LOOKUP('Données projet'!$E$11,$A$3:$A$203,BH3:BH203)-LOOKUP('Données projet'!$E$11,$A$3:$A$203,$H$3:$H$203))</f>
        <v>388.00050527441761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188.589895905567</v>
      </c>
      <c r="CE3" s="59">
        <f>IF('Données projet'!E12&gt;30,$CC$33-$H$33,LOOKUP('Données projet'!$E$12,$A$3:$A$203,CC3:CC203)-LOOKUP('Données projet'!$E$12,$A$3:$A$203,$H$3:$H$203))</f>
        <v>218.98894871653943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1">
        <f>IFERROR(EXP(-1.0587+0.8836*LN(C4)+0.284),0)</f>
        <v>0.35031814074723205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67">
        <f t="shared" ref="H4:H67" si="1">(B4+E4+F4)*44/12+(C4+D4)*0.475*44/12</f>
        <v>258.55379409513478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6.45</v>
      </c>
      <c r="N4" s="13">
        <f>IF('Données projet'!$A$36&gt;35,N3+M4-V3,IF(A4&lt;'Données projet'!$A$36,$K$205^A4,IF(A4='Données projet'!$A$36,'Données projet'!$B$36,N3+M4-V3)))</f>
        <v>1.2750566643089272</v>
      </c>
      <c r="O4" s="13">
        <f>N4*VLOOKUP('Données projet'!$B$9,Paramètres!$A$1:$I$89,3,0)*VLOOKUP('Données projet'!$B$9,Paramètres!$A$1:$I$89,5,0)</f>
        <v>1.113889501940279</v>
      </c>
      <c r="P4" s="13">
        <f>EXP(-1.0587+0.8836*LN(O4)+0.284)</f>
        <v>0.50692271712589931</v>
      </c>
      <c r="Q4" s="20">
        <f t="shared" ref="Q4:Q34" si="2">(O4+P4)*0.475*44/12</f>
        <v>2.8229146148735942</v>
      </c>
      <c r="R4" s="59">
        <f t="shared" si="0"/>
        <v>260.71180350376244</v>
      </c>
      <c r="S4" s="59">
        <f ca="1">AVERAGE(OFFSET($R$3,0,0,'Données projet'!$E$9+1,1))-AVERAGE(OFFSET($H$3,0,0,'Données projet'!$E$9+1,1))</f>
        <v>265.44504059292035</v>
      </c>
      <c r="T4" s="59">
        <f>$T$3</f>
        <v>272.02069798702723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19.888888888888889</v>
      </c>
      <c r="AI4" s="13">
        <f>IF('Données projet'!$A$62&gt;35,AI3+AH4-AQ3,IF(A4&lt;'Données projet'!$A$62,$AF$205^A4,IF(A4='Données projet'!$A$62,'Données projet'!$B$62,AI3+AH4-AQ3)))</f>
        <v>1.3863803376642316</v>
      </c>
      <c r="AJ4" s="13">
        <f>AI4*VLOOKUP('Données projet'!$B$10,Paramètres!$A$1:$I$89,3,0)*VLOOKUP('Données projet'!$B$10,Paramètres!$A$1:$I$89,5,0)</f>
        <v>0.70505758452252176</v>
      </c>
      <c r="AK4" s="13">
        <f>EXP(-1.0587+0.8836*LN(AJ4)+0.284)</f>
        <v>0.33841009630126379</v>
      </c>
      <c r="AL4" s="20">
        <f t="shared" ref="AL4:AL67" si="4">(AJ4+AK4)*0.475*44/12</f>
        <v>1.8173728774347595</v>
      </c>
      <c r="AM4" s="59">
        <f t="shared" ref="AM4:AM67" si="5">AL4+(AD4+AE4)*44/12</f>
        <v>259.70626176632362</v>
      </c>
      <c r="AN4" s="59">
        <f ca="1">AVERAGE(OFFSET($AM$3,0,0,'Données projet'!$E$10+1,1))-AVERAGE(OFFSET($H$3,0,0,'Données projet'!$E$10+1,1))</f>
        <v>71.716690190721977</v>
      </c>
      <c r="AO4" s="59">
        <f>$AO$3</f>
        <v>388.00050527441761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19.888888888888889</v>
      </c>
      <c r="BD4" s="12">
        <f>IF('Données projet'!$A$88&gt;35,BD3+BC4-BL3,IF(A4&lt;'Données projet'!$A$88,$BA$205^A4,IF(A4='Données projet'!$A$88,'Données projet'!$B$88,BD3+BC4-BL3)))</f>
        <v>1.3863803376642316</v>
      </c>
      <c r="BE4" s="13">
        <f>BD4*VLOOKUP('Données projet'!$B$11,Paramètres!$A$1:$I$89,3,0)*VLOOKUP('Données projet'!$B$11,Paramètres!$A$1:$I$89,5,0)</f>
        <v>0.70505758452252176</v>
      </c>
      <c r="BF4" s="13">
        <f>EXP(-1.0587+0.8836*LN(BE4)+0.284)</f>
        <v>0.33841009630126379</v>
      </c>
      <c r="BG4" s="20">
        <f t="shared" ref="BG4:BG67" si="7">(BE4+BF4)*0.475*44/12</f>
        <v>1.8173728774347595</v>
      </c>
      <c r="BH4" s="59">
        <f t="shared" ref="BH4:BH67" si="8">BG4+(AY4+AZ4)*44/12</f>
        <v>259.70626176632362</v>
      </c>
      <c r="BI4" s="59">
        <f ca="1">AVERAGE(OFFSET($BH$3,0,0,'Données projet'!$E$11+1,1))-AVERAGE(OFFSET($H$3,0,0,'Données projet'!$E$11+1,1))</f>
        <v>71.716690190721977</v>
      </c>
      <c r="BJ4" s="59">
        <f>$BJ$3</f>
        <v>388.00050527441761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0.83274715428568413</v>
      </c>
      <c r="CA4" s="13">
        <f>EXP(-1.0587+0.8836*LN(BZ4)+0.284)</f>
        <v>0.39202836439738087</v>
      </c>
      <c r="CB4" s="20">
        <f t="shared" ref="CB4:CB67" si="10">(BZ4+CA4)*0.475*44/12</f>
        <v>2.1331506950396717</v>
      </c>
      <c r="CC4" s="59">
        <f t="shared" ref="CC4:CC67" si="11">CB4+(BT4+BU4)*44/12</f>
        <v>260.02203958392852</v>
      </c>
      <c r="CD4" s="59">
        <f ca="1">AVERAGE(OFFSET($CC$3,0,0,'Données projet'!$E$12+1,1))-AVERAGE(OFFSET($H$3,0,0,'Données projet'!$E$12+1,1))</f>
        <v>188.589895905567</v>
      </c>
      <c r="CE4" s="59">
        <f>$CE$3</f>
        <v>218.98894871653943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1">
        <f t="shared" ref="D5:D68" si="32">IFERROR(EXP(-1.0587+0.8836*LN(C5)+0.284),0)</f>
        <v>0.64632764391155073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67">
        <f t="shared" si="1"/>
        <v>260.34633397981264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6.45</v>
      </c>
      <c r="N5" s="13">
        <f>IF('Données projet'!$A$36&gt;35,N4+M5-V4,IF(A5&lt;'Données projet'!$A$36,$K$205^A5,IF(A5='Données projet'!$A$36,'Données projet'!$B$36,N4+M5-V4)))</f>
        <v>1.6257694971986081</v>
      </c>
      <c r="O5" s="13">
        <f>N5*VLOOKUP('Données projet'!$B$9,Paramètres!$A$1:$I$89,3,0)*VLOOKUP('Données projet'!$B$9,Paramètres!$A$1:$I$89,5,0)</f>
        <v>1.4202722327527042</v>
      </c>
      <c r="P5" s="13">
        <f t="shared" ref="P5:P68" si="33">EXP(-1.0587+0.8836*LN(O5)+0.284)</f>
        <v>0.62832972738809678</v>
      </c>
      <c r="Q5" s="20">
        <f t="shared" si="2"/>
        <v>3.5679817472452289</v>
      </c>
      <c r="R5" s="59">
        <f t="shared" si="0"/>
        <v>262.6790928583564</v>
      </c>
      <c r="S5" s="59">
        <f ca="1">AVERAGE(OFFSET($R$3,0,0,'Données projet'!$E$9+1,1))-AVERAGE(OFFSET($H$3,0,0,'Données projet'!$E$9+1,1))</f>
        <v>265.44504059292035</v>
      </c>
      <c r="T5" s="59">
        <f t="shared" ref="T5:T68" si="34">$T$3</f>
        <v>272.02069798702723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19.888888888888889</v>
      </c>
      <c r="AI5" s="13">
        <f>IF('Données projet'!$A$62&gt;35,AI4+AH5-AQ4,IF(A5&lt;'Données projet'!$A$62,$AF$205^A5,IF(A5='Données projet'!$A$62,'Données projet'!$B$62,AI4+AH5-AQ4)))</f>
        <v>1.9220504406619889</v>
      </c>
      <c r="AJ5" s="13">
        <f>AI5*VLOOKUP('Données projet'!$B$10,Paramètres!$A$1:$I$89,3,0)*VLOOKUP('Données projet'!$B$10,Paramètres!$A$1:$I$89,5,0)</f>
        <v>0.9774779721030612</v>
      </c>
      <c r="AK5" s="13">
        <f t="shared" ref="AK5:AK68" si="35">EXP(-1.0587+0.8836*LN(AJ5)+0.284)</f>
        <v>0.45165891993785334</v>
      </c>
      <c r="AL5" s="20">
        <f t="shared" si="4"/>
        <v>2.4890800869712595</v>
      </c>
      <c r="AM5" s="59">
        <f t="shared" si="5"/>
        <v>261.60019119808243</v>
      </c>
      <c r="AN5" s="59">
        <f ca="1">AVERAGE(OFFSET($AM$3,0,0,'Données projet'!$E$10+1,1))-AVERAGE(OFFSET($H$3,0,0,'Données projet'!$E$10+1,1))</f>
        <v>71.716690190721977</v>
      </c>
      <c r="AO5" s="59">
        <f t="shared" ref="AO5:AO68" si="36">$AO$3</f>
        <v>388.00050527441761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19.888888888888889</v>
      </c>
      <c r="BD5" s="12">
        <f>IF('Données projet'!$A$88&gt;35,BD4+BC5-BL4,IF(A5&lt;'Données projet'!$A$88,$BA$205^A5,IF(A5='Données projet'!$A$88,'Données projet'!$B$88,BD4+BC5-BL4)))</f>
        <v>1.9220504406619889</v>
      </c>
      <c r="BE5" s="13">
        <f>BD5*VLOOKUP('Données projet'!$B$11,Paramètres!$A$1:$I$89,3,0)*VLOOKUP('Données projet'!$B$11,Paramètres!$A$1:$I$89,5,0)</f>
        <v>0.9774779721030612</v>
      </c>
      <c r="BF5" s="13">
        <f t="shared" ref="BF5:BF68" si="37">EXP(-1.0587+0.8836*LN(BE5)+0.284)</f>
        <v>0.45165891993785334</v>
      </c>
      <c r="BG5" s="20">
        <f t="shared" si="7"/>
        <v>2.4890800869712595</v>
      </c>
      <c r="BH5" s="59">
        <f t="shared" si="8"/>
        <v>261.60019119808243</v>
      </c>
      <c r="BI5" s="59">
        <f ca="1">AVERAGE(OFFSET($BH$3,0,0,'Données projet'!$E$11+1,1))-AVERAGE(OFFSET($H$3,0,0,'Données projet'!$E$11+1,1))</f>
        <v>71.716690190721977</v>
      </c>
      <c r="BJ5" s="59">
        <f t="shared" ref="BJ5:BJ68" si="38">$BJ$3</f>
        <v>388.00050527441761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1.0584063232156671</v>
      </c>
      <c r="CA5" s="13">
        <f t="shared" ref="CA5:CA68" si="39">EXP(-1.0587+0.8836*LN(BZ5)+0.284)</f>
        <v>0.48454592807852009</v>
      </c>
      <c r="CB5" s="20">
        <f t="shared" si="10"/>
        <v>2.6873085043373757</v>
      </c>
      <c r="CC5" s="59">
        <f t="shared" si="11"/>
        <v>261.79841961544849</v>
      </c>
      <c r="CD5" s="59">
        <f ca="1">AVERAGE(OFFSET($CC$3,0,0,'Données projet'!$E$12+1,1))-AVERAGE(OFFSET($H$3,0,0,'Données projet'!$E$12+1,1))</f>
        <v>188.589895905567</v>
      </c>
      <c r="CE5" s="59">
        <f t="shared" ref="CE5:CE68" si="40">$CE$3</f>
        <v>218.98894871653943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1">
        <f t="shared" si="32"/>
        <v>0.92479818325965968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67">
        <f t="shared" si="1"/>
        <v>262.10832683584391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6.45</v>
      </c>
      <c r="N6" s="13">
        <f>IF('Données projet'!$A$36&gt;35,N5+M6-V5,IF(A6&lt;'Données projet'!$A$36,$K$205^A6,IF(A6='Données projet'!$A$36,'Données projet'!$B$36,N5+M6-V5)))</f>
        <v>2.0729482320332591</v>
      </c>
      <c r="O6" s="13">
        <f>N6*VLOOKUP('Données projet'!$B$9,Paramètres!$A$1:$I$89,3,0)*VLOOKUP('Données projet'!$B$9,Paramètres!$A$1:$I$89,5,0)</f>
        <v>1.8109275755042553</v>
      </c>
      <c r="P6" s="13">
        <f t="shared" si="33"/>
        <v>0.77881348178276255</v>
      </c>
      <c r="Q6" s="20">
        <f t="shared" si="2"/>
        <v>4.5104656747748892</v>
      </c>
      <c r="R6" s="59">
        <f t="shared" si="0"/>
        <v>264.84379900810819</v>
      </c>
      <c r="S6" s="59">
        <f ca="1">AVERAGE(OFFSET($R$3,0,0,'Données projet'!$E$9+1,1))-AVERAGE(OFFSET($H$3,0,0,'Données projet'!$E$9+1,1))</f>
        <v>265.44504059292035</v>
      </c>
      <c r="T6" s="59">
        <f t="shared" si="34"/>
        <v>272.02069798702723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19.888888888888889</v>
      </c>
      <c r="AI6" s="13">
        <f>IF('Données projet'!$A$62&gt;35,AI5+AH6-AQ5,IF(A6&lt;'Données projet'!$A$62,$AF$205^A6,IF(A6='Données projet'!$A$62,'Données projet'!$B$62,AI5+AH6-AQ5)))</f>
        <v>2.6646929389326535</v>
      </c>
      <c r="AJ6" s="13">
        <f>AI6*VLOOKUP('Données projet'!$B$10,Paramètres!$A$1:$I$89,3,0)*VLOOKUP('Données projet'!$B$10,Paramètres!$A$1:$I$89,5,0)</f>
        <v>1.3551562410235904</v>
      </c>
      <c r="AK6" s="13">
        <f t="shared" si="35"/>
        <v>0.60280642388938788</v>
      </c>
      <c r="AL6" s="20">
        <f t="shared" si="4"/>
        <v>3.4101183080567701</v>
      </c>
      <c r="AM6" s="59">
        <f t="shared" si="5"/>
        <v>263.7434516413901</v>
      </c>
      <c r="AN6" s="59">
        <f ca="1">AVERAGE(OFFSET($AM$3,0,0,'Données projet'!$E$10+1,1))-AVERAGE(OFFSET($H$3,0,0,'Données projet'!$E$10+1,1))</f>
        <v>71.716690190721977</v>
      </c>
      <c r="AO6" s="59">
        <f t="shared" si="36"/>
        <v>388.00050527441761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19.888888888888889</v>
      </c>
      <c r="BD6" s="12">
        <f>IF('Données projet'!$A$88&gt;35,BD5+BC6-BL5,IF(A6&lt;'Données projet'!$A$88,$BA$205^A6,IF(A6='Données projet'!$A$88,'Données projet'!$B$88,BD5+BC6-BL5)))</f>
        <v>2.6646929389326535</v>
      </c>
      <c r="BE6" s="13">
        <f>BD6*VLOOKUP('Données projet'!$B$11,Paramètres!$A$1:$I$89,3,0)*VLOOKUP('Données projet'!$B$11,Paramètres!$A$1:$I$89,5,0)</f>
        <v>1.3551562410235904</v>
      </c>
      <c r="BF6" s="13">
        <f t="shared" si="37"/>
        <v>0.60280642388938788</v>
      </c>
      <c r="BG6" s="20">
        <f t="shared" si="7"/>
        <v>3.4101183080567701</v>
      </c>
      <c r="BH6" s="59">
        <f t="shared" si="8"/>
        <v>263.7434516413901</v>
      </c>
      <c r="BI6" s="59">
        <f ca="1">AVERAGE(OFFSET($BH$3,0,0,'Données projet'!$E$11+1,1))-AVERAGE(OFFSET($H$3,0,0,'Données projet'!$E$11+1,1))</f>
        <v>71.716690190721977</v>
      </c>
      <c r="BJ6" s="59">
        <f t="shared" si="38"/>
        <v>388.00050527441761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1.3452149782292753</v>
      </c>
      <c r="CA6" s="13">
        <f t="shared" si="39"/>
        <v>0.59889737003693966</v>
      </c>
      <c r="CB6" s="20">
        <f t="shared" si="10"/>
        <v>3.3859956732303242</v>
      </c>
      <c r="CC6" s="59">
        <f t="shared" si="11"/>
        <v>263.71932900656361</v>
      </c>
      <c r="CD6" s="59">
        <f ca="1">AVERAGE(OFFSET($CC$3,0,0,'Données projet'!$E$12+1,1))-AVERAGE(OFFSET($H$3,0,0,'Données projet'!$E$12+1,1))</f>
        <v>188.589895905567</v>
      </c>
      <c r="CE6" s="59">
        <f t="shared" si="40"/>
        <v>218.98894871653943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1">
        <f t="shared" si="32"/>
        <v>1.1924572972247856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67">
        <f t="shared" si="1"/>
        <v>263.85148979266654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6.45</v>
      </c>
      <c r="N7" s="13">
        <f>IF('Données projet'!$A$36&gt;35,N6+M7-V6,IF(A7&lt;'Données projet'!$A$36,$K$205^A7,IF(A7='Données projet'!$A$36,'Données projet'!$B$36,N6+M7-V6)))</f>
        <v>2.6431264580214151</v>
      </c>
      <c r="O7" s="13">
        <f>N7*VLOOKUP('Données projet'!$B$9,Paramètres!$A$1:$I$89,3,0)*VLOOKUP('Données projet'!$B$9,Paramètres!$A$1:$I$89,5,0)</f>
        <v>2.3090352737275084</v>
      </c>
      <c r="P7" s="13">
        <f t="shared" si="33"/>
        <v>0.96533780428941074</v>
      </c>
      <c r="Q7" s="20">
        <f t="shared" si="2"/>
        <v>5.7028664442127992</v>
      </c>
      <c r="R7" s="59">
        <f t="shared" si="0"/>
        <v>267.25842199976836</v>
      </c>
      <c r="S7" s="59">
        <f ca="1">AVERAGE(OFFSET($R$3,0,0,'Données projet'!$E$9+1,1))-AVERAGE(OFFSET($H$3,0,0,'Données projet'!$E$9+1,1))</f>
        <v>265.44504059292035</v>
      </c>
      <c r="T7" s="59">
        <f t="shared" si="34"/>
        <v>272.02069798702723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19.888888888888889</v>
      </c>
      <c r="AI7" s="13">
        <f>IF('Données projet'!$A$62&gt;35,AI6+AH7-AQ6,IF(A7&lt;'Données projet'!$A$62,$AF$205^A7,IF(A7='Données projet'!$A$62,'Données projet'!$B$62,AI6+AH7-AQ6)))</f>
        <v>3.6942778964489458</v>
      </c>
      <c r="AJ7" s="13">
        <f>AI7*VLOOKUP('Données projet'!$B$10,Paramètres!$A$1:$I$89,3,0)*VLOOKUP('Données projet'!$B$10,Paramètres!$A$1:$I$89,5,0)</f>
        <v>1.8787619670180762</v>
      </c>
      <c r="AK7" s="13">
        <f t="shared" si="35"/>
        <v>0.80453538863421903</v>
      </c>
      <c r="AL7" s="20">
        <f t="shared" si="4"/>
        <v>4.673409561094414</v>
      </c>
      <c r="AM7" s="59">
        <f t="shared" si="5"/>
        <v>266.22896511664993</v>
      </c>
      <c r="AN7" s="59">
        <f ca="1">AVERAGE(OFFSET($AM$3,0,0,'Données projet'!$E$10+1,1))-AVERAGE(OFFSET($H$3,0,0,'Données projet'!$E$10+1,1))</f>
        <v>71.716690190721977</v>
      </c>
      <c r="AO7" s="59">
        <f t="shared" si="36"/>
        <v>388.00050527441761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19.888888888888889</v>
      </c>
      <c r="BD7" s="12">
        <f>IF('Données projet'!$A$88&gt;35,BD6+BC7-BL6,IF(A7&lt;'Données projet'!$A$88,$BA$205^A7,IF(A7='Données projet'!$A$88,'Données projet'!$B$88,BD6+BC7-BL6)))</f>
        <v>3.6942778964489458</v>
      </c>
      <c r="BE7" s="13">
        <f>BD7*VLOOKUP('Données projet'!$B$11,Paramètres!$A$1:$I$89,3,0)*VLOOKUP('Données projet'!$B$11,Paramètres!$A$1:$I$89,5,0)</f>
        <v>1.8787619670180762</v>
      </c>
      <c r="BF7" s="13">
        <f t="shared" si="37"/>
        <v>0.80453538863421903</v>
      </c>
      <c r="BG7" s="20">
        <f t="shared" si="7"/>
        <v>4.673409561094414</v>
      </c>
      <c r="BH7" s="59">
        <f t="shared" si="8"/>
        <v>266.22896511664993</v>
      </c>
      <c r="BI7" s="59">
        <f ca="1">AVERAGE(OFFSET($BH$3,0,0,'Données projet'!$E$11+1,1))-AVERAGE(OFFSET($H$3,0,0,'Données projet'!$E$11+1,1))</f>
        <v>71.716690190721977</v>
      </c>
      <c r="BJ7" s="59">
        <f t="shared" si="38"/>
        <v>388.00050527441761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1.7097435058347183</v>
      </c>
      <c r="CA7" s="13">
        <f t="shared" si="39"/>
        <v>0.74023542259349984</v>
      </c>
      <c r="CB7" s="20">
        <f t="shared" si="10"/>
        <v>4.2670466336791462</v>
      </c>
      <c r="CC7" s="59">
        <f t="shared" si="11"/>
        <v>265.82260218923471</v>
      </c>
      <c r="CD7" s="59">
        <f ca="1">AVERAGE(OFFSET($CC$3,0,0,'Données projet'!$E$12+1,1))-AVERAGE(OFFSET($H$3,0,0,'Données projet'!$E$12+1,1))</f>
        <v>188.589895905567</v>
      </c>
      <c r="CE7" s="59">
        <f t="shared" si="40"/>
        <v>218.98894871653943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1">
        <f t="shared" si="32"/>
        <v>1.4523541267681601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67">
        <f t="shared" si="1"/>
        <v>265.58113343745458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6.45</v>
      </c>
      <c r="N8" s="13">
        <f>IF('Données projet'!$A$36&gt;35,N7+M8-V7,IF(A8&lt;'Données projet'!$A$36,$K$205^A8,IF(A8='Données projet'!$A$36,'Données projet'!$B$36,N7+M8-V7)))</f>
        <v>3.3701360049114553</v>
      </c>
      <c r="O8" s="13">
        <f>N8*VLOOKUP('Données projet'!$B$9,Paramètres!$A$1:$I$89,3,0)*VLOOKUP('Données projet'!$B$9,Paramètres!$A$1:$I$89,5,0)</f>
        <v>2.9441508138906478</v>
      </c>
      <c r="P8" s="13">
        <f t="shared" si="33"/>
        <v>1.1965343412612275</v>
      </c>
      <c r="Q8" s="20">
        <f t="shared" si="2"/>
        <v>7.2116933118895146</v>
      </c>
      <c r="R8" s="59">
        <f t="shared" si="0"/>
        <v>269.98947108966729</v>
      </c>
      <c r="S8" s="59">
        <f ca="1">AVERAGE(OFFSET($R$3,0,0,'Données projet'!$E$9+1,1))-AVERAGE(OFFSET($H$3,0,0,'Données projet'!$E$9+1,1))</f>
        <v>265.44504059292035</v>
      </c>
      <c r="T8" s="59">
        <f t="shared" si="34"/>
        <v>272.02069798702723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19.888888888888889</v>
      </c>
      <c r="AI8" s="13">
        <f>IF('Données projet'!$A$62&gt;35,AI7+AH8-AQ7,IF(A8&lt;'Données projet'!$A$62,$AF$205^A8,IF(A8='Données projet'!$A$62,'Données projet'!$B$62,AI7+AH8-AQ7)))</f>
        <v>5.1216742375043971</v>
      </c>
      <c r="AJ8" s="13">
        <f>AI8*VLOOKUP('Données projet'!$B$10,Paramètres!$A$1:$I$89,3,0)*VLOOKUP('Données projet'!$B$10,Paramètres!$A$1:$I$89,5,0)</f>
        <v>2.6046786502252366</v>
      </c>
      <c r="AK8" s="13">
        <f t="shared" si="35"/>
        <v>1.0737728828244639</v>
      </c>
      <c r="AL8" s="20">
        <f t="shared" si="4"/>
        <v>6.4066364200615604</v>
      </c>
      <c r="AM8" s="59">
        <f t="shared" si="5"/>
        <v>269.18441419783932</v>
      </c>
      <c r="AN8" s="59">
        <f ca="1">AVERAGE(OFFSET($AM$3,0,0,'Données projet'!$E$10+1,1))-AVERAGE(OFFSET($H$3,0,0,'Données projet'!$E$10+1,1))</f>
        <v>71.716690190721977</v>
      </c>
      <c r="AO8" s="59">
        <f t="shared" si="36"/>
        <v>388.00050527441761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19.888888888888889</v>
      </c>
      <c r="BD8" s="12">
        <f>IF('Données projet'!$A$88&gt;35,BD7+BC8-BL7,IF(A8&lt;'Données projet'!$A$88,$BA$205^A8,IF(A8='Données projet'!$A$88,'Données projet'!$B$88,BD7+BC8-BL7)))</f>
        <v>5.1216742375043971</v>
      </c>
      <c r="BE8" s="13">
        <f>BD8*VLOOKUP('Données projet'!$B$11,Paramètres!$A$1:$I$89,3,0)*VLOOKUP('Données projet'!$B$11,Paramètres!$A$1:$I$89,5,0)</f>
        <v>2.6046786502252366</v>
      </c>
      <c r="BF8" s="13">
        <f t="shared" si="37"/>
        <v>1.0737728828244639</v>
      </c>
      <c r="BG8" s="20">
        <f t="shared" si="7"/>
        <v>6.4066364200615604</v>
      </c>
      <c r="BH8" s="59">
        <f t="shared" si="8"/>
        <v>269.18441419783932</v>
      </c>
      <c r="BI8" s="59">
        <f ca="1">AVERAGE(OFFSET($BH$3,0,0,'Données projet'!$E$11+1,1))-AVERAGE(OFFSET($H$3,0,0,'Données projet'!$E$11+1,1))</f>
        <v>71.716690190721977</v>
      </c>
      <c r="BJ8" s="59">
        <f t="shared" si="38"/>
        <v>388.00050527441761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2.173052562640859</v>
      </c>
      <c r="CA8" s="13">
        <f t="shared" si="39"/>
        <v>0.91492884804015795</v>
      </c>
      <c r="CB8" s="20">
        <f t="shared" si="10"/>
        <v>5.3782342902694369</v>
      </c>
      <c r="CC8" s="59">
        <f t="shared" si="11"/>
        <v>268.15601206804723</v>
      </c>
      <c r="CD8" s="59">
        <f ca="1">AVERAGE(OFFSET($CC$3,0,0,'Données projet'!$E$12+1,1))-AVERAGE(OFFSET($H$3,0,0,'Données projet'!$E$12+1,1))</f>
        <v>188.589895905567</v>
      </c>
      <c r="CE8" s="59">
        <f t="shared" si="40"/>
        <v>218.98894871653943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1">
        <f t="shared" si="32"/>
        <v>1.7062280291992591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67">
        <f t="shared" si="1"/>
        <v>267.30028715085541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6.45</v>
      </c>
      <c r="N9" s="13">
        <f>IF('Données projet'!$A$36&gt;35,N8+M9-V8,IF(A9&lt;'Données projet'!$A$36,$K$205^A9,IF(A9='Données projet'!$A$36,'Données projet'!$B$36,N8+M9-V8)))</f>
        <v>4.2971143726898138</v>
      </c>
      <c r="O9" s="13">
        <f>N9*VLOOKUP('Données projet'!$B$9,Paramètres!$A$1:$I$89,3,0)*VLOOKUP('Données projet'!$B$9,Paramètres!$A$1:$I$89,5,0)</f>
        <v>3.753959115981822</v>
      </c>
      <c r="P9" s="13">
        <f t="shared" si="33"/>
        <v>1.4831020016576641</v>
      </c>
      <c r="Q9" s="20">
        <f t="shared" si="2"/>
        <v>9.1212147798887706</v>
      </c>
      <c r="R9" s="59">
        <f t="shared" si="0"/>
        <v>273.12121477988876</v>
      </c>
      <c r="S9" s="59">
        <f ca="1">AVERAGE(OFFSET($R$3,0,0,'Données projet'!$E$9+1,1))-AVERAGE(OFFSET($H$3,0,0,'Données projet'!$E$9+1,1))</f>
        <v>265.44504059292035</v>
      </c>
      <c r="T9" s="59">
        <f t="shared" si="34"/>
        <v>272.02069798702723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19.888888888888889</v>
      </c>
      <c r="AI9" s="13">
        <f>IF('Données projet'!$A$62&gt;35,AI8+AH9-AQ8,IF(A9&lt;'Données projet'!$A$62,$AF$205^A9,IF(A9='Données projet'!$A$62,'Données projet'!$B$62,AI8+AH9-AQ8)))</f>
        <v>7.1005884587975414</v>
      </c>
      <c r="AJ9" s="13">
        <f>AI9*VLOOKUP('Données projet'!$B$10,Paramètres!$A$1:$I$89,3,0)*VLOOKUP('Données projet'!$B$10,Paramètres!$A$1:$I$89,5,0)</f>
        <v>3.6110752666060777</v>
      </c>
      <c r="AK9" s="13">
        <f t="shared" si="35"/>
        <v>1.4331106128799067</v>
      </c>
      <c r="AL9" s="20">
        <f t="shared" si="4"/>
        <v>8.7852904067714217</v>
      </c>
      <c r="AM9" s="59">
        <f t="shared" si="5"/>
        <v>272.78529040677142</v>
      </c>
      <c r="AN9" s="59">
        <f ca="1">AVERAGE(OFFSET($AM$3,0,0,'Données projet'!$E$10+1,1))-AVERAGE(OFFSET($H$3,0,0,'Données projet'!$E$10+1,1))</f>
        <v>71.716690190721977</v>
      </c>
      <c r="AO9" s="59">
        <f t="shared" si="36"/>
        <v>388.00050527441761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19.888888888888889</v>
      </c>
      <c r="BD9" s="12">
        <f>IF('Données projet'!$A$88&gt;35,BD8+BC9-BL8,IF(A9&lt;'Données projet'!$A$88,$BA$205^A9,IF(A9='Données projet'!$A$88,'Données projet'!$B$88,BD8+BC9-BL8)))</f>
        <v>7.1005884587975414</v>
      </c>
      <c r="BE9" s="13">
        <f>BD9*VLOOKUP('Données projet'!$B$11,Paramètres!$A$1:$I$89,3,0)*VLOOKUP('Données projet'!$B$11,Paramètres!$A$1:$I$89,5,0)</f>
        <v>3.6110752666060777</v>
      </c>
      <c r="BF9" s="13">
        <f t="shared" si="37"/>
        <v>1.4331106128799067</v>
      </c>
      <c r="BG9" s="20">
        <f t="shared" si="7"/>
        <v>8.7852904067714217</v>
      </c>
      <c r="BH9" s="59">
        <f t="shared" si="8"/>
        <v>272.78529040677142</v>
      </c>
      <c r="BI9" s="59">
        <f ca="1">AVERAGE(OFFSET($BH$3,0,0,'Données projet'!$E$11+1,1))-AVERAGE(OFFSET($H$3,0,0,'Données projet'!$E$11+1,1))</f>
        <v>71.716690190721977</v>
      </c>
      <c r="BJ9" s="59">
        <f t="shared" si="38"/>
        <v>388.00050527441761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2.7619098560018145</v>
      </c>
      <c r="CA9" s="13">
        <f t="shared" si="39"/>
        <v>1.1308494182070246</v>
      </c>
      <c r="CB9" s="20">
        <f t="shared" si="10"/>
        <v>6.7798890692470613</v>
      </c>
      <c r="CC9" s="59">
        <f t="shared" si="11"/>
        <v>270.77988906924708</v>
      </c>
      <c r="CD9" s="59">
        <f ca="1">AVERAGE(OFFSET($CC$3,0,0,'Données projet'!$E$12+1,1))-AVERAGE(OFFSET($H$3,0,0,'Données projet'!$E$12+1,1))</f>
        <v>188.589895905567</v>
      </c>
      <c r="CE9" s="59">
        <f t="shared" si="40"/>
        <v>218.98894871653943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1">
        <f t="shared" si="32"/>
        <v>1.9552003009222731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67">
        <f t="shared" si="1"/>
        <v>269.01090385743964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6.45</v>
      </c>
      <c r="N10" s="13">
        <f>IF('Données projet'!$A$36&gt;35,N9+M10-V9,IF(A10&lt;'Données projet'!$A$36,$K$205^A10,IF(A10='Données projet'!$A$36,'Données projet'!$B$36,N9+M10-V9)))</f>
        <v>5.4790643181958227</v>
      </c>
      <c r="O10" s="13">
        <f>N10*VLOOKUP('Données projet'!$B$9,Paramètres!$A$1:$I$89,3,0)*VLOOKUP('Données projet'!$B$9,Paramètres!$A$1:$I$89,5,0)</f>
        <v>4.7865105883758714</v>
      </c>
      <c r="P10" s="13">
        <f t="shared" si="33"/>
        <v>1.8383020624401414</v>
      </c>
      <c r="Q10" s="20">
        <f t="shared" si="2"/>
        <v>11.538215366837889</v>
      </c>
      <c r="R10" s="59">
        <f t="shared" si="0"/>
        <v>276.76043758906013</v>
      </c>
      <c r="S10" s="59">
        <f ca="1">AVERAGE(OFFSET($R$3,0,0,'Données projet'!$E$9+1,1))-AVERAGE(OFFSET($H$3,0,0,'Données projet'!$E$9+1,1))</f>
        <v>265.44504059292035</v>
      </c>
      <c r="T10" s="59">
        <f t="shared" si="34"/>
        <v>272.02069798702723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19.888888888888889</v>
      </c>
      <c r="AI10" s="13">
        <f>IF('Données projet'!$A$62&gt;35,AI9+AH10-AQ9,IF(A10&lt;'Données projet'!$A$62,$AF$205^A10,IF(A10='Données projet'!$A$62,'Données projet'!$B$62,AI9+AH10-AQ9)))</f>
        <v>9.8441162251224821</v>
      </c>
      <c r="AJ10" s="13">
        <f>AI10*VLOOKUP('Données projet'!$B$10,Paramètres!$A$1:$I$89,3,0)*VLOOKUP('Données projet'!$B$10,Paramètres!$A$1:$I$89,5,0)</f>
        <v>5.00632374744829</v>
      </c>
      <c r="AK10" s="13">
        <f t="shared" si="35"/>
        <v>1.9127005920904512</v>
      </c>
      <c r="AL10" s="20">
        <f t="shared" si="4"/>
        <v>12.050634058029976</v>
      </c>
      <c r="AM10" s="59">
        <f t="shared" si="5"/>
        <v>277.2728562802522</v>
      </c>
      <c r="AN10" s="59">
        <f ca="1">AVERAGE(OFFSET($AM$3,0,0,'Données projet'!$E$10+1,1))-AVERAGE(OFFSET($H$3,0,0,'Données projet'!$E$10+1,1))</f>
        <v>71.716690190721977</v>
      </c>
      <c r="AO10" s="59">
        <f t="shared" si="36"/>
        <v>388.00050527441761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19.888888888888889</v>
      </c>
      <c r="BD10" s="12">
        <f>IF('Données projet'!$A$88&gt;35,BD9+BC10-BL9,IF(A10&lt;'Données projet'!$A$88,$BA$205^A10,IF(A10='Données projet'!$A$88,'Données projet'!$B$88,BD9+BC10-BL9)))</f>
        <v>9.8441162251224821</v>
      </c>
      <c r="BE10" s="13">
        <f>BD10*VLOOKUP('Données projet'!$B$11,Paramètres!$A$1:$I$89,3,0)*VLOOKUP('Données projet'!$B$11,Paramètres!$A$1:$I$89,5,0)</f>
        <v>5.00632374744829</v>
      </c>
      <c r="BF10" s="13">
        <f t="shared" si="37"/>
        <v>1.9127005920904512</v>
      </c>
      <c r="BG10" s="20">
        <f t="shared" si="7"/>
        <v>12.050634058029976</v>
      </c>
      <c r="BH10" s="59">
        <f t="shared" si="8"/>
        <v>277.2728562802522</v>
      </c>
      <c r="BI10" s="59">
        <f ca="1">AVERAGE(OFFSET($BH$3,0,0,'Données projet'!$E$11+1,1))-AVERAGE(OFFSET($H$3,0,0,'Données projet'!$E$11+1,1))</f>
        <v>71.716690190721977</v>
      </c>
      <c r="BJ10" s="59">
        <f t="shared" si="38"/>
        <v>388.00050527441761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3.510336649845994</v>
      </c>
      <c r="CA10" s="13">
        <f t="shared" si="39"/>
        <v>1.397726620379814</v>
      </c>
      <c r="CB10" s="20">
        <f t="shared" si="10"/>
        <v>8.5482101956432839</v>
      </c>
      <c r="CC10" s="59">
        <f t="shared" si="11"/>
        <v>273.77043241786549</v>
      </c>
      <c r="CD10" s="59">
        <f ca="1">AVERAGE(OFFSET($CC$3,0,0,'Données projet'!$E$12+1,1))-AVERAGE(OFFSET($H$3,0,0,'Données projet'!$E$12+1,1))</f>
        <v>188.589895905567</v>
      </c>
      <c r="CE10" s="59">
        <f t="shared" si="40"/>
        <v>218.98894871653943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1">
        <f t="shared" si="32"/>
        <v>2.2000519691514757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67">
        <f t="shared" si="1"/>
        <v>270.71434384627219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6.45</v>
      </c>
      <c r="N11" s="13">
        <f>IF('Données projet'!$A$36&gt;35,N10+M11-V10,IF(A11&lt;'Données projet'!$A$36,$K$205^A11,IF(A11='Données projet'!$A$36,'Données projet'!$B$36,N10+M11-V10)))</f>
        <v>6.9861174730928317</v>
      </c>
      <c r="O11" s="13">
        <f>N11*VLOOKUP('Données projet'!$B$9,Paramètres!$A$1:$I$89,3,0)*VLOOKUP('Données projet'!$B$9,Paramètres!$A$1:$I$89,5,0)</f>
        <v>6.1030722244938982</v>
      </c>
      <c r="P11" s="13">
        <f t="shared" si="33"/>
        <v>2.2785718507523889</v>
      </c>
      <c r="Q11" s="20">
        <f t="shared" si="2"/>
        <v>14.598030097720615</v>
      </c>
      <c r="R11" s="59">
        <f t="shared" si="0"/>
        <v>281.04247454216505</v>
      </c>
      <c r="S11" s="59">
        <f ca="1">AVERAGE(OFFSET($R$3,0,0,'Données projet'!$E$9+1,1))-AVERAGE(OFFSET($H$3,0,0,'Données projet'!$E$9+1,1))</f>
        <v>265.44504059292035</v>
      </c>
      <c r="T11" s="59">
        <f t="shared" si="34"/>
        <v>272.02069798702723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19.888888888888889</v>
      </c>
      <c r="AI11" s="13">
        <f>IF('Données projet'!$A$62&gt;35,AI10+AH11-AQ10,IF(A11&lt;'Données projet'!$A$62,$AF$205^A11,IF(A11='Données projet'!$A$62,'Données projet'!$B$62,AI10+AH11-AQ10)))</f>
        <v>13.647689176191248</v>
      </c>
      <c r="AJ11" s="13">
        <f>AI11*VLOOKUP('Données projet'!$B$10,Paramètres!$A$1:$I$89,3,0)*VLOOKUP('Données projet'!$B$10,Paramètres!$A$1:$I$89,5,0)</f>
        <v>6.9406688074438225</v>
      </c>
      <c r="AK11" s="13">
        <f t="shared" si="35"/>
        <v>2.5527851947390015</v>
      </c>
      <c r="AL11" s="20">
        <f t="shared" si="4"/>
        <v>16.534432387135084</v>
      </c>
      <c r="AM11" s="59">
        <f t="shared" si="5"/>
        <v>282.97887683157956</v>
      </c>
      <c r="AN11" s="59">
        <f ca="1">AVERAGE(OFFSET($AM$3,0,0,'Données projet'!$E$10+1,1))-AVERAGE(OFFSET($H$3,0,0,'Données projet'!$E$10+1,1))</f>
        <v>71.716690190721977</v>
      </c>
      <c r="AO11" s="59">
        <f t="shared" si="36"/>
        <v>388.00050527441761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19.888888888888889</v>
      </c>
      <c r="BD11" s="12">
        <f>IF('Données projet'!$A$88&gt;35,BD10+BC11-BL10,IF(A11&lt;'Données projet'!$A$88,$BA$205^A11,IF(A11='Données projet'!$A$88,'Données projet'!$B$88,BD10+BC11-BL10)))</f>
        <v>13.647689176191248</v>
      </c>
      <c r="BE11" s="13">
        <f>BD11*VLOOKUP('Données projet'!$B$11,Paramètres!$A$1:$I$89,3,0)*VLOOKUP('Données projet'!$B$11,Paramètres!$A$1:$I$89,5,0)</f>
        <v>6.9406688074438225</v>
      </c>
      <c r="BF11" s="13">
        <f t="shared" si="37"/>
        <v>2.5527851947390015</v>
      </c>
      <c r="BG11" s="20">
        <f t="shared" si="7"/>
        <v>16.534432387135084</v>
      </c>
      <c r="BH11" s="59">
        <f t="shared" si="8"/>
        <v>282.97887683157956</v>
      </c>
      <c r="BI11" s="59">
        <f ca="1">AVERAGE(OFFSET($BH$3,0,0,'Données projet'!$E$11+1,1))-AVERAGE(OFFSET($H$3,0,0,'Données projet'!$E$11+1,1))</f>
        <v>71.716690190721977</v>
      </c>
      <c r="BJ11" s="59">
        <f t="shared" si="38"/>
        <v>388.00050527441761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4.4615733451526163</v>
      </c>
      <c r="CA11" s="13">
        <f t="shared" si="39"/>
        <v>1.7275860727911023</v>
      </c>
      <c r="CB11" s="20">
        <f t="shared" si="10"/>
        <v>10.779452652918643</v>
      </c>
      <c r="CC11" s="59">
        <f t="shared" si="11"/>
        <v>277.22389709736308</v>
      </c>
      <c r="CD11" s="59">
        <f ca="1">AVERAGE(OFFSET($CC$3,0,0,'Données projet'!$E$12+1,1))-AVERAGE(OFFSET($H$3,0,0,'Données projet'!$E$12+1,1))</f>
        <v>188.589895905567</v>
      </c>
      <c r="CE11" s="59">
        <f t="shared" si="40"/>
        <v>218.98894871653943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1">
        <f t="shared" si="32"/>
        <v>2.4413570988248194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67">
        <f t="shared" si="1"/>
        <v>272.41160694711994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6.45</v>
      </c>
      <c r="N12" s="13">
        <f>IF('Données projet'!$A$36&gt;35,N11+M12-V11,IF(A12&lt;'Données projet'!$A$36,$K$205^A12,IF(A12='Données projet'!$A$36,'Données projet'!$B$36,N11+M12-V11)))</f>
        <v>8.9076956417120581</v>
      </c>
      <c r="O12" s="13">
        <f>N12*VLOOKUP('Données projet'!$B$9,Paramètres!$A$1:$I$89,3,0)*VLOOKUP('Données projet'!$B$9,Paramètres!$A$1:$I$89,5,0)</f>
        <v>7.781762912599655</v>
      </c>
      <c r="P12" s="13">
        <f t="shared" si="33"/>
        <v>2.8242854017959989</v>
      </c>
      <c r="Q12" s="20">
        <f t="shared" si="2"/>
        <v>18.472200814239098</v>
      </c>
      <c r="R12" s="59">
        <f t="shared" si="0"/>
        <v>286.13886748090579</v>
      </c>
      <c r="S12" s="59">
        <f ca="1">AVERAGE(OFFSET($R$3,0,0,'Données projet'!$E$9+1,1))-AVERAGE(OFFSET($H$3,0,0,'Données projet'!$E$9+1,1))</f>
        <v>265.44504059292035</v>
      </c>
      <c r="T12" s="59">
        <f t="shared" si="34"/>
        <v>272.02069798702723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19.888888888888889</v>
      </c>
      <c r="AI12" s="13">
        <f>IF('Données projet'!$A$62&gt;35,AI11+AH12-AQ11,IF(A12&lt;'Données projet'!$A$62,$AF$205^A12,IF(A12='Données projet'!$A$62,'Données projet'!$B$62,AI11+AH12-AQ11)))</f>
        <v>18.920887928424502</v>
      </c>
      <c r="AJ12" s="13">
        <f>AI12*VLOOKUP('Données projet'!$B$10,Paramètres!$A$1:$I$89,3,0)*VLOOKUP('Données projet'!$B$10,Paramètres!$A$1:$I$89,5,0)</f>
        <v>9.6224067648795657</v>
      </c>
      <c r="AK12" s="13">
        <f t="shared" si="35"/>
        <v>3.4070738919761179</v>
      </c>
      <c r="AL12" s="20">
        <f t="shared" si="4"/>
        <v>22.693012144023651</v>
      </c>
      <c r="AM12" s="59">
        <f t="shared" si="5"/>
        <v>290.35967881069035</v>
      </c>
      <c r="AN12" s="59">
        <f ca="1">AVERAGE(OFFSET($AM$3,0,0,'Données projet'!$E$10+1,1))-AVERAGE(OFFSET($H$3,0,0,'Données projet'!$E$10+1,1))</f>
        <v>71.716690190721977</v>
      </c>
      <c r="AO12" s="59">
        <f t="shared" si="36"/>
        <v>388.00050527441761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19.888888888888889</v>
      </c>
      <c r="BD12" s="12">
        <f>IF('Données projet'!$A$88&gt;35,BD11+BC12-BL11,IF(A12&lt;'Données projet'!$A$88,$BA$205^A12,IF(A12='Données projet'!$A$88,'Données projet'!$B$88,BD11+BC12-BL11)))</f>
        <v>18.920887928424502</v>
      </c>
      <c r="BE12" s="13">
        <f>BD12*VLOOKUP('Données projet'!$B$11,Paramètres!$A$1:$I$89,3,0)*VLOOKUP('Données projet'!$B$11,Paramètres!$A$1:$I$89,5,0)</f>
        <v>9.6224067648795657</v>
      </c>
      <c r="BF12" s="13">
        <f t="shared" si="37"/>
        <v>3.4070738919761179</v>
      </c>
      <c r="BG12" s="20">
        <f t="shared" si="7"/>
        <v>22.693012144023651</v>
      </c>
      <c r="BH12" s="59">
        <f t="shared" si="8"/>
        <v>290.35967881069035</v>
      </c>
      <c r="BI12" s="59">
        <f ca="1">AVERAGE(OFFSET($BH$3,0,0,'Données projet'!$E$11+1,1))-AVERAGE(OFFSET($H$3,0,0,'Données projet'!$E$11+1,1))</f>
        <v>71.716690190721977</v>
      </c>
      <c r="BJ12" s="59">
        <f t="shared" si="38"/>
        <v>388.00050527441761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5.6705776966005823</v>
      </c>
      <c r="CA12" s="13">
        <f t="shared" si="39"/>
        <v>2.1352914049034637</v>
      </c>
      <c r="CB12" s="20">
        <f t="shared" si="10"/>
        <v>13.59522201845288</v>
      </c>
      <c r="CC12" s="59">
        <f t="shared" si="11"/>
        <v>281.26188868511957</v>
      </c>
      <c r="CD12" s="59">
        <f ca="1">AVERAGE(OFFSET($CC$3,0,0,'Données projet'!$E$12+1,1))-AVERAGE(OFFSET($H$3,0,0,'Données projet'!$E$12+1,1))</f>
        <v>188.589895905567</v>
      </c>
      <c r="CE12" s="59">
        <f t="shared" si="40"/>
        <v>218.98894871653943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1">
        <f t="shared" si="32"/>
        <v>2.6795547009841778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67">
        <f t="shared" si="1"/>
        <v>274.10345777088082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6.45</v>
      </c>
      <c r="N13" s="13">
        <f>IF('Données projet'!$A$36&gt;35,N12+M13-V12,IF(A13&lt;'Données projet'!$A$36,$K$205^A13,IF(A13='Données projet'!$A$36,'Données projet'!$B$36,N12+M13-V12)))</f>
        <v>11.357816691600544</v>
      </c>
      <c r="O13" s="13">
        <f>N13*VLOOKUP('Données projet'!$B$9,Paramètres!$A$1:$I$89,3,0)*VLOOKUP('Données projet'!$B$9,Paramètres!$A$1:$I$89,5,0)</f>
        <v>9.9221886617822364</v>
      </c>
      <c r="P13" s="13">
        <f t="shared" si="33"/>
        <v>3.5006962927959027</v>
      </c>
      <c r="Q13" s="20">
        <f t="shared" si="2"/>
        <v>23.378191295890257</v>
      </c>
      <c r="R13" s="59">
        <f t="shared" si="0"/>
        <v>292.2670801847791</v>
      </c>
      <c r="S13" s="59">
        <f ca="1">AVERAGE(OFFSET($R$3,0,0,'Données projet'!$E$9+1,1))-AVERAGE(OFFSET($H$3,0,0,'Données projet'!$E$9+1,1))</f>
        <v>265.44504059292035</v>
      </c>
      <c r="T13" s="59">
        <f t="shared" si="34"/>
        <v>272.02069798702723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19.888888888888889</v>
      </c>
      <c r="AI13" s="13">
        <f>IF('Données projet'!$A$62&gt;35,AI12+AH13-AQ12,IF(A13&lt;'Données projet'!$A$62,$AF$205^A13,IF(A13='Données projet'!$A$62,'Données projet'!$B$62,AI12+AH13-AQ12)))</f>
        <v>26.231546995116243</v>
      </c>
      <c r="AJ13" s="13">
        <f>AI13*VLOOKUP('Données projet'!$B$10,Paramètres!$A$1:$I$89,3,0)*VLOOKUP('Données projet'!$B$10,Paramètres!$A$1:$I$89,5,0)</f>
        <v>13.340315539836318</v>
      </c>
      <c r="AK13" s="13">
        <f t="shared" si="35"/>
        <v>4.547250011206728</v>
      </c>
      <c r="AL13" s="20">
        <f t="shared" si="4"/>
        <v>31.154176668066636</v>
      </c>
      <c r="AM13" s="59">
        <f t="shared" si="5"/>
        <v>300.04306555695547</v>
      </c>
      <c r="AN13" s="59">
        <f ca="1">AVERAGE(OFFSET($AM$3,0,0,'Données projet'!$E$10+1,1))-AVERAGE(OFFSET($H$3,0,0,'Données projet'!$E$10+1,1))</f>
        <v>71.716690190721977</v>
      </c>
      <c r="AO13" s="59">
        <f t="shared" si="36"/>
        <v>388.00050527441761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19.888888888888889</v>
      </c>
      <c r="BD13" s="12">
        <f>IF('Données projet'!$A$88&gt;35,BD12+BC13-BL12,IF(A13&lt;'Données projet'!$A$88,$BA$205^A13,IF(A13='Données projet'!$A$88,'Données projet'!$B$88,BD12+BC13-BL12)))</f>
        <v>26.231546995116243</v>
      </c>
      <c r="BE13" s="13">
        <f>BD13*VLOOKUP('Données projet'!$B$11,Paramètres!$A$1:$I$89,3,0)*VLOOKUP('Données projet'!$B$11,Paramètres!$A$1:$I$89,5,0)</f>
        <v>13.340315539836318</v>
      </c>
      <c r="BF13" s="13">
        <f t="shared" si="37"/>
        <v>4.547250011206728</v>
      </c>
      <c r="BG13" s="20">
        <f t="shared" si="7"/>
        <v>31.154176668066636</v>
      </c>
      <c r="BH13" s="59">
        <f t="shared" si="8"/>
        <v>300.04306555695547</v>
      </c>
      <c r="BI13" s="59">
        <f ca="1">AVERAGE(OFFSET($BH$3,0,0,'Données projet'!$E$11+1,1))-AVERAGE(OFFSET($H$3,0,0,'Données projet'!$E$11+1,1))</f>
        <v>71.716690190721977</v>
      </c>
      <c r="BJ13" s="59">
        <f t="shared" si="38"/>
        <v>388.00050527441761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7.2072000000000003</v>
      </c>
      <c r="CA13" s="13">
        <f t="shared" si="39"/>
        <v>2.6392140198770462</v>
      </c>
      <c r="CB13" s="20">
        <f t="shared" si="10"/>
        <v>17.149171084619187</v>
      </c>
      <c r="CC13" s="59">
        <f t="shared" si="11"/>
        <v>286.03805997350804</v>
      </c>
      <c r="CD13" s="59">
        <f ca="1">AVERAGE(OFFSET($CC$3,0,0,'Données projet'!$E$12+1,1))-AVERAGE(OFFSET($H$3,0,0,'Données projet'!$E$12+1,1))</f>
        <v>188.589895905567</v>
      </c>
      <c r="CE13" s="59">
        <f t="shared" si="40"/>
        <v>218.98894871653943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1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1">
        <f t="shared" si="32"/>
        <v>2.9149909035839161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67">
        <f t="shared" si="1"/>
        <v>275.79049915707532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6.45</v>
      </c>
      <c r="N14" s="13">
        <f>IF('Données projet'!$A$36&gt;35,N13+M14-V13,IF(A14&lt;'Données projet'!$A$36,$K$205^A14,IF(A14='Données projet'!$A$36,'Données projet'!$B$36,N13+M14-V13)))</f>
        <v>14.481859864624445</v>
      </c>
      <c r="O14" s="13">
        <f>N14*VLOOKUP('Données projet'!$B$9,Paramètres!$A$1:$I$89,3,0)*VLOOKUP('Données projet'!$B$9,Paramètres!$A$1:$I$89,5,0)</f>
        <v>12.651352777735918</v>
      </c>
      <c r="P14" s="13">
        <f t="shared" si="33"/>
        <v>4.339106283876955</v>
      </c>
      <c r="Q14" s="20">
        <f t="shared" si="2"/>
        <v>29.591716198975757</v>
      </c>
      <c r="R14" s="59">
        <f t="shared" si="0"/>
        <v>299.70282731008689</v>
      </c>
      <c r="S14" s="59">
        <f ca="1">AVERAGE(OFFSET($R$3,0,0,'Données projet'!$E$9+1,1))-AVERAGE(OFFSET($H$3,0,0,'Données projet'!$E$9+1,1))</f>
        <v>265.44504059292035</v>
      </c>
      <c r="T14" s="59">
        <f t="shared" si="34"/>
        <v>272.02069798702723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19.888888888888889</v>
      </c>
      <c r="AI14" s="13">
        <f>IF('Données projet'!$A$62&gt;35,AI13+AH14-AQ13,IF(A14&lt;'Données projet'!$A$62,$AF$205^A14,IF(A14='Données projet'!$A$62,'Données projet'!$B$62,AI13+AH14-AQ13)))</f>
        <v>36.366900980544422</v>
      </c>
      <c r="AJ14" s="13">
        <f>AI14*VLOOKUP('Données projet'!$B$10,Paramètres!$A$1:$I$89,3,0)*VLOOKUP('Données projet'!$B$10,Paramètres!$A$1:$I$89,5,0)</f>
        <v>18.494751162665672</v>
      </c>
      <c r="AK14" s="13">
        <f t="shared" si="35"/>
        <v>6.0689856809728786</v>
      </c>
      <c r="AL14" s="20">
        <f t="shared" si="4"/>
        <v>42.781841669337133</v>
      </c>
      <c r="AM14" s="59">
        <f t="shared" si="5"/>
        <v>312.8929527804483</v>
      </c>
      <c r="AN14" s="59">
        <f ca="1">AVERAGE(OFFSET($AM$3,0,0,'Données projet'!$E$10+1,1))-AVERAGE(OFFSET($H$3,0,0,'Données projet'!$E$10+1,1))</f>
        <v>71.716690190721977</v>
      </c>
      <c r="AO14" s="59">
        <f t="shared" si="36"/>
        <v>388.00050527441761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19.888888888888889</v>
      </c>
      <c r="BD14" s="12">
        <f>IF('Données projet'!$A$88&gt;35,BD13+BC14-BL13,IF(A14&lt;'Données projet'!$A$88,$BA$205^A14,IF(A14='Données projet'!$A$88,'Données projet'!$B$88,BD13+BC14-BL13)))</f>
        <v>36.366900980544422</v>
      </c>
      <c r="BE14" s="13">
        <f>BD14*VLOOKUP('Données projet'!$B$11,Paramètres!$A$1:$I$89,3,0)*VLOOKUP('Données projet'!$B$11,Paramètres!$A$1:$I$89,5,0)</f>
        <v>18.494751162665672</v>
      </c>
      <c r="BF14" s="13">
        <f t="shared" si="37"/>
        <v>6.0689856809728786</v>
      </c>
      <c r="BG14" s="20">
        <f t="shared" si="7"/>
        <v>42.781841669337133</v>
      </c>
      <c r="BH14" s="59">
        <f t="shared" si="8"/>
        <v>312.8929527804483</v>
      </c>
      <c r="BI14" s="59">
        <f ca="1">AVERAGE(OFFSET($BH$3,0,0,'Données projet'!$E$11+1,1))-AVERAGE(OFFSET($H$3,0,0,'Données projet'!$E$11+1,1))</f>
        <v>71.716690190721977</v>
      </c>
      <c r="BJ14" s="59">
        <f t="shared" si="38"/>
        <v>388.00050527441761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6.8</v>
      </c>
      <c r="BY14" s="12">
        <f>IF('Données projet'!$A$114&gt;35,BY13+BX14-CG13,IF(A14&lt;'Données projet'!$A$114,$BV$205^A14,IF(A14='Données projet'!$A$114,'Données projet'!$B$114,BY13+BX14-CG13)))</f>
        <v>16.8</v>
      </c>
      <c r="BZ14" s="13">
        <f>BY14*VLOOKUP('Données projet'!$B$12,Paramètres!$A$1:$I$89,3,0)*VLOOKUP('Données projet'!$B$12,Paramètres!$A$1:$I$89,5,0)</f>
        <v>11.00736</v>
      </c>
      <c r="CA14" s="13">
        <f t="shared" si="39"/>
        <v>3.8369250365307539</v>
      </c>
      <c r="CB14" s="20">
        <f t="shared" si="10"/>
        <v>25.853796438624396</v>
      </c>
      <c r="CC14" s="59">
        <f t="shared" si="11"/>
        <v>295.96490754973553</v>
      </c>
      <c r="CD14" s="59">
        <f ca="1">AVERAGE(OFFSET($CC$3,0,0,'Données projet'!$E$12+1,1))-AVERAGE(OFFSET($H$3,0,0,'Données projet'!$E$12+1,1))</f>
        <v>188.589895905567</v>
      </c>
      <c r="CE14" s="59">
        <f t="shared" si="40"/>
        <v>218.98894871653943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1">
        <f t="shared" si="32"/>
        <v>3.1479452926301796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67">
        <f t="shared" si="1"/>
        <v>277.47321805133089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6.45</v>
      </c>
      <c r="N15" s="13">
        <f>IF('Données projet'!$A$36&gt;35,N14+M15-V14,IF(A15&lt;'Données projet'!$A$36,$K$205^A15,IF(A15='Données projet'!$A$36,'Données projet'!$B$36,N14+M15-V14)))</f>
        <v>18.465191931977376</v>
      </c>
      <c r="O15" s="13">
        <f>N15*VLOOKUP('Données projet'!$B$9,Paramètres!$A$1:$I$89,3,0)*VLOOKUP('Données projet'!$B$9,Paramètres!$A$1:$I$89,5,0)</f>
        <v>16.13119167177544</v>
      </c>
      <c r="P15" s="13">
        <f t="shared" si="33"/>
        <v>5.3783138461700872</v>
      </c>
      <c r="Q15" s="20">
        <f t="shared" si="2"/>
        <v>37.462388777088456</v>
      </c>
      <c r="R15" s="59">
        <f t="shared" si="0"/>
        <v>308.79572211042176</v>
      </c>
      <c r="S15" s="59">
        <f ca="1">AVERAGE(OFFSET($R$3,0,0,'Données projet'!$E$9+1,1))-AVERAGE(OFFSET($H$3,0,0,'Données projet'!$E$9+1,1))</f>
        <v>265.44504059292035</v>
      </c>
      <c r="T15" s="59">
        <f t="shared" si="34"/>
        <v>272.02069798702723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19.888888888888889</v>
      </c>
      <c r="AI15" s="13">
        <f>IF('Données projet'!$A$62&gt;35,AI14+AH15-AQ14,IF(A15&lt;'Données projet'!$A$62,$AF$205^A15,IF(A15='Données projet'!$A$62,'Données projet'!$B$62,AI14+AH15-AQ14)))</f>
        <v>50.418356461208852</v>
      </c>
      <c r="AJ15" s="13">
        <f>AI15*VLOOKUP('Données projet'!$B$10,Paramètres!$A$1:$I$89,3,0)*VLOOKUP('Données projet'!$B$10,Paramètres!$A$1:$I$89,5,0)</f>
        <v>25.640759361912377</v>
      </c>
      <c r="AK15" s="13">
        <f t="shared" si="35"/>
        <v>8.0999696750958616</v>
      </c>
      <c r="AL15" s="20">
        <f t="shared" si="4"/>
        <v>58.765103072789344</v>
      </c>
      <c r="AM15" s="59">
        <f t="shared" si="5"/>
        <v>330.09843640612269</v>
      </c>
      <c r="AN15" s="59">
        <f ca="1">AVERAGE(OFFSET($AM$3,0,0,'Données projet'!$E$10+1,1))-AVERAGE(OFFSET($H$3,0,0,'Données projet'!$E$10+1,1))</f>
        <v>71.716690190721977</v>
      </c>
      <c r="AO15" s="59">
        <f t="shared" si="36"/>
        <v>388.00050527441761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19.888888888888889</v>
      </c>
      <c r="BD15" s="12">
        <f>IF('Données projet'!$A$88&gt;35,BD14+BC15-BL14,IF(A15&lt;'Données projet'!$A$88,$BA$205^A15,IF(A15='Données projet'!$A$88,'Données projet'!$B$88,BD14+BC15-BL14)))</f>
        <v>50.418356461208852</v>
      </c>
      <c r="BE15" s="13">
        <f>BD15*VLOOKUP('Données projet'!$B$11,Paramètres!$A$1:$I$89,3,0)*VLOOKUP('Données projet'!$B$11,Paramètres!$A$1:$I$89,5,0)</f>
        <v>25.640759361912377</v>
      </c>
      <c r="BF15" s="13">
        <f t="shared" si="37"/>
        <v>8.0999696750958616</v>
      </c>
      <c r="BG15" s="20">
        <f t="shared" si="7"/>
        <v>58.765103072789344</v>
      </c>
      <c r="BH15" s="59">
        <f t="shared" si="8"/>
        <v>330.09843640612269</v>
      </c>
      <c r="BI15" s="59">
        <f ca="1">AVERAGE(OFFSET($BH$3,0,0,'Données projet'!$E$11+1,1))-AVERAGE(OFFSET($H$3,0,0,'Données projet'!$E$11+1,1))</f>
        <v>71.716690190721977</v>
      </c>
      <c r="BJ15" s="59">
        <f t="shared" si="38"/>
        <v>388.00050527441761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6.8</v>
      </c>
      <c r="BY15" s="12">
        <f>IF('Données projet'!$A$114&gt;35,BY14+BX15-CG14,IF(A15&lt;'Données projet'!$A$114,$BV$205^A15,IF(A15='Données projet'!$A$114,'Données projet'!$B$114,BY14+BX15-CG14)))</f>
        <v>23.6</v>
      </c>
      <c r="BZ15" s="13">
        <f>BY15*VLOOKUP('Données projet'!$B$12,Paramètres!$A$1:$I$89,3,0)*VLOOKUP('Données projet'!$B$12,Paramètres!$A$1:$I$89,5,0)</f>
        <v>15.462720000000001</v>
      </c>
      <c r="CA15" s="13">
        <f t="shared" si="39"/>
        <v>5.1808984376512361</v>
      </c>
      <c r="CB15" s="20">
        <f t="shared" si="10"/>
        <v>35.954302112242566</v>
      </c>
      <c r="CC15" s="59">
        <f t="shared" si="11"/>
        <v>307.28763544557586</v>
      </c>
      <c r="CD15" s="59">
        <f ca="1">AVERAGE(OFFSET($CC$3,0,0,'Données projet'!$E$12+1,1))-AVERAGE(OFFSET($H$3,0,0,'Données projet'!$E$12+1,1))</f>
        <v>188.589895905567</v>
      </c>
      <c r="CE15" s="59">
        <f t="shared" si="40"/>
        <v>218.98894871653943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1">
        <f t="shared" si="32"/>
        <v>3.3786481992658062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67">
        <f t="shared" si="1"/>
        <v>279.15201561372129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6.45</v>
      </c>
      <c r="N16" s="13">
        <f>IF('Données projet'!$A$36&gt;35,N15+M16-V15,IF(A16&lt;'Données projet'!$A$36,$K$205^A16,IF(A16='Données projet'!$A$36,'Données projet'!$B$36,N15+M16-V15)))</f>
        <v>23.544166030611187</v>
      </c>
      <c r="O16" s="13">
        <f>N16*VLOOKUP('Données projet'!$B$9,Paramètres!$A$1:$I$89,3,0)*VLOOKUP('Données projet'!$B$9,Paramètres!$A$1:$I$89,5,0)</f>
        <v>20.568183444341937</v>
      </c>
      <c r="P16" s="13">
        <f t="shared" si="33"/>
        <v>6.6664096095981034</v>
      </c>
      <c r="Q16" s="20">
        <f t="shared" si="2"/>
        <v>47.433582902278893</v>
      </c>
      <c r="R16" s="59">
        <f t="shared" si="0"/>
        <v>319.98913845783443</v>
      </c>
      <c r="S16" s="59">
        <f ca="1">AVERAGE(OFFSET($R$3,0,0,'Données projet'!$E$9+1,1))-AVERAGE(OFFSET($H$3,0,0,'Données projet'!$E$9+1,1))</f>
        <v>265.44504059292035</v>
      </c>
      <c r="T16" s="59">
        <f t="shared" si="34"/>
        <v>272.02069798702723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19.888888888888889</v>
      </c>
      <c r="AI16" s="13">
        <f>IF('Données projet'!$A$62&gt;35,AI15+AH16-AQ15,IF(A16&lt;'Données projet'!$A$62,$AF$205^A16,IF(A16='Données projet'!$A$62,'Données projet'!$B$62,AI15+AH16-AQ15)))</f>
        <v>69.899018055166323</v>
      </c>
      <c r="AJ16" s="13">
        <f>AI16*VLOOKUP('Données projet'!$B$10,Paramètres!$A$1:$I$89,3,0)*VLOOKUP('Données projet'!$B$10,Paramètres!$A$1:$I$89,5,0)</f>
        <v>35.547844622135386</v>
      </c>
      <c r="AK16" s="13">
        <f t="shared" si="35"/>
        <v>10.810621772130327</v>
      </c>
      <c r="AL16" s="20">
        <f t="shared" si="4"/>
        <v>80.740995636679443</v>
      </c>
      <c r="AM16" s="59">
        <f t="shared" si="5"/>
        <v>353.29655119223497</v>
      </c>
      <c r="AN16" s="59">
        <f ca="1">AVERAGE(OFFSET($AM$3,0,0,'Données projet'!$E$10+1,1))-AVERAGE(OFFSET($H$3,0,0,'Données projet'!$E$10+1,1))</f>
        <v>71.716690190721977</v>
      </c>
      <c r="AO16" s="59">
        <f t="shared" si="36"/>
        <v>388.00050527441761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19.888888888888889</v>
      </c>
      <c r="BD16" s="12">
        <f>IF('Données projet'!$A$88&gt;35,BD15+BC16-BL15,IF(A16&lt;'Données projet'!$A$88,$BA$205^A16,IF(A16='Données projet'!$A$88,'Données projet'!$B$88,BD15+BC16-BL15)))</f>
        <v>69.899018055166323</v>
      </c>
      <c r="BE16" s="13">
        <f>BD16*VLOOKUP('Données projet'!$B$11,Paramètres!$A$1:$I$89,3,0)*VLOOKUP('Données projet'!$B$11,Paramètres!$A$1:$I$89,5,0)</f>
        <v>35.547844622135386</v>
      </c>
      <c r="BF16" s="13">
        <f t="shared" si="37"/>
        <v>10.810621772130327</v>
      </c>
      <c r="BG16" s="20">
        <f t="shared" si="7"/>
        <v>80.740995636679443</v>
      </c>
      <c r="BH16" s="59">
        <f t="shared" si="8"/>
        <v>353.29655119223497</v>
      </c>
      <c r="BI16" s="59">
        <f ca="1">AVERAGE(OFFSET($BH$3,0,0,'Données projet'!$E$11+1,1))-AVERAGE(OFFSET($H$3,0,0,'Données projet'!$E$11+1,1))</f>
        <v>71.716690190721977</v>
      </c>
      <c r="BJ16" s="59">
        <f t="shared" si="38"/>
        <v>388.00050527441761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6.8</v>
      </c>
      <c r="BY16" s="12">
        <f>IF('Données projet'!$A$114&gt;35,BY15+BX16-CG15,IF(A16&lt;'Données projet'!$A$114,$BV$205^A16,IF(A16='Données projet'!$A$114,'Données projet'!$B$114,BY15+BX16-CG15)))</f>
        <v>30.400000000000002</v>
      </c>
      <c r="BZ16" s="13">
        <f>BY16*VLOOKUP('Données projet'!$B$12,Paramètres!$A$1:$I$89,3,0)*VLOOKUP('Données projet'!$B$12,Paramètres!$A$1:$I$89,5,0)</f>
        <v>19.918080000000003</v>
      </c>
      <c r="CA16" s="13">
        <f t="shared" si="39"/>
        <v>6.4798825087607046</v>
      </c>
      <c r="CB16" s="20">
        <f t="shared" si="10"/>
        <v>45.976451369424893</v>
      </c>
      <c r="CC16" s="59">
        <f t="shared" si="11"/>
        <v>318.53200692498046</v>
      </c>
      <c r="CD16" s="59">
        <f ca="1">AVERAGE(OFFSET($CC$3,0,0,'Données projet'!$E$12+1,1))-AVERAGE(OFFSET($H$3,0,0,'Données projet'!$E$12+1,1))</f>
        <v>188.589895905567</v>
      </c>
      <c r="CE16" s="59">
        <f t="shared" si="40"/>
        <v>218.98894871653943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1">
        <f t="shared" si="32"/>
        <v>3.6072925061053467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67">
        <f t="shared" si="1"/>
        <v>280.82722778146683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6.45</v>
      </c>
      <c r="N17" s="13">
        <f>IF('Données projet'!$A$36&gt;35,N16+M17-V16,IF(A17&lt;'Données projet'!$A$36,$K$205^A17,IF(A17='Données projet'!$A$36,'Données projet'!$B$36,N16+M17-V16)))</f>
        <v>30.020145802926649</v>
      </c>
      <c r="O17" s="13">
        <f>N17*VLOOKUP('Données projet'!$B$9,Paramètres!$A$1:$I$89,3,0)*VLOOKUP('Données projet'!$B$9,Paramètres!$A$1:$I$89,5,0)</f>
        <v>26.225599373436722</v>
      </c>
      <c r="P17" s="13">
        <f t="shared" si="33"/>
        <v>8.2630018169334836</v>
      </c>
      <c r="Q17" s="20">
        <f t="shared" si="2"/>
        <v>60.067647073228102</v>
      </c>
      <c r="R17" s="59">
        <f t="shared" si="0"/>
        <v>333.84542485100587</v>
      </c>
      <c r="S17" s="59">
        <f ca="1">AVERAGE(OFFSET($R$3,0,0,'Données projet'!$E$9+1,1))-AVERAGE(OFFSET($H$3,0,0,'Données projet'!$E$9+1,1))</f>
        <v>265.44504059292035</v>
      </c>
      <c r="T17" s="59">
        <f t="shared" si="34"/>
        <v>272.02069798702723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19.888888888888889</v>
      </c>
      <c r="AI17" s="13">
        <f>IF('Données projet'!$A$62&gt;35,AI16+AH17-AQ16,IF(A17&lt;'Données projet'!$A$62,$AF$205^A17,IF(A17='Données projet'!$A$62,'Données projet'!$B$62,AI16+AH17-AQ16)))</f>
        <v>96.906624253719698</v>
      </c>
      <c r="AJ17" s="13">
        <f>AI17*VLOOKUP('Données projet'!$B$10,Paramètres!$A$1:$I$89,3,0)*VLOOKUP('Données projet'!$B$10,Paramètres!$A$1:$I$89,5,0)</f>
        <v>49.282832830471698</v>
      </c>
      <c r="AK17" s="13">
        <f t="shared" si="35"/>
        <v>14.428392671565776</v>
      </c>
      <c r="AL17" s="20">
        <f t="shared" si="4"/>
        <v>110.96371774938193</v>
      </c>
      <c r="AM17" s="59">
        <f t="shared" si="5"/>
        <v>384.74149552715971</v>
      </c>
      <c r="AN17" s="59">
        <f ca="1">AVERAGE(OFFSET($AM$3,0,0,'Données projet'!$E$10+1,1))-AVERAGE(OFFSET($H$3,0,0,'Données projet'!$E$10+1,1))</f>
        <v>71.716690190721977</v>
      </c>
      <c r="AO17" s="59">
        <f t="shared" si="36"/>
        <v>388.00050527441761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19.888888888888889</v>
      </c>
      <c r="BD17" s="12">
        <f>IF('Données projet'!$A$88&gt;35,BD16+BC17-BL16,IF(A17&lt;'Données projet'!$A$88,$BA$205^A17,IF(A17='Données projet'!$A$88,'Données projet'!$B$88,BD16+BC17-BL16)))</f>
        <v>96.906624253719698</v>
      </c>
      <c r="BE17" s="13">
        <f>BD17*VLOOKUP('Données projet'!$B$11,Paramètres!$A$1:$I$89,3,0)*VLOOKUP('Données projet'!$B$11,Paramètres!$A$1:$I$89,5,0)</f>
        <v>49.282832830471698</v>
      </c>
      <c r="BF17" s="13">
        <f t="shared" si="37"/>
        <v>14.428392671565776</v>
      </c>
      <c r="BG17" s="20">
        <f t="shared" si="7"/>
        <v>110.96371774938193</v>
      </c>
      <c r="BH17" s="59">
        <f t="shared" si="8"/>
        <v>384.74149552715971</v>
      </c>
      <c r="BI17" s="59">
        <f ca="1">AVERAGE(OFFSET($BH$3,0,0,'Données projet'!$E$11+1,1))-AVERAGE(OFFSET($H$3,0,0,'Données projet'!$E$11+1,1))</f>
        <v>71.716690190721977</v>
      </c>
      <c r="BJ17" s="59">
        <f t="shared" si="38"/>
        <v>388.00050527441761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6.8</v>
      </c>
      <c r="BY17" s="12">
        <f>IF('Données projet'!$A$114&gt;35,BY16+BX17-CG16,IF(A17&lt;'Données projet'!$A$114,$BV$205^A17,IF(A17='Données projet'!$A$114,'Données projet'!$B$114,BY16+BX17-CG16)))</f>
        <v>37.200000000000003</v>
      </c>
      <c r="BZ17" s="13">
        <f>BY17*VLOOKUP('Données projet'!$B$12,Paramètres!$A$1:$I$89,3,0)*VLOOKUP('Données projet'!$B$12,Paramètres!$A$1:$I$89,5,0)</f>
        <v>24.373440000000002</v>
      </c>
      <c r="CA17" s="13">
        <f t="shared" si="39"/>
        <v>7.7451846247230876</v>
      </c>
      <c r="CB17" s="20">
        <f t="shared" si="10"/>
        <v>55.939937888059376</v>
      </c>
      <c r="CC17" s="59">
        <f t="shared" si="11"/>
        <v>329.71771566583715</v>
      </c>
      <c r="CD17" s="59">
        <f ca="1">AVERAGE(OFFSET($CC$3,0,0,'Données projet'!$E$12+1,1))-AVERAGE(OFFSET($H$3,0,0,'Données projet'!$E$12+1,1))</f>
        <v>188.589895905567</v>
      </c>
      <c r="CE17" s="59">
        <f t="shared" si="40"/>
        <v>218.98894871653943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1">
        <f t="shared" si="32"/>
        <v>3.8340419797271834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67">
        <f t="shared" si="1"/>
        <v>282.49913978135817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6.45</v>
      </c>
      <c r="N18" s="13">
        <f>IF('Données projet'!$A$36&gt;35,N17+M18-V17,IF(A18&lt;'Données projet'!$A$36,$K$205^A18,IF(A18='Données projet'!$A$36,'Données projet'!$B$36,N17+M18-V17)))</f>
        <v>38.277386969547301</v>
      </c>
      <c r="O18" s="13">
        <f>N18*VLOOKUP('Données projet'!$B$9,Paramètres!$A$1:$I$89,3,0)*VLOOKUP('Données projet'!$B$9,Paramètres!$A$1:$I$89,5,0)</f>
        <v>33.439125256596526</v>
      </c>
      <c r="P18" s="13">
        <f t="shared" si="33"/>
        <v>10.241974769798505</v>
      </c>
      <c r="Q18" s="20">
        <f t="shared" si="2"/>
        <v>76.077915879304669</v>
      </c>
      <c r="R18" s="59">
        <f t="shared" si="0"/>
        <v>351.07791587930467</v>
      </c>
      <c r="S18" s="59">
        <f ca="1">AVERAGE(OFFSET($R$3,0,0,'Données projet'!$E$9+1,1))-AVERAGE(OFFSET($H$3,0,0,'Données projet'!$E$9+1,1))</f>
        <v>265.44504059292035</v>
      </c>
      <c r="T18" s="59">
        <f t="shared" si="34"/>
        <v>272.02069798702723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19.888888888888889</v>
      </c>
      <c r="AI18" s="13">
        <f>IF('Données projet'!$A$62&gt;35,AI17+AH18-AQ17,IF(A18&lt;'Données projet'!$A$62,$AF$205^A18,IF(A18='Données projet'!$A$62,'Données projet'!$B$62,AI17+AH18-AQ17)))</f>
        <v>134.34943845477275</v>
      </c>
      <c r="AJ18" s="13">
        <f>AI18*VLOOKUP('Données projet'!$B$10,Paramètres!$A$1:$I$89,3,0)*VLOOKUP('Données projet'!$B$10,Paramètres!$A$1:$I$89,5,0)</f>
        <v>68.324750420559226</v>
      </c>
      <c r="AK18" s="13">
        <f t="shared" si="35"/>
        <v>19.256849372121703</v>
      </c>
      <c r="AL18" s="20">
        <f t="shared" si="4"/>
        <v>152.53795297225261</v>
      </c>
      <c r="AM18" s="59">
        <f t="shared" si="5"/>
        <v>427.53795297225258</v>
      </c>
      <c r="AN18" s="59">
        <f ca="1">AVERAGE(OFFSET($AM$3,0,0,'Données projet'!$E$10+1,1))-AVERAGE(OFFSET($H$3,0,0,'Données projet'!$E$10+1,1))</f>
        <v>71.716690190721977</v>
      </c>
      <c r="AO18" s="59">
        <f t="shared" si="36"/>
        <v>388.00050527441761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19.888888888888889</v>
      </c>
      <c r="BD18" s="12">
        <f>IF('Données projet'!$A$88&gt;35,BD17+BC18-BL17,IF(A18&lt;'Données projet'!$A$88,$BA$205^A18,IF(A18='Données projet'!$A$88,'Données projet'!$B$88,BD17+BC18-BL17)))</f>
        <v>134.34943845477275</v>
      </c>
      <c r="BE18" s="13">
        <f>BD18*VLOOKUP('Données projet'!$B$11,Paramètres!$A$1:$I$89,3,0)*VLOOKUP('Données projet'!$B$11,Paramètres!$A$1:$I$89,5,0)</f>
        <v>68.324750420559226</v>
      </c>
      <c r="BF18" s="13">
        <f t="shared" si="37"/>
        <v>19.256849372121703</v>
      </c>
      <c r="BG18" s="20">
        <f t="shared" si="7"/>
        <v>152.53795297225261</v>
      </c>
      <c r="BH18" s="59">
        <f t="shared" si="8"/>
        <v>427.53795297225258</v>
      </c>
      <c r="BI18" s="59">
        <f ca="1">AVERAGE(OFFSET($BH$3,0,0,'Données projet'!$E$11+1,1))-AVERAGE(OFFSET($H$3,0,0,'Données projet'!$E$11+1,1))</f>
        <v>71.716690190721977</v>
      </c>
      <c r="BJ18" s="59">
        <f t="shared" si="38"/>
        <v>388.00050527441761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44</v>
      </c>
      <c r="BW18" s="12">
        <f>VLOOKUP(A18,'Données projet'!$A$113:$I$133,9,0)</f>
        <v>6.8</v>
      </c>
      <c r="BX18" s="12">
        <f t="array" ref="BX18">INDEX(BW:BW,MIN(IF(ISNUMBER(BW18:BW214),ROW(BW18:BW214),"")))</f>
        <v>6.8</v>
      </c>
      <c r="BY18" s="12">
        <f>IF('Données projet'!$A$114&gt;35,BY17+BX18-CG17,IF(A18&lt;'Données projet'!$A$114,$BV$205^A18,IF(A18='Données projet'!$A$114,'Données projet'!$B$114,BY17+BX18-CG17)))</f>
        <v>44</v>
      </c>
      <c r="BZ18" s="13">
        <f>BY18*VLOOKUP('Données projet'!$B$12,Paramètres!$A$1:$I$89,3,0)*VLOOKUP('Données projet'!$B$12,Paramètres!$A$1:$I$89,5,0)</f>
        <v>28.828800000000001</v>
      </c>
      <c r="CA18" s="13">
        <f t="shared" si="39"/>
        <v>8.983691253405949</v>
      </c>
      <c r="CB18" s="20">
        <f t="shared" si="10"/>
        <v>65.856755599682032</v>
      </c>
      <c r="CC18" s="59">
        <f t="shared" si="11"/>
        <v>340.85675559968206</v>
      </c>
      <c r="CD18" s="59">
        <f ca="1">AVERAGE(OFFSET($CC$3,0,0,'Données projet'!$E$12+1,1))-AVERAGE(OFFSET($H$3,0,0,'Données projet'!$E$12+1,1))</f>
        <v>188.589895905567</v>
      </c>
      <c r="CE18" s="59">
        <f t="shared" si="40"/>
        <v>218.98894871653943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1">
        <f t="shared" si="32"/>
        <v>4.0590373158284008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67">
        <f t="shared" si="1"/>
        <v>284.16799665840114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6.45</v>
      </c>
      <c r="N19" s="13">
        <f>IF('Données projet'!$A$36&gt;35,N18+M19-V18,IF(A19&lt;'Données projet'!$A$36,$K$205^A19,IF(A19='Données projet'!$A$36,'Données projet'!$B$36,N18+M19-V18)))</f>
        <v>48.805837347852972</v>
      </c>
      <c r="O19" s="13">
        <f>N19*VLOOKUP('Données projet'!$B$9,Paramètres!$A$1:$I$89,3,0)*VLOOKUP('Données projet'!$B$9,Paramètres!$A$1:$I$89,5,0)</f>
        <v>42.636779507084363</v>
      </c>
      <c r="P19" s="13">
        <f t="shared" si="33"/>
        <v>12.694907917147026</v>
      </c>
      <c r="Q19" s="20">
        <f t="shared" si="2"/>
        <v>96.369355597203011</v>
      </c>
      <c r="R19" s="59">
        <f t="shared" si="0"/>
        <v>372.59157781942525</v>
      </c>
      <c r="S19" s="59">
        <f ca="1">AVERAGE(OFFSET($R$3,0,0,'Données projet'!$E$9+1,1))-AVERAGE(OFFSET($H$3,0,0,'Données projet'!$E$9+1,1))</f>
        <v>265.44504059292035</v>
      </c>
      <c r="T19" s="59">
        <f t="shared" si="34"/>
        <v>272.02069798702723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19.888888888888889</v>
      </c>
      <c r="AI19" s="13">
        <f>IF('Données projet'!$A$62&gt;35,AI18+AH19-AQ18,IF(A19&lt;'Données projet'!$A$62,$AF$205^A19,IF(A19='Données projet'!$A$62,'Données projet'!$B$62,AI18+AH19-AQ18)))</f>
        <v>186.25941984992775</v>
      </c>
      <c r="AJ19" s="13">
        <f>AI19*VLOOKUP('Données projet'!$B$10,Paramètres!$A$1:$I$89,3,0)*VLOOKUP('Données projet'!$B$10,Paramètres!$A$1:$I$89,5,0)</f>
        <v>94.724090558879254</v>
      </c>
      <c r="AK19" s="13">
        <f t="shared" si="35"/>
        <v>25.701147465398289</v>
      </c>
      <c r="AL19" s="20">
        <f t="shared" si="4"/>
        <v>209.74062289228337</v>
      </c>
      <c r="AM19" s="59">
        <f t="shared" si="5"/>
        <v>485.96284511450563</v>
      </c>
      <c r="AN19" s="59">
        <f ca="1">AVERAGE(OFFSET($AM$3,0,0,'Données projet'!$E$10+1,1))-AVERAGE(OFFSET($H$3,0,0,'Données projet'!$E$10+1,1))</f>
        <v>71.716690190721977</v>
      </c>
      <c r="AO19" s="59">
        <f t="shared" si="36"/>
        <v>388.00050527441761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19.888888888888889</v>
      </c>
      <c r="BD19" s="12">
        <f>IF('Données projet'!$A$88&gt;35,BD18+BC19-BL18,IF(A19&lt;'Données projet'!$A$88,$BA$205^A19,IF(A19='Données projet'!$A$88,'Données projet'!$B$88,BD18+BC19-BL18)))</f>
        <v>186.25941984992775</v>
      </c>
      <c r="BE19" s="13">
        <f>BD19*VLOOKUP('Données projet'!$B$11,Paramètres!$A$1:$I$89,3,0)*VLOOKUP('Données projet'!$B$11,Paramètres!$A$1:$I$89,5,0)</f>
        <v>94.724090558879254</v>
      </c>
      <c r="BF19" s="13">
        <f t="shared" si="37"/>
        <v>25.701147465398289</v>
      </c>
      <c r="BG19" s="20">
        <f t="shared" si="7"/>
        <v>209.74062289228337</v>
      </c>
      <c r="BH19" s="59">
        <f t="shared" si="8"/>
        <v>485.96284511450563</v>
      </c>
      <c r="BI19" s="59">
        <f ca="1">AVERAGE(OFFSET($BH$3,0,0,'Données projet'!$E$11+1,1))-AVERAGE(OFFSET($H$3,0,0,'Données projet'!$E$11+1,1))</f>
        <v>71.716690190721977</v>
      </c>
      <c r="BJ19" s="59">
        <f t="shared" si="38"/>
        <v>388.00050527441761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12</v>
      </c>
      <c r="BY19" s="12">
        <f>IF('Données projet'!$A$114&gt;35,BY18+BX19-CG18,IF(A19&lt;'Données projet'!$A$114,$BV$205^A19,IF(A19='Données projet'!$A$114,'Données projet'!$B$114,BY18+BX19-CG18)))</f>
        <v>52</v>
      </c>
      <c r="BZ19" s="13">
        <f>BY19*VLOOKUP('Données projet'!$B$12,Paramètres!$A$1:$I$89,3,0)*VLOOKUP('Données projet'!$B$12,Paramètres!$A$1:$I$89,5,0)</f>
        <v>34.070399999999999</v>
      </c>
      <c r="CA19" s="13">
        <f t="shared" si="39"/>
        <v>10.412633617059315</v>
      </c>
      <c r="CB19" s="20">
        <f t="shared" si="10"/>
        <v>77.474616883044959</v>
      </c>
      <c r="CC19" s="59">
        <f t="shared" si="11"/>
        <v>353.6968391052672</v>
      </c>
      <c r="CD19" s="59">
        <f ca="1">AVERAGE(OFFSET($CC$3,0,0,'Données projet'!$E$12+1,1))-AVERAGE(OFFSET($H$3,0,0,'Données projet'!$E$12+1,1))</f>
        <v>188.589895905567</v>
      </c>
      <c r="CE19" s="59">
        <f t="shared" si="40"/>
        <v>218.98894871653943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1">
        <f t="shared" si="32"/>
        <v>4.2824006291256396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67">
        <f t="shared" si="1"/>
        <v>285.83401109572719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6.45</v>
      </c>
      <c r="N20" s="13">
        <f>IF('Données projet'!$A$36&gt;35,N19+M20-V19,IF(A20&lt;'Données projet'!$A$36,$K$205^A20,IF(A20='Données projet'!$A$36,'Données projet'!$B$36,N19+M20-V19)))</f>
        <v>62.230208167557464</v>
      </c>
      <c r="O20" s="13">
        <f>N20*VLOOKUP('Données projet'!$B$9,Paramètres!$A$1:$I$89,3,0)*VLOOKUP('Données projet'!$B$9,Paramètres!$A$1:$I$89,5,0)</f>
        <v>54.364309855178213</v>
      </c>
      <c r="P20" s="13">
        <f t="shared" si="33"/>
        <v>15.735313808824468</v>
      </c>
      <c r="Q20" s="20">
        <f t="shared" si="2"/>
        <v>122.09017788147132</v>
      </c>
      <c r="R20" s="59">
        <f t="shared" si="0"/>
        <v>399.53462232591579</v>
      </c>
      <c r="S20" s="59">
        <f ca="1">AVERAGE(OFFSET($R$3,0,0,'Données projet'!$E$9+1,1))-AVERAGE(OFFSET($H$3,0,0,'Données projet'!$E$9+1,1))</f>
        <v>265.44504059292035</v>
      </c>
      <c r="T20" s="59">
        <f t="shared" si="34"/>
        <v>272.02069798702723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19.888888888888889</v>
      </c>
      <c r="AI20" s="13">
        <f>IF('Données projet'!$A$62&gt;35,AI19+AH20-AQ19,IF(A20&lt;'Données projet'!$A$62,$AF$205^A20,IF(A20='Données projet'!$A$62,'Données projet'!$B$62,AI19+AH20-AQ19)))</f>
        <v>258.22639738468672</v>
      </c>
      <c r="AJ20" s="13">
        <f>AI20*VLOOKUP('Données projet'!$B$10,Paramètres!$A$1:$I$89,3,0)*VLOOKUP('Données projet'!$B$10,Paramètres!$A$1:$I$89,5,0)</f>
        <v>131.32361665395629</v>
      </c>
      <c r="AK20" s="13">
        <f t="shared" si="35"/>
        <v>34.302027723934479</v>
      </c>
      <c r="AL20" s="20">
        <f t="shared" si="4"/>
        <v>288.46466395815975</v>
      </c>
      <c r="AM20" s="59">
        <f t="shared" si="5"/>
        <v>565.90910840260426</v>
      </c>
      <c r="AN20" s="59">
        <f ca="1">AVERAGE(OFFSET($AM$3,0,0,'Données projet'!$E$10+1,1))-AVERAGE(OFFSET($H$3,0,0,'Données projet'!$E$10+1,1))</f>
        <v>71.716690190721977</v>
      </c>
      <c r="AO20" s="59">
        <f t="shared" si="36"/>
        <v>388.00050527441761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19.888888888888889</v>
      </c>
      <c r="BD20" s="12">
        <f>IF('Données projet'!$A$88&gt;35,BD19+BC20-BL19,IF(A20&lt;'Données projet'!$A$88,$BA$205^A20,IF(A20='Données projet'!$A$88,'Données projet'!$B$88,BD19+BC20-BL19)))</f>
        <v>258.22639738468672</v>
      </c>
      <c r="BE20" s="13">
        <f>BD20*VLOOKUP('Données projet'!$B$11,Paramètres!$A$1:$I$89,3,0)*VLOOKUP('Données projet'!$B$11,Paramètres!$A$1:$I$89,5,0)</f>
        <v>131.32361665395629</v>
      </c>
      <c r="BF20" s="13">
        <f t="shared" si="37"/>
        <v>34.302027723934479</v>
      </c>
      <c r="BG20" s="20">
        <f t="shared" si="7"/>
        <v>288.46466395815975</v>
      </c>
      <c r="BH20" s="59">
        <f t="shared" si="8"/>
        <v>565.90910840260426</v>
      </c>
      <c r="BI20" s="59">
        <f ca="1">AVERAGE(OFFSET($BH$3,0,0,'Données projet'!$E$11+1,1))-AVERAGE(OFFSET($H$3,0,0,'Données projet'!$E$11+1,1))</f>
        <v>71.716690190721977</v>
      </c>
      <c r="BJ20" s="59">
        <f t="shared" si="38"/>
        <v>388.00050527441761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12</v>
      </c>
      <c r="BY20" s="12">
        <f>IF('Données projet'!$A$114&gt;35,BY19+BX20-CG19,IF(A20&lt;'Données projet'!$A$114,$BV$205^A20,IF(A20='Données projet'!$A$114,'Données projet'!$B$114,BY19+BX20-CG19)))</f>
        <v>64</v>
      </c>
      <c r="BZ20" s="13">
        <f>BY20*VLOOKUP('Données projet'!$B$12,Paramètres!$A$1:$I$89,3,0)*VLOOKUP('Données projet'!$B$12,Paramètres!$A$1:$I$89,5,0)</f>
        <v>41.9328</v>
      </c>
      <c r="CA20" s="13">
        <f t="shared" si="39"/>
        <v>12.509520351031938</v>
      </c>
      <c r="CB20" s="20">
        <f t="shared" si="10"/>
        <v>94.820374611380615</v>
      </c>
      <c r="CC20" s="59">
        <f t="shared" si="11"/>
        <v>372.26481905582506</v>
      </c>
      <c r="CD20" s="59">
        <f ca="1">AVERAGE(OFFSET($CC$3,0,0,'Données projet'!$E$12+1,1))-AVERAGE(OFFSET($H$3,0,0,'Données projet'!$E$12+1,1))</f>
        <v>188.589895905567</v>
      </c>
      <c r="CE20" s="59">
        <f t="shared" si="40"/>
        <v>218.98894871653943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1">
        <f t="shared" si="32"/>
        <v>4.504238856327774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67">
        <f t="shared" si="1"/>
        <v>287.49736934143755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6.45</v>
      </c>
      <c r="N21" s="13">
        <f>IF('Données projet'!$A$36&gt;35,N20+M21-V20,IF(A21&lt;'Données projet'!$A$36,$K$205^A21,IF(A21='Données projet'!$A$36,'Données projet'!$B$36,N20+M21-V20)))</f>
        <v>79.347041645375967</v>
      </c>
      <c r="O21" s="13">
        <f>N21*VLOOKUP('Données projet'!$B$9,Paramètres!$A$1:$I$89,3,0)*VLOOKUP('Données projet'!$B$9,Paramètres!$A$1:$I$89,5,0)</f>
        <v>69.317575581400448</v>
      </c>
      <c r="P21" s="13">
        <f t="shared" si="33"/>
        <v>19.503891030808358</v>
      </c>
      <c r="Q21" s="20">
        <f t="shared" si="2"/>
        <v>154.69738768293033</v>
      </c>
      <c r="R21" s="59">
        <f t="shared" si="0"/>
        <v>433.36405434959704</v>
      </c>
      <c r="S21" s="59">
        <f ca="1">AVERAGE(OFFSET($R$3,0,0,'Données projet'!$E$9+1,1))-AVERAGE(OFFSET($H$3,0,0,'Données projet'!$E$9+1,1))</f>
        <v>265.44504059292035</v>
      </c>
      <c r="T21" s="59">
        <f t="shared" si="34"/>
        <v>272.02069798702723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358</v>
      </c>
      <c r="AG21" s="12">
        <f>VLOOKUP(A21,'Données projet'!$A$61:$I$81,9,0)</f>
        <v>19.888888888888889</v>
      </c>
      <c r="AH21" s="12">
        <f t="array" ref="AH21">INDEX(AG:AG,MIN(IF(ISNUMBER(AG21:AG217),ROW(AG21:AG217),"")))</f>
        <v>19.888888888888889</v>
      </c>
      <c r="AI21" s="13">
        <f>IF('Données projet'!$A$62&gt;35,AI20+AH21-AQ20,IF(A21&lt;'Données projet'!$A$62,$AF$205^A21,IF(A21='Données projet'!$A$62,'Données projet'!$B$62,AI20+AH21-AQ20)))</f>
        <v>358</v>
      </c>
      <c r="AJ21" s="13">
        <f>AI21*VLOOKUP('Données projet'!$B$10,Paramètres!$A$1:$I$89,3,0)*VLOOKUP('Données projet'!$B$10,Paramètres!$A$1:$I$89,5,0)</f>
        <v>182.06448</v>
      </c>
      <c r="AK21" s="13">
        <f t="shared" si="35"/>
        <v>45.781189635897661</v>
      </c>
      <c r="AL21" s="20">
        <f t="shared" si="4"/>
        <v>396.83120794918841</v>
      </c>
      <c r="AM21" s="59">
        <f t="shared" si="5"/>
        <v>675.49787461585515</v>
      </c>
      <c r="AN21" s="59">
        <f ca="1">AVERAGE(OFFSET($AM$3,0,0,'Données projet'!$E$10+1,1))-AVERAGE(OFFSET($H$3,0,0,'Données projet'!$E$10+1,1))</f>
        <v>71.716690190721977</v>
      </c>
      <c r="AO21" s="59">
        <f t="shared" si="36"/>
        <v>388.00050527441761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358</v>
      </c>
      <c r="AR21" s="16">
        <f>IF(ISNA(VLOOKUP(A21,'Données projet'!$A$61:$I$81,5,0)),0%,VLOOKUP(A21,'Données projet'!$A$61:$I$81,5,0)*VLOOKUP('Données projet'!$B$10,Paramètres!$A$1:$I$89,7,0))</f>
        <v>0.46799999999999997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94.192904428772394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94.192904428772394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358</v>
      </c>
      <c r="BB21" s="12">
        <f>VLOOKUP(A21,'Données projet'!$A$87:$I$107,9,0)</f>
        <v>19.888888888888889</v>
      </c>
      <c r="BC21" s="12">
        <f t="array" ref="BC21">INDEX(BB:BB,MIN(IF(ISNUMBER(BB21:BB217),ROW(BB21:BB217),"")))</f>
        <v>19.888888888888889</v>
      </c>
      <c r="BD21" s="12">
        <f>IF('Données projet'!$A$88&gt;35,BD20+BC21-BL20,IF(A21&lt;'Données projet'!$A$88,$BA$205^A21,IF(A21='Données projet'!$A$88,'Données projet'!$B$88,BD20+BC21-BL20)))</f>
        <v>358</v>
      </c>
      <c r="BE21" s="13">
        <f>BD21*VLOOKUP('Données projet'!$B$11,Paramètres!$A$1:$I$89,3,0)*VLOOKUP('Données projet'!$B$11,Paramètres!$A$1:$I$89,5,0)</f>
        <v>182.06448</v>
      </c>
      <c r="BF21" s="13">
        <f t="shared" si="37"/>
        <v>45.781189635897661</v>
      </c>
      <c r="BG21" s="20">
        <f t="shared" si="7"/>
        <v>396.83120794918841</v>
      </c>
      <c r="BH21" s="59">
        <f t="shared" si="8"/>
        <v>675.49787461585515</v>
      </c>
      <c r="BI21" s="59">
        <f ca="1">AVERAGE(OFFSET($BH$3,0,0,'Données projet'!$E$11+1,1))-AVERAGE(OFFSET($H$3,0,0,'Données projet'!$E$11+1,1))</f>
        <v>71.716690190721977</v>
      </c>
      <c r="BJ21" s="59">
        <f t="shared" si="38"/>
        <v>388.00050527441761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358</v>
      </c>
      <c r="BM21" s="16">
        <f>IF(ISNA(VLOOKUP(A21,'Données projet'!$A$87:$I$107,5,0)),0%,VLOOKUP(A21,'Données projet'!$A$87:$I$107,5,0)*VLOOKUP('Données projet'!$B$11,Paramètres!$A$1:$I$89,7,0))</f>
        <v>0.46799999999999997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94.192904428772394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94.192904428772394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12</v>
      </c>
      <c r="BY21" s="12">
        <f>IF('Données projet'!$A$114&gt;35,BY20+BX21-CG20,IF(A21&lt;'Données projet'!$A$114,$BV$205^A21,IF(A21='Données projet'!$A$114,'Données projet'!$B$114,BY20+BX21-CG20)))</f>
        <v>76</v>
      </c>
      <c r="BZ21" s="13">
        <f>BY21*VLOOKUP('Données projet'!$B$12,Paramètres!$A$1:$I$89,3,0)*VLOOKUP('Données projet'!$B$12,Paramètres!$A$1:$I$89,5,0)</f>
        <v>49.795200000000001</v>
      </c>
      <c r="CA21" s="13">
        <f t="shared" si="39"/>
        <v>14.560856542690781</v>
      </c>
      <c r="CB21" s="20">
        <f t="shared" si="10"/>
        <v>112.08679847851977</v>
      </c>
      <c r="CC21" s="59">
        <f t="shared" si="11"/>
        <v>390.75346514518645</v>
      </c>
      <c r="CD21" s="59">
        <f ca="1">AVERAGE(OFFSET($CC$3,0,0,'Données projet'!$E$12+1,1))-AVERAGE(OFFSET($H$3,0,0,'Données projet'!$E$12+1,1))</f>
        <v>188.589895905567</v>
      </c>
      <c r="CE21" s="59">
        <f t="shared" si="40"/>
        <v>218.98894871653943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1">
        <f t="shared" si="32"/>
        <v>4.7246463812124082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67">
        <f t="shared" si="1"/>
        <v>289.15823578061162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6.45</v>
      </c>
      <c r="N22" s="13">
        <f>IF('Données projet'!$A$36&gt;35,N21+M22-V21,IF(A22&lt;'Données projet'!$A$36,$K$205^A22,IF(A22='Données projet'!$A$36,'Données projet'!$B$36,N21+M22-V21)))</f>
        <v>101.17197424313463</v>
      </c>
      <c r="O22" s="13">
        <f>N22*VLOOKUP('Données projet'!$B$9,Paramètres!$A$1:$I$89,3,0)*VLOOKUP('Données projet'!$B$9,Paramètres!$A$1:$I$89,5,0)</f>
        <v>88.383836698802426</v>
      </c>
      <c r="P22" s="13">
        <f t="shared" si="33"/>
        <v>24.175035208278807</v>
      </c>
      <c r="Q22" s="20">
        <f t="shared" si="2"/>
        <v>196.04003523816644</v>
      </c>
      <c r="R22" s="59">
        <f t="shared" si="0"/>
        <v>475.92892412705532</v>
      </c>
      <c r="S22" s="59">
        <f ca="1">AVERAGE(OFFSET($R$3,0,0,'Données projet'!$E$9+1,1))-AVERAGE(OFFSET($H$3,0,0,'Données projet'!$E$9+1,1))</f>
        <v>265.44504059292035</v>
      </c>
      <c r="T22" s="59">
        <f t="shared" si="34"/>
        <v>272.02069798702723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71.716690190721977</v>
      </c>
      <c r="AO22" s="59">
        <f t="shared" si="36"/>
        <v>388.00050527441761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92.345839024922952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92.345839024922952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71.716690190721977</v>
      </c>
      <c r="BJ22" s="59">
        <f t="shared" si="38"/>
        <v>388.00050527441761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92.345839024922952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92.345839024922952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12</v>
      </c>
      <c r="BY22" s="12">
        <f>IF('Données projet'!$A$114&gt;35,BY21+BX22-CG21,IF(A22&lt;'Données projet'!$A$114,$BV$205^A22,IF(A22='Données projet'!$A$114,'Données projet'!$B$114,BY21+BX22-CG21)))</f>
        <v>88</v>
      </c>
      <c r="BZ22" s="13">
        <f>BY22*VLOOKUP('Données projet'!$B$12,Paramètres!$A$1:$I$89,3,0)*VLOOKUP('Données projet'!$B$12,Paramètres!$A$1:$I$89,5,0)</f>
        <v>57.657600000000002</v>
      </c>
      <c r="CA22" s="13">
        <f t="shared" si="39"/>
        <v>16.574671209026025</v>
      </c>
      <c r="CB22" s="20">
        <f t="shared" si="10"/>
        <v>129.28787235572034</v>
      </c>
      <c r="CC22" s="59">
        <f t="shared" si="11"/>
        <v>409.17676124460922</v>
      </c>
      <c r="CD22" s="59">
        <f ca="1">AVERAGE(OFFSET($CC$3,0,0,'Données projet'!$E$12+1,1))-AVERAGE(OFFSET($H$3,0,0,'Données projet'!$E$12+1,1))</f>
        <v>188.589895905567</v>
      </c>
      <c r="CE22" s="59">
        <f t="shared" si="40"/>
        <v>218.98894871653943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1">
        <f t="shared" si="32"/>
        <v>4.9437070912888705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67">
        <f t="shared" si="1"/>
        <v>290.81675651732814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129</v>
      </c>
      <c r="L23" s="12">
        <f>VLOOKUP(A23,'Données projet'!$A$35:$I$55,9,0)</f>
        <v>6.45</v>
      </c>
      <c r="M23" s="12">
        <f t="array" ref="M23">INDEX(L:L,MIN(IF(ISNUMBER(L23:L219),ROW(L23:L219),"")))</f>
        <v>6.45</v>
      </c>
      <c r="N23" s="13">
        <f>IF('Données projet'!$A$36&gt;35,N22+M23-V22,IF(A23&lt;'Données projet'!$A$36,$K$205^A23,IF(A23='Données projet'!$A$36,'Données projet'!$B$36,N22+M23-V22)))</f>
        <v>129</v>
      </c>
      <c r="O23" s="13">
        <f>N23*VLOOKUP('Données projet'!$B$9,Paramètres!$A$1:$I$89,3,0)*VLOOKUP('Données projet'!$B$9,Paramètres!$A$1:$I$89,5,0)</f>
        <v>112.69440000000002</v>
      </c>
      <c r="P23" s="13">
        <f t="shared" si="33"/>
        <v>29.964909381330632</v>
      </c>
      <c r="Q23" s="20">
        <f t="shared" si="2"/>
        <v>248.46496383915087</v>
      </c>
      <c r="R23" s="59">
        <f t="shared" si="0"/>
        <v>529.57607495026195</v>
      </c>
      <c r="S23" s="59">
        <f ca="1">AVERAGE(OFFSET($R$3,0,0,'Données projet'!$E$9+1,1))-AVERAGE(OFFSET($H$3,0,0,'Données projet'!$E$9+1,1))</f>
        <v>265.44504059292035</v>
      </c>
      <c r="T23" s="59">
        <f t="shared" si="34"/>
        <v>272.02069798702723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54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71.716690190721977</v>
      </c>
      <c r="AO23" s="59">
        <f t="shared" si="36"/>
        <v>388.00050527441761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90.534993447044343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90.534993447044343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71.716690190721977</v>
      </c>
      <c r="BJ23" s="59">
        <f t="shared" si="38"/>
        <v>388.00050527441761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90.534993447044343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90.534993447044343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100</v>
      </c>
      <c r="BW23" s="12">
        <f>VLOOKUP(A23,'Données projet'!$A$113:$I$133,9,0)</f>
        <v>12</v>
      </c>
      <c r="BX23" s="12">
        <f t="array" ref="BX23">INDEX(BW:BW,MIN(IF(ISNUMBER(BW23:BW219),ROW(BW23:BW219),"")))</f>
        <v>12</v>
      </c>
      <c r="BY23" s="12">
        <f>IF('Données projet'!$A$114&gt;35,BY22+BX23-CG22,IF(A23&lt;'Données projet'!$A$114,$BV$205^A23,IF(A23='Données projet'!$A$114,'Données projet'!$B$114,BY22+BX23-CG22)))</f>
        <v>100</v>
      </c>
      <c r="BZ23" s="13">
        <f>BY23*VLOOKUP('Données projet'!$B$12,Paramètres!$A$1:$I$89,3,0)*VLOOKUP('Données projet'!$B$12,Paramètres!$A$1:$I$89,5,0)</f>
        <v>65.52</v>
      </c>
      <c r="CA23" s="13">
        <f t="shared" si="39"/>
        <v>18.556669503136725</v>
      </c>
      <c r="CB23" s="20">
        <f t="shared" si="10"/>
        <v>146.43353271796309</v>
      </c>
      <c r="CC23" s="59">
        <f t="shared" si="11"/>
        <v>427.54464382907423</v>
      </c>
      <c r="CD23" s="59">
        <f ca="1">AVERAGE(OFFSET($CC$3,0,0,'Données projet'!$E$12+1,1))-AVERAGE(OFFSET($H$3,0,0,'Données projet'!$E$12+1,1))</f>
        <v>188.589895905567</v>
      </c>
      <c r="CE23" s="59">
        <f t="shared" si="40"/>
        <v>218.98894871653943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10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1">
        <f t="shared" si="32"/>
        <v>5.1614960114392687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67">
        <f t="shared" si="1"/>
        <v>292.47306221992341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10.199999999999999</v>
      </c>
      <c r="N24" s="13">
        <f>IF('Données projet'!$A$36&gt;35,N23+M24-V23,IF(A24&lt;'Données projet'!$A$36,$K$205^A24,IF(A24='Données projet'!$A$36,'Données projet'!$B$36,N23+M24-V23)))</f>
        <v>85.199999999999989</v>
      </c>
      <c r="O24" s="13">
        <f>N24*VLOOKUP('Données projet'!$B$9,Paramètres!$A$1:$I$89,3,0)*VLOOKUP('Données projet'!$B$9,Paramètres!$A$1:$I$89,5,0)</f>
        <v>74.430719999999994</v>
      </c>
      <c r="P24" s="13">
        <f t="shared" si="33"/>
        <v>20.76980057385482</v>
      </c>
      <c r="Q24" s="20">
        <f t="shared" si="2"/>
        <v>165.80757333279712</v>
      </c>
      <c r="R24" s="59">
        <f t="shared" si="0"/>
        <v>448.14090666613043</v>
      </c>
      <c r="S24" s="59">
        <f ca="1">AVERAGE(OFFSET($R$3,0,0,'Données projet'!$E$9+1,1))-AVERAGE(OFFSET($H$3,0,0,'Données projet'!$E$9+1,1))</f>
        <v>265.44504059292035</v>
      </c>
      <c r="T24" s="59">
        <f t="shared" si="34"/>
        <v>272.02069798702723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71.716690190721977</v>
      </c>
      <c r="AO24" s="59">
        <f t="shared" si="36"/>
        <v>388.00050527441761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88.759657446441196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88.759657446441196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71.716690190721977</v>
      </c>
      <c r="BJ24" s="59">
        <f t="shared" si="38"/>
        <v>388.00050527441761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88.759657446441196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88.759657446441196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9.6</v>
      </c>
      <c r="BY24" s="12">
        <f>IF('Données projet'!$A$114&gt;35,BY23+BX24-CG23,IF(A24&lt;'Données projet'!$A$114,$BV$205^A24,IF(A24='Données projet'!$A$114,'Données projet'!$B$114,BY23+BX24-CG23)))</f>
        <v>99.6</v>
      </c>
      <c r="BZ24" s="13">
        <f>BY24*VLOOKUP('Données projet'!$B$12,Paramètres!$A$1:$I$89,3,0)*VLOOKUP('Données projet'!$B$12,Paramètres!$A$1:$I$89,5,0)</f>
        <v>65.257919999999999</v>
      </c>
      <c r="CA24" s="13">
        <f t="shared" si="39"/>
        <v>18.491067519086762</v>
      </c>
      <c r="CB24" s="20">
        <f t="shared" si="10"/>
        <v>145.8628199290761</v>
      </c>
      <c r="CC24" s="59">
        <f t="shared" si="11"/>
        <v>428.19615326240944</v>
      </c>
      <c r="CD24" s="59">
        <f ca="1">AVERAGE(OFFSET($CC$3,0,0,'Données projet'!$E$12+1,1))-AVERAGE(OFFSET($H$3,0,0,'Données projet'!$E$12+1,1))</f>
        <v>188.589895905567</v>
      </c>
      <c r="CE24" s="59">
        <f t="shared" si="40"/>
        <v>218.98894871653943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1">
        <f t="shared" si="32"/>
        <v>5.3780806175732732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67">
        <f t="shared" si="1"/>
        <v>294.12727040894015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10.199999999999999</v>
      </c>
      <c r="N25" s="13">
        <f>IF('Données projet'!$A$36&gt;35,N24+M25-V24,IF(A25&lt;'Données projet'!$A$36,$K$205^A25,IF(A25='Données projet'!$A$36,'Données projet'!$B$36,N24+M25-V24)))</f>
        <v>95.399999999999991</v>
      </c>
      <c r="O25" s="13">
        <f>N25*VLOOKUP('Données projet'!$B$9,Paramètres!$A$1:$I$89,3,0)*VLOOKUP('Données projet'!$B$9,Paramètres!$A$1:$I$89,5,0)</f>
        <v>83.341440000000006</v>
      </c>
      <c r="P25" s="13">
        <f t="shared" si="33"/>
        <v>22.952227742446681</v>
      </c>
      <c r="Q25" s="20">
        <f t="shared" si="2"/>
        <v>185.12813798476131</v>
      </c>
      <c r="R25" s="59">
        <f t="shared" si="0"/>
        <v>468.68369354031688</v>
      </c>
      <c r="S25" s="59">
        <f ca="1">AVERAGE(OFFSET($R$3,0,0,'Données projet'!$E$9+1,1))-AVERAGE(OFFSET($H$3,0,0,'Données projet'!$E$9+1,1))</f>
        <v>265.44504059292035</v>
      </c>
      <c r="T25" s="59">
        <f t="shared" si="34"/>
        <v>272.02069798702723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71.716690190721977</v>
      </c>
      <c r="AO25" s="59">
        <f t="shared" si="36"/>
        <v>388.00050527441761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87.019134701961832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87.019134701961832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71.716690190721977</v>
      </c>
      <c r="BJ25" s="59">
        <f t="shared" si="38"/>
        <v>388.00050527441761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87.019134701961832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87.019134701961832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9.6</v>
      </c>
      <c r="BY25" s="12">
        <f>IF('Données projet'!$A$114&gt;35,BY24+BX25-CG24,IF(A25&lt;'Données projet'!$A$114,$BV$205^A25,IF(A25='Données projet'!$A$114,'Données projet'!$B$114,BY24+BX25-CG24)))</f>
        <v>109.19999999999999</v>
      </c>
      <c r="BZ25" s="13">
        <f>BY25*VLOOKUP('Données projet'!$B$12,Paramètres!$A$1:$I$89,3,0)*VLOOKUP('Données projet'!$B$12,Paramètres!$A$1:$I$89,5,0)</f>
        <v>71.547839999999994</v>
      </c>
      <c r="CA25" s="13">
        <f t="shared" si="39"/>
        <v>20.05735014974319</v>
      </c>
      <c r="CB25" s="20">
        <f t="shared" si="10"/>
        <v>159.54570617746938</v>
      </c>
      <c r="CC25" s="59">
        <f t="shared" si="11"/>
        <v>443.1012617330249</v>
      </c>
      <c r="CD25" s="59">
        <f ca="1">AVERAGE(OFFSET($CC$3,0,0,'Données projet'!$E$12+1,1))-AVERAGE(OFFSET($H$3,0,0,'Données projet'!$E$12+1,1))</f>
        <v>188.589895905567</v>
      </c>
      <c r="CE25" s="59">
        <f t="shared" si="40"/>
        <v>218.98894871653943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1">
        <f t="shared" si="32"/>
        <v>5.5935219046849918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67">
        <f t="shared" si="1"/>
        <v>295.77948731732636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10.199999999999999</v>
      </c>
      <c r="N26" s="13">
        <f>IF('Données projet'!$A$36&gt;35,N25+M26-V25,IF(A26&lt;'Données projet'!$A$36,$K$205^A26,IF(A26='Données projet'!$A$36,'Données projet'!$B$36,N25+M26-V25)))</f>
        <v>105.6</v>
      </c>
      <c r="O26" s="13">
        <f>N26*VLOOKUP('Données projet'!$B$9,Paramètres!$A$1:$I$89,3,0)*VLOOKUP('Données projet'!$B$9,Paramètres!$A$1:$I$89,5,0)</f>
        <v>92.252160000000003</v>
      </c>
      <c r="P26" s="13">
        <f t="shared" si="33"/>
        <v>25.107607958259987</v>
      </c>
      <c r="Q26" s="20">
        <f t="shared" si="2"/>
        <v>204.40159586063612</v>
      </c>
      <c r="R26" s="59">
        <f t="shared" si="0"/>
        <v>489.17937363841389</v>
      </c>
      <c r="S26" s="59">
        <f ca="1">AVERAGE(OFFSET($R$3,0,0,'Données projet'!$E$9+1,1))-AVERAGE(OFFSET($H$3,0,0,'Données projet'!$E$9+1,1))</f>
        <v>265.44504059292035</v>
      </c>
      <c r="T26" s="59">
        <f t="shared" si="34"/>
        <v>272.02069798702723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71.716690190721977</v>
      </c>
      <c r="AO26" s="59">
        <f t="shared" si="36"/>
        <v>388.00050527441761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85.312742546887662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85.312742546887662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71.716690190721977</v>
      </c>
      <c r="BJ26" s="59">
        <f t="shared" si="38"/>
        <v>388.00050527441761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85.312742546887662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85.312742546887662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9.6</v>
      </c>
      <c r="BY26" s="12">
        <f>IF('Données projet'!$A$114&gt;35,BY25+BX26-CG25,IF(A26&lt;'Données projet'!$A$114,$BV$205^A26,IF(A26='Données projet'!$A$114,'Données projet'!$B$114,BY25+BX26-CG25)))</f>
        <v>118.79999999999998</v>
      </c>
      <c r="BZ26" s="13">
        <f>BY26*VLOOKUP('Données projet'!$B$12,Paramètres!$A$1:$I$89,3,0)*VLOOKUP('Données projet'!$B$12,Paramètres!$A$1:$I$89,5,0)</f>
        <v>77.837759999999989</v>
      </c>
      <c r="CA26" s="13">
        <f t="shared" si="39"/>
        <v>21.607665094033621</v>
      </c>
      <c r="CB26" s="20">
        <f t="shared" si="10"/>
        <v>173.2007820387752</v>
      </c>
      <c r="CC26" s="59">
        <f t="shared" si="11"/>
        <v>457.978559816553</v>
      </c>
      <c r="CD26" s="59">
        <f ca="1">AVERAGE(OFFSET($CC$3,0,0,'Données projet'!$E$12+1,1))-AVERAGE(OFFSET($H$3,0,0,'Données projet'!$E$12+1,1))</f>
        <v>188.589895905567</v>
      </c>
      <c r="CE26" s="59">
        <f t="shared" si="40"/>
        <v>218.98894871653943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1">
        <f t="shared" si="32"/>
        <v>5.8078752639195086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67">
        <f t="shared" si="1"/>
        <v>297.42980941799317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10.199999999999999</v>
      </c>
      <c r="N27" s="13">
        <f>IF('Données projet'!$A$36&gt;35,N26+M27-V26,IF(A27&lt;'Données projet'!$A$36,$K$205^A27,IF(A27='Données projet'!$A$36,'Données projet'!$B$36,N26+M27-V26)))</f>
        <v>115.8</v>
      </c>
      <c r="O27" s="13">
        <f>N27*VLOOKUP('Données projet'!$B$9,Paramètres!$A$1:$I$89,3,0)*VLOOKUP('Données projet'!$B$9,Paramètres!$A$1:$I$89,5,0)</f>
        <v>101.16288</v>
      </c>
      <c r="P27" s="13">
        <f t="shared" si="33"/>
        <v>27.238850979377386</v>
      </c>
      <c r="Q27" s="20">
        <f t="shared" si="2"/>
        <v>223.63301478908227</v>
      </c>
      <c r="R27" s="59">
        <f t="shared" si="0"/>
        <v>509.63301478908227</v>
      </c>
      <c r="S27" s="59">
        <f ca="1">AVERAGE(OFFSET($R$3,0,0,'Données projet'!$E$9+1,1))-AVERAGE(OFFSET($H$3,0,0,'Données projet'!$E$9+1,1))</f>
        <v>265.44504059292035</v>
      </c>
      <c r="T27" s="59">
        <f t="shared" si="34"/>
        <v>272.02069798702723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71.716690190721977</v>
      </c>
      <c r="AO27" s="59">
        <f t="shared" si="36"/>
        <v>388.00050527441761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83.639811701178061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83.639811701178061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71.716690190721977</v>
      </c>
      <c r="BJ27" s="59">
        <f t="shared" si="38"/>
        <v>388.00050527441761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83.639811701178061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83.639811701178061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9.6</v>
      </c>
      <c r="BY27" s="12">
        <f>IF('Données projet'!$A$114&gt;35,BY26+BX27-CG26,IF(A27&lt;'Données projet'!$A$114,$BV$205^A27,IF(A27='Données projet'!$A$114,'Données projet'!$B$114,BY26+BX27-CG26)))</f>
        <v>128.39999999999998</v>
      </c>
      <c r="BZ27" s="13">
        <f>BY27*VLOOKUP('Données projet'!$B$12,Paramètres!$A$1:$I$89,3,0)*VLOOKUP('Données projet'!$B$12,Paramètres!$A$1:$I$89,5,0)</f>
        <v>84.127679999999984</v>
      </c>
      <c r="CA27" s="13">
        <f t="shared" si="39"/>
        <v>23.143449366413215</v>
      </c>
      <c r="CB27" s="20">
        <f t="shared" si="10"/>
        <v>186.83055031316962</v>
      </c>
      <c r="CC27" s="59">
        <f t="shared" si="11"/>
        <v>472.83055031316962</v>
      </c>
      <c r="CD27" s="59">
        <f ca="1">AVERAGE(OFFSET($CC$3,0,0,'Données projet'!$E$12+1,1))-AVERAGE(OFFSET($H$3,0,0,'Données projet'!$E$12+1,1))</f>
        <v>188.589895905567</v>
      </c>
      <c r="CE27" s="59">
        <f t="shared" si="40"/>
        <v>218.98894871653943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1">
        <f t="shared" si="32"/>
        <v>6.0211912093426747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67">
        <f t="shared" si="1"/>
        <v>299.07832468960515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126</v>
      </c>
      <c r="L28" s="12">
        <f>VLOOKUP(A28,'Données projet'!$A$35:$I$55,9,0)</f>
        <v>10.199999999999999</v>
      </c>
      <c r="M28" s="12">
        <f t="array" ref="M28">INDEX(L:L,MIN(IF(ISNUMBER(L28:L224),ROW(L28:L224),"")))</f>
        <v>10.199999999999999</v>
      </c>
      <c r="N28" s="13">
        <f>IF('Données projet'!$A$36&gt;35,N27+M28-V27,IF(A28&lt;'Données projet'!$A$36,$K$205^A28,IF(A28='Données projet'!$A$36,'Données projet'!$B$36,N27+M28-V27)))</f>
        <v>126</v>
      </c>
      <c r="O28" s="13">
        <f>N28*VLOOKUP('Données projet'!$B$9,Paramètres!$A$1:$I$89,3,0)*VLOOKUP('Données projet'!$B$9,Paramètres!$A$1:$I$89,5,0)</f>
        <v>110.07360000000001</v>
      </c>
      <c r="P28" s="13">
        <f t="shared" si="33"/>
        <v>29.348324631518828</v>
      </c>
      <c r="Q28" s="20">
        <f t="shared" si="2"/>
        <v>242.8265187332286</v>
      </c>
      <c r="R28" s="59">
        <f t="shared" si="0"/>
        <v>530.04874095545085</v>
      </c>
      <c r="S28" s="59">
        <f ca="1">AVERAGE(OFFSET($R$3,0,0,'Données projet'!$E$9+1,1))-AVERAGE(OFFSET($H$3,0,0,'Données projet'!$E$9+1,1))</f>
        <v>265.44504059292035</v>
      </c>
      <c r="T28" s="59">
        <f t="shared" si="34"/>
        <v>272.02069798702723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71.716690190721977</v>
      </c>
      <c r="AO28" s="59">
        <f t="shared" si="36"/>
        <v>388.00050527441761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81.999686008965753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81.999686008965753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71.716690190721977</v>
      </c>
      <c r="BJ28" s="59">
        <f t="shared" si="38"/>
        <v>388.00050527441761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81.999686008965753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81.999686008965753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138</v>
      </c>
      <c r="BW28" s="12">
        <f>VLOOKUP(A28,'Données projet'!$A$113:$I$133,9,0)</f>
        <v>9.6</v>
      </c>
      <c r="BX28" s="12">
        <f t="array" ref="BX28">INDEX(BW:BW,MIN(IF(ISNUMBER(BW28:BW224),ROW(BW28:BW224),"")))</f>
        <v>9.6</v>
      </c>
      <c r="BY28" s="12">
        <f>IF('Données projet'!$A$114&gt;35,BY27+BX28-CG27,IF(A28&lt;'Données projet'!$A$114,$BV$205^A28,IF(A28='Données projet'!$A$114,'Données projet'!$B$114,BY27+BX28-CG27)))</f>
        <v>137.99999999999997</v>
      </c>
      <c r="BZ28" s="13">
        <f>BY28*VLOOKUP('Données projet'!$B$12,Paramètres!$A$1:$I$89,3,0)*VLOOKUP('Données projet'!$B$12,Paramètres!$A$1:$I$89,5,0)</f>
        <v>90.417599999999979</v>
      </c>
      <c r="CA28" s="13">
        <f t="shared" si="39"/>
        <v>24.665912907068826</v>
      </c>
      <c r="CB28" s="20">
        <f t="shared" si="10"/>
        <v>200.43711831314485</v>
      </c>
      <c r="CC28" s="59">
        <f t="shared" si="11"/>
        <v>487.65934053536705</v>
      </c>
      <c r="CD28" s="59">
        <f ca="1">AVERAGE(OFFSET($CC$3,0,0,'Données projet'!$E$12+1,1))-AVERAGE(OFFSET($H$3,0,0,'Données projet'!$E$12+1,1))</f>
        <v>188.589895905567</v>
      </c>
      <c r="CE28" s="59">
        <f t="shared" si="40"/>
        <v>218.98894871653943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21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1">
        <f t="shared" si="32"/>
        <v>6.2335159851544919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67">
        <f t="shared" si="1"/>
        <v>300.7251136741441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9.8000000000000007</v>
      </c>
      <c r="N29" s="13">
        <f>IF('Données projet'!$A$36&gt;35,N28+M29-V28,IF(A29&lt;'Données projet'!$A$36,$K$205^A29,IF(A29='Données projet'!$A$36,'Données projet'!$B$36,N28+M29-V28)))</f>
        <v>109.80000000000001</v>
      </c>
      <c r="O29" s="13">
        <f>N29*VLOOKUP('Données projet'!$B$9,Paramètres!$A$1:$I$89,3,0)*VLOOKUP('Données projet'!$B$9,Paramètres!$A$1:$I$89,5,0)</f>
        <v>95.921280000000024</v>
      </c>
      <c r="P29" s="13">
        <f t="shared" si="33"/>
        <v>25.98795633328076</v>
      </c>
      <c r="Q29" s="20">
        <f t="shared" si="2"/>
        <v>212.32525328046404</v>
      </c>
      <c r="R29" s="59">
        <f t="shared" si="0"/>
        <v>500.7696977249085</v>
      </c>
      <c r="S29" s="59">
        <f ca="1">AVERAGE(OFFSET($R$3,0,0,'Données projet'!$E$9+1,1))-AVERAGE(OFFSET($H$3,0,0,'Données projet'!$E$9+1,1))</f>
        <v>265.44504059292035</v>
      </c>
      <c r="T29" s="59">
        <f t="shared" si="34"/>
        <v>272.02069798702723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71.716690190721977</v>
      </c>
      <c r="AO29" s="59">
        <f t="shared" si="36"/>
        <v>388.00050527441761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80.391722181199839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80.391722181199839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71.716690190721977</v>
      </c>
      <c r="BJ29" s="59">
        <f t="shared" si="38"/>
        <v>388.00050527441761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80.391722181199839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80.391722181199839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8.8000000000000007</v>
      </c>
      <c r="BY29" s="12">
        <f>IF('Données projet'!$A$114&gt;35,BY28+BX29-CG28,IF(A29&lt;'Données projet'!$A$114,$BV$205^A29,IF(A29='Données projet'!$A$114,'Données projet'!$B$114,BY28+BX29-CG28)))</f>
        <v>125.79999999999998</v>
      </c>
      <c r="BZ29" s="13">
        <f>BY29*VLOOKUP('Données projet'!$B$12,Paramètres!$A$1:$I$89,3,0)*VLOOKUP('Données projet'!$B$12,Paramètres!$A$1:$I$89,5,0)</f>
        <v>82.424159999999986</v>
      </c>
      <c r="CA29" s="13">
        <f t="shared" si="39"/>
        <v>22.728870146421784</v>
      </c>
      <c r="CB29" s="20">
        <f t="shared" si="10"/>
        <v>183.14152750501788</v>
      </c>
      <c r="CC29" s="59">
        <f t="shared" si="11"/>
        <v>471.58597194946231</v>
      </c>
      <c r="CD29" s="59">
        <f ca="1">AVERAGE(OFFSET($CC$3,0,0,'Données projet'!$E$12+1,1))-AVERAGE(OFFSET($H$3,0,0,'Données projet'!$E$12+1,1))</f>
        <v>188.589895905567</v>
      </c>
      <c r="CE29" s="59">
        <f t="shared" si="40"/>
        <v>218.98894871653943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1">
        <f t="shared" si="32"/>
        <v>6.4448920768574434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67">
        <f t="shared" si="1"/>
        <v>302.37025036719342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9.8000000000000007</v>
      </c>
      <c r="N30" s="13">
        <f>IF('Données projet'!$A$36&gt;35,N29+M30-V29,IF(A30&lt;'Données projet'!$A$36,$K$205^A30,IF(A30='Données projet'!$A$36,'Données projet'!$B$36,N29+M30-V29)))</f>
        <v>119.60000000000001</v>
      </c>
      <c r="O30" s="13">
        <f>N30*VLOOKUP('Données projet'!$B$9,Paramètres!$A$1:$I$89,3,0)*VLOOKUP('Données projet'!$B$9,Paramètres!$A$1:$I$89,5,0)</f>
        <v>104.48256000000002</v>
      </c>
      <c r="P30" s="13">
        <f t="shared" si="33"/>
        <v>28.02716504477474</v>
      </c>
      <c r="Q30" s="20">
        <f t="shared" si="2"/>
        <v>230.78777111964939</v>
      </c>
      <c r="R30" s="59">
        <f t="shared" si="0"/>
        <v>520.45443778631602</v>
      </c>
      <c r="S30" s="59">
        <f ca="1">AVERAGE(OFFSET($R$3,0,0,'Données projet'!$E$9+1,1))-AVERAGE(OFFSET($H$3,0,0,'Données projet'!$E$9+1,1))</f>
        <v>265.44504059292035</v>
      </c>
      <c r="T30" s="59">
        <f t="shared" si="34"/>
        <v>272.02069798702723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71.716690190721977</v>
      </c>
      <c r="AO30" s="59">
        <f t="shared" si="36"/>
        <v>388.00050527441761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78.815289543335325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78.815289543335325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71.716690190721977</v>
      </c>
      <c r="BJ30" s="59">
        <f t="shared" si="38"/>
        <v>388.00050527441761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78.815289543335325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78.815289543335325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8.8000000000000007</v>
      </c>
      <c r="BY30" s="12">
        <f>IF('Données projet'!$A$114&gt;35,BY29+BX30-CG29,IF(A30&lt;'Données projet'!$A$114,$BV$205^A30,IF(A30='Données projet'!$A$114,'Données projet'!$B$114,BY29+BX30-CG29)))</f>
        <v>134.6</v>
      </c>
      <c r="BZ30" s="13">
        <f>BY30*VLOOKUP('Données projet'!$B$12,Paramètres!$A$1:$I$89,3,0)*VLOOKUP('Données projet'!$B$12,Paramètres!$A$1:$I$89,5,0)</f>
        <v>88.189920000000001</v>
      </c>
      <c r="CA30" s="13">
        <f t="shared" si="39"/>
        <v>24.128162431798632</v>
      </c>
      <c r="CB30" s="20">
        <f t="shared" si="10"/>
        <v>195.62066023538262</v>
      </c>
      <c r="CC30" s="59">
        <f t="shared" si="11"/>
        <v>485.2873269020493</v>
      </c>
      <c r="CD30" s="59">
        <f ca="1">AVERAGE(OFFSET($CC$3,0,0,'Données projet'!$E$12+1,1))-AVERAGE(OFFSET($H$3,0,0,'Données projet'!$E$12+1,1))</f>
        <v>188.589895905567</v>
      </c>
      <c r="CE30" s="59">
        <f t="shared" si="40"/>
        <v>218.98894871653943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1">
        <f t="shared" si="32"/>
        <v>6.6553586445673751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67">
        <f t="shared" si="1"/>
        <v>304.01380297262153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9.8000000000000007</v>
      </c>
      <c r="N31" s="13">
        <f>IF('Données projet'!$A$36&gt;35,N30+M31-V30,IF(A31&lt;'Données projet'!$A$36,$K$205^A31,IF(A31='Données projet'!$A$36,'Données projet'!$B$36,N30+M31-V30)))</f>
        <v>129.4</v>
      </c>
      <c r="O31" s="13">
        <f>N31*VLOOKUP('Données projet'!$B$9,Paramètres!$A$1:$I$89,3,0)*VLOOKUP('Données projet'!$B$9,Paramètres!$A$1:$I$89,5,0)</f>
        <v>113.04384000000002</v>
      </c>
      <c r="P31" s="13">
        <f t="shared" si="33"/>
        <v>30.046993788338579</v>
      </c>
      <c r="Q31" s="20">
        <f t="shared" si="2"/>
        <v>249.2165355146897</v>
      </c>
      <c r="R31" s="59">
        <f t="shared" si="0"/>
        <v>540.10542440357858</v>
      </c>
      <c r="S31" s="59">
        <f ca="1">AVERAGE(OFFSET($R$3,0,0,'Données projet'!$E$9+1,1))-AVERAGE(OFFSET($H$3,0,0,'Données projet'!$E$9+1,1))</f>
        <v>265.44504059292035</v>
      </c>
      <c r="T31" s="59">
        <f t="shared" si="34"/>
        <v>272.02069798702723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71.716690190721977</v>
      </c>
      <c r="AO31" s="59">
        <f t="shared" si="36"/>
        <v>388.00050527441761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77.269769787970361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77.269769787970361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71.716690190721977</v>
      </c>
      <c r="BJ31" s="59">
        <f t="shared" si="38"/>
        <v>388.00050527441761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77.269769787970361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77.269769787970361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8.8000000000000007</v>
      </c>
      <c r="BY31" s="12">
        <f>IF('Données projet'!$A$114&gt;35,BY30+BX31-CG30,IF(A31&lt;'Données projet'!$A$114,$BV$205^A31,IF(A31='Données projet'!$A$114,'Données projet'!$B$114,BY30+BX31-CG30)))</f>
        <v>143.4</v>
      </c>
      <c r="BZ31" s="13">
        <f>BY31*VLOOKUP('Données projet'!$B$12,Paramètres!$A$1:$I$89,3,0)*VLOOKUP('Données projet'!$B$12,Paramètres!$A$1:$I$89,5,0)</f>
        <v>93.955680000000001</v>
      </c>
      <c r="CA31" s="13">
        <f t="shared" si="39"/>
        <v>25.516838392731955</v>
      </c>
      <c r="CB31" s="20">
        <f t="shared" si="10"/>
        <v>208.08130286734149</v>
      </c>
      <c r="CC31" s="59">
        <f t="shared" si="11"/>
        <v>498.97019175623035</v>
      </c>
      <c r="CD31" s="59">
        <f ca="1">AVERAGE(OFFSET($CC$3,0,0,'Données projet'!$E$12+1,1))-AVERAGE(OFFSET($H$3,0,0,'Données projet'!$E$12+1,1))</f>
        <v>188.589895905567</v>
      </c>
      <c r="CE31" s="59">
        <f t="shared" si="40"/>
        <v>218.98894871653943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1">
        <f t="shared" si="32"/>
        <v>6.864951892683286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67">
        <f t="shared" si="1"/>
        <v>305.65583454642342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9.8000000000000007</v>
      </c>
      <c r="N32" s="13">
        <f>IF('Données projet'!$A$36&gt;35,N31+M32-V31,IF(A32&lt;'Données projet'!$A$36,$K$205^A32,IF(A32='Données projet'!$A$36,'Données projet'!$B$36,N31+M32-V31)))</f>
        <v>139.20000000000002</v>
      </c>
      <c r="O32" s="13">
        <f>N32*VLOOKUP('Données projet'!$B$9,Paramètres!$A$1:$I$89,3,0)*VLOOKUP('Données projet'!$B$9,Paramètres!$A$1:$I$89,5,0)</f>
        <v>121.60512000000003</v>
      </c>
      <c r="P32" s="13">
        <f t="shared" si="33"/>
        <v>32.049077176455789</v>
      </c>
      <c r="Q32" s="20">
        <f t="shared" si="2"/>
        <v>267.61439341566057</v>
      </c>
      <c r="R32" s="59">
        <f t="shared" si="0"/>
        <v>559.72550452677172</v>
      </c>
      <c r="S32" s="59">
        <f ca="1">AVERAGE(OFFSET($R$3,0,0,'Données projet'!$E$9+1,1))-AVERAGE(OFFSET($H$3,0,0,'Données projet'!$E$9+1,1))</f>
        <v>265.44504059292035</v>
      </c>
      <c r="T32" s="59">
        <f t="shared" si="34"/>
        <v>272.02069798702723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71.716690190721977</v>
      </c>
      <c r="AO32" s="59">
        <f t="shared" si="36"/>
        <v>388.00050527441761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75.754556732334137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75.754556732334137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71.716690190721977</v>
      </c>
      <c r="BJ32" s="59">
        <f t="shared" si="38"/>
        <v>388.00050527441761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75.754556732334137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75.754556732334137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8.8000000000000007</v>
      </c>
      <c r="BY32" s="12">
        <f>IF('Données projet'!$A$114&gt;35,BY31+BX32-CG31,IF(A32&lt;'Données projet'!$A$114,$BV$205^A32,IF(A32='Données projet'!$A$114,'Données projet'!$B$114,BY31+BX32-CG31)))</f>
        <v>152.20000000000002</v>
      </c>
      <c r="BZ32" s="13">
        <f>BY32*VLOOKUP('Données projet'!$B$12,Paramètres!$A$1:$I$89,3,0)*VLOOKUP('Données projet'!$B$12,Paramètres!$A$1:$I$89,5,0)</f>
        <v>99.721440000000015</v>
      </c>
      <c r="CA32" s="13">
        <f t="shared" si="39"/>
        <v>26.895623699520389</v>
      </c>
      <c r="CB32" s="20">
        <f t="shared" si="10"/>
        <v>220.52471927666468</v>
      </c>
      <c r="CC32" s="59">
        <f t="shared" si="11"/>
        <v>512.63583038777585</v>
      </c>
      <c r="CD32" s="59">
        <f ca="1">AVERAGE(OFFSET($CC$3,0,0,'Données projet'!$E$12+1,1))-AVERAGE(OFFSET($H$3,0,0,'Données projet'!$E$12+1,1))</f>
        <v>188.589895905567</v>
      </c>
      <c r="CE32" s="59">
        <f t="shared" si="40"/>
        <v>218.98894871653943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1">
        <f t="shared" si="32"/>
        <v>7.0737053871356732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67">
        <f t="shared" si="1"/>
        <v>307.2964035492613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9.8000000000000007</v>
      </c>
      <c r="M33" s="12">
        <f t="array" ref="M33">INDEX(L:L,MIN(IF(ISNUMBER(L33:L229),ROW(L33:L229),"")))</f>
        <v>9.8000000000000007</v>
      </c>
      <c r="N33" s="13">
        <f>IF('Données projet'!$A$36&gt;35,N32+M33-V32,IF(A33&lt;'Données projet'!$A$36,$K$205^A33,IF(A33='Données projet'!$A$36,'Données projet'!$B$36,N32+M33-V32)))</f>
        <v>149.00000000000003</v>
      </c>
      <c r="O33" s="13">
        <f>N33*VLOOKUP('Données projet'!$B$9,Paramètres!$A$1:$I$89,3,0)*VLOOKUP('Données projet'!$B$9,Paramètres!$A$1:$I$89,5,0)</f>
        <v>130.16640000000004</v>
      </c>
      <c r="P33" s="13">
        <f t="shared" si="33"/>
        <v>34.034806623706302</v>
      </c>
      <c r="Q33" s="20">
        <f t="shared" si="2"/>
        <v>285.98376820295522</v>
      </c>
      <c r="R33" s="59">
        <f t="shared" si="0"/>
        <v>579.31710153628853</v>
      </c>
      <c r="S33" s="59">
        <f ca="1">AVERAGE(OFFSET($R$3,0,0,'Données projet'!$E$9+1,1))-AVERAGE(OFFSET($H$3,0,0,'Données projet'!$E$9+1,1))</f>
        <v>265.44504059292035</v>
      </c>
      <c r="T33" s="59">
        <f t="shared" si="34"/>
        <v>272.02069798702723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71.716690190721977</v>
      </c>
      <c r="AO33" s="59">
        <f t="shared" si="36"/>
        <v>388.00050527441761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74.269056080530234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74.269056080530234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71.716690190721977</v>
      </c>
      <c r="BJ33" s="59">
        <f t="shared" si="38"/>
        <v>388.00050527441761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74.269056080530234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74.269056080530234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161</v>
      </c>
      <c r="BW33" s="12">
        <f>VLOOKUP(A33,'Données projet'!$A$113:$I$133,9,0)</f>
        <v>8.8000000000000007</v>
      </c>
      <c r="BX33" s="12">
        <f t="array" ref="BX33">INDEX(BW:BW,MIN(IF(ISNUMBER(BW33:BW229),ROW(BW33:BW229),"")))</f>
        <v>8.8000000000000007</v>
      </c>
      <c r="BY33" s="12">
        <f>IF('Données projet'!$A$114&gt;35,BY32+BX33-CG32,IF(A33&lt;'Données projet'!$A$114,$BV$205^A33,IF(A33='Données projet'!$A$114,'Données projet'!$B$114,BY32+BX33-CG32)))</f>
        <v>161.00000000000003</v>
      </c>
      <c r="BZ33" s="13">
        <f>BY33*VLOOKUP('Données projet'!$B$12,Paramètres!$A$1:$I$89,3,0)*VLOOKUP('Données projet'!$B$12,Paramètres!$A$1:$I$89,5,0)</f>
        <v>105.48720000000002</v>
      </c>
      <c r="CA33" s="13">
        <f t="shared" si="39"/>
        <v>28.265155367923839</v>
      </c>
      <c r="CB33" s="20">
        <f t="shared" si="10"/>
        <v>232.95201893246738</v>
      </c>
      <c r="CC33" s="59">
        <f t="shared" si="11"/>
        <v>526.28535226580073</v>
      </c>
      <c r="CD33" s="59">
        <f ca="1">AVERAGE(OFFSET($CC$3,0,0,'Données projet'!$E$12+1,1))-AVERAGE(OFFSET($H$3,0,0,'Données projet'!$E$12+1,1))</f>
        <v>188.589895905567</v>
      </c>
      <c r="CE33" s="59">
        <f t="shared" si="40"/>
        <v>218.98894871653943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23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1">
        <f t="shared" si="32"/>
        <v>7.2816503291468493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67">
        <f t="shared" si="1"/>
        <v>308.93556432326409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9.1999999999999993</v>
      </c>
      <c r="N34" s="13">
        <f>IF('Données projet'!$A$36&gt;35,N33+M34-V33,IF(A34&lt;'Données projet'!$A$36,$K$205^A34,IF(A34='Données projet'!$A$36,'Données projet'!$B$36,N33+M34-V33)))</f>
        <v>131.20000000000002</v>
      </c>
      <c r="O34" s="13">
        <f>N34*VLOOKUP('Données projet'!$B$9,Paramètres!$A$1:$I$89,3,0)*VLOOKUP('Données projet'!$B$9,Paramètres!$A$1:$I$89,5,0)</f>
        <v>114.61632000000004</v>
      </c>
      <c r="P34" s="13">
        <f t="shared" si="33"/>
        <v>30.416009647934409</v>
      </c>
      <c r="Q34" s="20">
        <f t="shared" si="2"/>
        <v>252.59797413681915</v>
      </c>
      <c r="R34" s="59">
        <f t="shared" si="0"/>
        <v>545.93130747015243</v>
      </c>
      <c r="S34" s="59">
        <f ca="1">AVERAGE(OFFSET($R$3,0,0,'Données projet'!$E$9+1,1))-AVERAGE(OFFSET($H$3,0,0,'Données projet'!$E$9+1,1))</f>
        <v>265.44504059292035</v>
      </c>
      <c r="T34" s="59">
        <f t="shared" si="34"/>
        <v>272.02069798702723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71.716690190721977</v>
      </c>
      <c r="AO34" s="59">
        <f t="shared" si="36"/>
        <v>388.00050527441761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72.812685190442281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72.812685190442281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71.716690190721977</v>
      </c>
      <c r="BJ34" s="59">
        <f t="shared" si="38"/>
        <v>388.00050527441761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72.812685190442281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72.812685190442281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8.6</v>
      </c>
      <c r="BY34" s="12">
        <f>IF('Données projet'!$A$114&gt;35,BY33+BX34-CG33,IF(A34&lt;'Données projet'!$A$114,$BV$205^A34,IF(A34='Données projet'!$A$114,'Données projet'!$B$114,BY33+BX34-CG33)))</f>
        <v>146.60000000000002</v>
      </c>
      <c r="BZ34" s="13">
        <f>BY34*VLOOKUP('Données projet'!$B$12,Paramètres!$A$1:$I$89,3,0)*VLOOKUP('Données projet'!$B$12,Paramètres!$A$1:$I$89,5,0)</f>
        <v>96.052320000000023</v>
      </c>
      <c r="CA34" s="13">
        <f t="shared" si="39"/>
        <v>26.019324001860248</v>
      </c>
      <c r="CB34" s="20">
        <f t="shared" si="10"/>
        <v>212.60811330323997</v>
      </c>
      <c r="CC34" s="59">
        <f t="shared" si="11"/>
        <v>505.94144663657329</v>
      </c>
      <c r="CD34" s="59">
        <f ca="1">AVERAGE(OFFSET($CC$3,0,0,'Données projet'!$E$12+1,1))-AVERAGE(OFFSET($H$3,0,0,'Données projet'!$E$12+1,1))</f>
        <v>188.589895905567</v>
      </c>
      <c r="CE34" s="59">
        <f t="shared" si="40"/>
        <v>218.98894871653943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1">
        <f t="shared" si="32"/>
        <v>7.4888157926750578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67">
        <f t="shared" si="1"/>
        <v>310.57336750557573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9.1999999999999993</v>
      </c>
      <c r="N35" s="13">
        <f>IF('Données projet'!$A$36&gt;35,N34+M35-V34,IF(A35&lt;'Données projet'!$A$36,$K$205^A35,IF(A35='Données projet'!$A$36,'Données projet'!$B$36,N34+M35-V34)))</f>
        <v>140.4</v>
      </c>
      <c r="O35" s="13">
        <f>N35*VLOOKUP('Données projet'!$B$9,Paramètres!$A$1:$I$89,3,0)*VLOOKUP('Données projet'!$B$9,Paramètres!$A$1:$I$89,5,0)</f>
        <v>122.65344000000002</v>
      </c>
      <c r="P35" s="13">
        <f t="shared" si="33"/>
        <v>32.293080640759037</v>
      </c>
      <c r="Q35" s="20">
        <f t="shared" ref="Q35:Q66" si="53">(O35+P35)*0.475*44/12</f>
        <v>269.8651901159887</v>
      </c>
      <c r="R35" s="59">
        <f t="shared" si="0"/>
        <v>563.19852344932201</v>
      </c>
      <c r="S35" s="59">
        <f ca="1">AVERAGE(OFFSET($R$3,0,0,'Données projet'!$E$9+1,1))-AVERAGE(OFFSET($H$3,0,0,'Données projet'!$E$9+1,1))</f>
        <v>265.44504059292035</v>
      </c>
      <c r="T35" s="59">
        <f t="shared" si="34"/>
        <v>272.02069798702723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71.716690190721977</v>
      </c>
      <c r="AO35" s="59">
        <f t="shared" si="36"/>
        <v>388.00050527441761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71.384872845210424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71.384872845210424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71.716690190721977</v>
      </c>
      <c r="BJ35" s="59">
        <f t="shared" si="38"/>
        <v>388.00050527441761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71.384872845210424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71.384872845210424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8.6</v>
      </c>
      <c r="BY35" s="12">
        <f>IF('Données projet'!$A$114&gt;35,BY34+BX35-CG34,IF(A35&lt;'Données projet'!$A$114,$BV$205^A35,IF(A35='Données projet'!$A$114,'Données projet'!$B$114,BY34+BX35-CG34)))</f>
        <v>155.20000000000002</v>
      </c>
      <c r="BZ35" s="13">
        <f>BY35*VLOOKUP('Données projet'!$B$12,Paramètres!$A$1:$I$89,3,0)*VLOOKUP('Données projet'!$B$12,Paramètres!$A$1:$I$89,5,0)</f>
        <v>101.68704000000002</v>
      </c>
      <c r="CA35" s="13">
        <f t="shared" si="39"/>
        <v>27.363519398004541</v>
      </c>
      <c r="CB35" s="20">
        <f t="shared" si="10"/>
        <v>224.76305761819128</v>
      </c>
      <c r="CC35" s="59">
        <f t="shared" si="11"/>
        <v>518.09639095152465</v>
      </c>
      <c r="CD35" s="59">
        <f ca="1">AVERAGE(OFFSET($CC$3,0,0,'Données projet'!$E$12+1,1))-AVERAGE(OFFSET($H$3,0,0,'Données projet'!$E$12+1,1))</f>
        <v>188.589895905567</v>
      </c>
      <c r="CE35" s="59">
        <f t="shared" si="40"/>
        <v>218.98894871653943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1">
        <f t="shared" si="32"/>
        <v>7.6952289313442845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67">
        <f t="shared" si="1"/>
        <v>312.20986038875799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9.1999999999999993</v>
      </c>
      <c r="N36" s="13">
        <f>IF('Données projet'!$A$36&gt;35,N35+M36-V35,IF(A36&lt;'Données projet'!$A$36,$K$205^A36,IF(A36='Données projet'!$A$36,'Données projet'!$B$36,N35+M36-V35)))</f>
        <v>149.6</v>
      </c>
      <c r="O36" s="13">
        <f>N36*VLOOKUP('Données projet'!$B$9,Paramètres!$A$1:$I$89,3,0)*VLOOKUP('Données projet'!$B$9,Paramètres!$A$1:$I$89,5,0)</f>
        <v>130.69056000000003</v>
      </c>
      <c r="P36" s="13">
        <f t="shared" si="33"/>
        <v>34.155878238422723</v>
      </c>
      <c r="Q36" s="20">
        <f t="shared" si="53"/>
        <v>287.10754659858628</v>
      </c>
      <c r="R36" s="59">
        <f t="shared" si="0"/>
        <v>580.44087993191965</v>
      </c>
      <c r="S36" s="59">
        <f ca="1">AVERAGE(OFFSET($R$3,0,0,'Données projet'!$E$9+1,1))-AVERAGE(OFFSET($H$3,0,0,'Données projet'!$E$9+1,1))</f>
        <v>265.44504059292035</v>
      </c>
      <c r="T36" s="59">
        <f t="shared" si="34"/>
        <v>272.02069798702723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71.716690190721977</v>
      </c>
      <c r="AO36" s="59">
        <f t="shared" si="36"/>
        <v>388.00050527441761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69.985059029189017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69.985059029189017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71.716690190721977</v>
      </c>
      <c r="BJ36" s="59">
        <f t="shared" si="38"/>
        <v>388.00050527441761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69.985059029189017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69.985059029189017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8.6</v>
      </c>
      <c r="BY36" s="12">
        <f>IF('Données projet'!$A$114&gt;35,BY35+BX36-CG35,IF(A36&lt;'Données projet'!$A$114,$BV$205^A36,IF(A36='Données projet'!$A$114,'Données projet'!$B$114,BY35+BX36-CG35)))</f>
        <v>163.80000000000001</v>
      </c>
      <c r="BZ36" s="13">
        <f>BY36*VLOOKUP('Données projet'!$B$12,Paramètres!$A$1:$I$89,3,0)*VLOOKUP('Données projet'!$B$12,Paramètres!$A$1:$I$89,5,0)</f>
        <v>107.32176000000001</v>
      </c>
      <c r="CA36" s="13">
        <f t="shared" si="39"/>
        <v>28.699067963776873</v>
      </c>
      <c r="CB36" s="20">
        <f t="shared" si="10"/>
        <v>236.90294203691141</v>
      </c>
      <c r="CC36" s="59">
        <f t="shared" si="11"/>
        <v>530.2362753702447</v>
      </c>
      <c r="CD36" s="59">
        <f ca="1">AVERAGE(OFFSET($CC$3,0,0,'Données projet'!$E$12+1,1))-AVERAGE(OFFSET($H$3,0,0,'Données projet'!$E$12+1,1))</f>
        <v>188.589895905567</v>
      </c>
      <c r="CE36" s="59">
        <f t="shared" si="40"/>
        <v>218.98894871653943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1">
        <f t="shared" si="32"/>
        <v>7.9009151595869396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67">
        <f t="shared" si="1"/>
        <v>313.84508723628062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9.1999999999999993</v>
      </c>
      <c r="N37" s="13">
        <f>IF('Données projet'!$A$36&gt;35,N36+M37-V36,IF(A37&lt;'Données projet'!$A$36,$K$205^A37,IF(A37='Données projet'!$A$36,'Données projet'!$B$36,N36+M37-V36)))</f>
        <v>158.79999999999998</v>
      </c>
      <c r="O37" s="13">
        <f>N37*VLOOKUP('Données projet'!$B$9,Paramètres!$A$1:$I$89,3,0)*VLOOKUP('Données projet'!$B$9,Paramètres!$A$1:$I$89,5,0)</f>
        <v>138.72767999999999</v>
      </c>
      <c r="P37" s="13">
        <f t="shared" si="33"/>
        <v>36.005380160492741</v>
      </c>
      <c r="Q37" s="20">
        <f t="shared" si="53"/>
        <v>304.32674644619152</v>
      </c>
      <c r="R37" s="59">
        <f t="shared" si="0"/>
        <v>597.66007977952484</v>
      </c>
      <c r="S37" s="59">
        <f ca="1">AVERAGE(OFFSET($R$3,0,0,'Données projet'!$E$9+1,1))-AVERAGE(OFFSET($H$3,0,0,'Données projet'!$E$9+1,1))</f>
        <v>265.44504059292035</v>
      </c>
      <c r="T37" s="59">
        <f t="shared" si="34"/>
        <v>272.02069798702723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71.716690190721977</v>
      </c>
      <c r="AO37" s="59">
        <f t="shared" si="36"/>
        <v>388.00050527441761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68.612694708297667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68.612694708297667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71.716690190721977</v>
      </c>
      <c r="BJ37" s="59">
        <f t="shared" si="38"/>
        <v>388.00050527441761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68.612694708297667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68.612694708297667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8.6</v>
      </c>
      <c r="BY37" s="12">
        <f>IF('Données projet'!$A$114&gt;35,BY36+BX37-CG36,IF(A37&lt;'Données projet'!$A$114,$BV$205^A37,IF(A37='Données projet'!$A$114,'Données projet'!$B$114,BY36+BX37-CG36)))</f>
        <v>172.4</v>
      </c>
      <c r="BZ37" s="13">
        <f>BY37*VLOOKUP('Données projet'!$B$12,Paramètres!$A$1:$I$89,3,0)*VLOOKUP('Données projet'!$B$12,Paramètres!$A$1:$I$89,5,0)</f>
        <v>112.95648</v>
      </c>
      <c r="CA37" s="13">
        <f t="shared" si="39"/>
        <v>30.026475458997034</v>
      </c>
      <c r="CB37" s="20">
        <f t="shared" si="10"/>
        <v>249.0286474244198</v>
      </c>
      <c r="CC37" s="59">
        <f t="shared" si="11"/>
        <v>542.36198075775314</v>
      </c>
      <c r="CD37" s="59">
        <f ca="1">AVERAGE(OFFSET($CC$3,0,0,'Données projet'!$E$12+1,1))-AVERAGE(OFFSET($H$3,0,0,'Données projet'!$E$12+1,1))</f>
        <v>188.589895905567</v>
      </c>
      <c r="CE37" s="59">
        <f t="shared" si="40"/>
        <v>218.98894871653943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1">
        <f t="shared" si="32"/>
        <v>8.1058983118768086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67">
        <f t="shared" si="1"/>
        <v>315.47908955985213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168</v>
      </c>
      <c r="L38" s="12">
        <f>VLOOKUP(A38,'Données projet'!$A$35:$I$55,9,0)</f>
        <v>9.1999999999999993</v>
      </c>
      <c r="M38" s="12">
        <f t="array" ref="M38">INDEX(L:L,MIN(IF(ISNUMBER(L38:L234),ROW(L38:L234),"")))</f>
        <v>9.1999999999999993</v>
      </c>
      <c r="N38" s="13">
        <f>IF('Données projet'!$A$36&gt;35,N37+M38-V37,IF(A38&lt;'Données projet'!$A$36,$K$205^A38,IF(A38='Données projet'!$A$36,'Données projet'!$B$36,N37+M38-V37)))</f>
        <v>167.99999999999997</v>
      </c>
      <c r="O38" s="13">
        <f>N38*VLOOKUP('Données projet'!$B$9,Paramètres!$A$1:$I$89,3,0)*VLOOKUP('Données projet'!$B$9,Paramètres!$A$1:$I$89,5,0)</f>
        <v>146.76480000000001</v>
      </c>
      <c r="P38" s="13">
        <f t="shared" si="33"/>
        <v>37.842444439956665</v>
      </c>
      <c r="Q38" s="20">
        <f t="shared" si="53"/>
        <v>321.52428406625785</v>
      </c>
      <c r="R38" s="59">
        <f t="shared" si="0"/>
        <v>614.85761739959116</v>
      </c>
      <c r="S38" s="59">
        <f ca="1">AVERAGE(OFFSET($R$3,0,0,'Données projet'!$E$9+1,1))-AVERAGE(OFFSET($H$3,0,0,'Données projet'!$E$9+1,1))</f>
        <v>265.44504059292035</v>
      </c>
      <c r="T38" s="59">
        <f t="shared" si="34"/>
        <v>272.02069798702723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27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71.716690190721977</v>
      </c>
      <c r="AO38" s="59">
        <f t="shared" si="36"/>
        <v>388.00050527441761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67.267241614679421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67.267241614679421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71.716690190721977</v>
      </c>
      <c r="BJ38" s="59">
        <f t="shared" si="38"/>
        <v>388.00050527441761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67.267241614679421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67.267241614679421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181</v>
      </c>
      <c r="BW38" s="12">
        <f>VLOOKUP(A38,'Données projet'!$A$113:$I$133,9,0)</f>
        <v>8.6</v>
      </c>
      <c r="BX38" s="12">
        <f t="array" ref="BX38">INDEX(BW:BW,MIN(IF(ISNUMBER(BW38:BW234),ROW(BW38:BW234),"")))</f>
        <v>8.6</v>
      </c>
      <c r="BY38" s="12">
        <f>IF('Données projet'!$A$114&gt;35,BY37+BX38-CG37,IF(A38&lt;'Données projet'!$A$114,$BV$205^A38,IF(A38='Données projet'!$A$114,'Données projet'!$B$114,BY37+BX38-CG37)))</f>
        <v>181</v>
      </c>
      <c r="BZ38" s="13">
        <f>BY38*VLOOKUP('Données projet'!$B$12,Paramètres!$A$1:$I$89,3,0)*VLOOKUP('Données projet'!$B$12,Paramètres!$A$1:$I$89,5,0)</f>
        <v>118.5912</v>
      </c>
      <c r="CA38" s="13">
        <f t="shared" si="39"/>
        <v>31.346194334434067</v>
      </c>
      <c r="CB38" s="20">
        <f t="shared" si="10"/>
        <v>261.14096179913935</v>
      </c>
      <c r="CC38" s="59">
        <f t="shared" si="11"/>
        <v>554.47429513247266</v>
      </c>
      <c r="CD38" s="59">
        <f ca="1">AVERAGE(OFFSET($CC$3,0,0,'Données projet'!$E$12+1,1))-AVERAGE(OFFSET($H$3,0,0,'Données projet'!$E$12+1,1))</f>
        <v>188.589895905567</v>
      </c>
      <c r="CE38" s="59">
        <f t="shared" si="40"/>
        <v>218.98894871653943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25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1">
        <f t="shared" si="32"/>
        <v>8.3102007832524443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67">
        <f t="shared" si="1"/>
        <v>317.11190636416472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8.8000000000000007</v>
      </c>
      <c r="N39" s="13">
        <f>IF('Données projet'!$A$36&gt;35,N38+M39-V38,IF(A39&lt;'Données projet'!$A$36,$K$205^A39,IF(A39='Données projet'!$A$36,'Données projet'!$B$36,N38+M39-V38)))</f>
        <v>149.79999999999998</v>
      </c>
      <c r="O39" s="13">
        <f>N39*VLOOKUP('Données projet'!$B$9,Paramètres!$A$1:$I$89,3,0)*VLOOKUP('Données projet'!$B$9,Paramètres!$A$1:$I$89,5,0)</f>
        <v>130.86528000000001</v>
      </c>
      <c r="P39" s="13">
        <f t="shared" si="33"/>
        <v>34.19622287336729</v>
      </c>
      <c r="Q39" s="20">
        <f t="shared" si="53"/>
        <v>287.48211750444801</v>
      </c>
      <c r="R39" s="59">
        <f t="shared" si="0"/>
        <v>580.81545083778133</v>
      </c>
      <c r="S39" s="59">
        <f ca="1">AVERAGE(OFFSET($R$3,0,0,'Données projet'!$E$9+1,1))-AVERAGE(OFFSET($H$3,0,0,'Données projet'!$E$9+1,1))</f>
        <v>265.44504059292035</v>
      </c>
      <c r="T39" s="59">
        <f t="shared" si="34"/>
        <v>272.02069798702723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71.716690190721977</v>
      </c>
      <c r="AO39" s="59">
        <f t="shared" si="36"/>
        <v>388.00050527441761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65.948172035581663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65.948172035581663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71.716690190721977</v>
      </c>
      <c r="BJ39" s="59">
        <f t="shared" si="38"/>
        <v>388.00050527441761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65.948172035581663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65.948172035581663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7.8</v>
      </c>
      <c r="BY39" s="12">
        <f>IF('Données projet'!$A$114&gt;35,BY38+BX39-CG38,IF(A39&lt;'Données projet'!$A$114,$BV$205^A39,IF(A39='Données projet'!$A$114,'Données projet'!$B$114,BY38+BX39-CG38)))</f>
        <v>163.80000000000001</v>
      </c>
      <c r="BZ39" s="13">
        <f>BY39*VLOOKUP('Données projet'!$B$12,Paramètres!$A$1:$I$89,3,0)*VLOOKUP('Données projet'!$B$12,Paramètres!$A$1:$I$89,5,0)</f>
        <v>107.32176000000001</v>
      </c>
      <c r="CA39" s="13">
        <f t="shared" si="39"/>
        <v>28.699067963776873</v>
      </c>
      <c r="CB39" s="20">
        <f t="shared" si="10"/>
        <v>236.90294203691141</v>
      </c>
      <c r="CC39" s="59">
        <f t="shared" si="11"/>
        <v>530.2362753702447</v>
      </c>
      <c r="CD39" s="59">
        <f ca="1">AVERAGE(OFFSET($CC$3,0,0,'Données projet'!$E$12+1,1))-AVERAGE(OFFSET($H$3,0,0,'Données projet'!$E$12+1,1))</f>
        <v>188.589895905567</v>
      </c>
      <c r="CE39" s="59">
        <f t="shared" si="40"/>
        <v>218.98894871653943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1">
        <f t="shared" si="32"/>
        <v>8.5138436537878803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67">
        <f t="shared" si="1"/>
        <v>318.74357436368058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8.8000000000000007</v>
      </c>
      <c r="N40" s="13">
        <f>IF('Données projet'!$A$36&gt;35,N39+M40-V39,IF(A40&lt;'Données projet'!$A$36,$K$205^A40,IF(A40='Données projet'!$A$36,'Données projet'!$B$36,N39+M40-V39)))</f>
        <v>158.6</v>
      </c>
      <c r="O40" s="13">
        <f>N40*VLOOKUP('Données projet'!$B$9,Paramètres!$A$1:$I$89,3,0)*VLOOKUP('Données projet'!$B$9,Paramètres!$A$1:$I$89,5,0)</f>
        <v>138.55296000000001</v>
      </c>
      <c r="P40" s="13">
        <f t="shared" si="33"/>
        <v>35.965308766301796</v>
      </c>
      <c r="Q40" s="20">
        <f t="shared" si="53"/>
        <v>303.95265143464229</v>
      </c>
      <c r="R40" s="59">
        <f t="shared" si="0"/>
        <v>597.28598476797561</v>
      </c>
      <c r="S40" s="59">
        <f ca="1">AVERAGE(OFFSET($R$3,0,0,'Données projet'!$E$9+1,1))-AVERAGE(OFFSET($H$3,0,0,'Données projet'!$E$9+1,1))</f>
        <v>265.44504059292035</v>
      </c>
      <c r="T40" s="59">
        <f t="shared" si="34"/>
        <v>272.02069798702723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71.716690190721977</v>
      </c>
      <c r="AO40" s="59">
        <f t="shared" si="36"/>
        <v>388.00050527441761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64.654968606377011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64.654968606377011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71.716690190721977</v>
      </c>
      <c r="BJ40" s="59">
        <f t="shared" si="38"/>
        <v>388.00050527441761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64.654968606377011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64.654968606377011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7.8</v>
      </c>
      <c r="BY40" s="12">
        <f>IF('Données projet'!$A$114&gt;35,BY39+BX40-CG39,IF(A40&lt;'Données projet'!$A$114,$BV$205^A40,IF(A40='Données projet'!$A$114,'Données projet'!$B$114,BY39+BX40-CG39)))</f>
        <v>171.60000000000002</v>
      </c>
      <c r="BZ40" s="13">
        <f>BY40*VLOOKUP('Données projet'!$B$12,Paramètres!$A$1:$I$89,3,0)*VLOOKUP('Données projet'!$B$12,Paramètres!$A$1:$I$89,5,0)</f>
        <v>112.43232</v>
      </c>
      <c r="CA40" s="13">
        <f t="shared" si="39"/>
        <v>29.903326635598326</v>
      </c>
      <c r="CB40" s="20">
        <f t="shared" si="10"/>
        <v>247.90125122366706</v>
      </c>
      <c r="CC40" s="59">
        <f t="shared" si="11"/>
        <v>541.2345845570004</v>
      </c>
      <c r="CD40" s="59">
        <f ca="1">AVERAGE(OFFSET($CC$3,0,0,'Données projet'!$E$12+1,1))-AVERAGE(OFFSET($H$3,0,0,'Données projet'!$E$12+1,1))</f>
        <v>188.589895905567</v>
      </c>
      <c r="CE40" s="59">
        <f t="shared" si="40"/>
        <v>218.98894871653943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1">
        <f t="shared" si="32"/>
        <v>8.7168467992286693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67">
        <f t="shared" si="1"/>
        <v>320.37412817532328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8.8000000000000007</v>
      </c>
      <c r="N41" s="13">
        <f>IF('Données projet'!$A$36&gt;35,N40+M41-V40,IF(A41&lt;'Données projet'!$A$36,$K$205^A41,IF(A41='Données projet'!$A$36,'Données projet'!$B$36,N40+M41-V40)))</f>
        <v>167.4</v>
      </c>
      <c r="O41" s="13">
        <f>N41*VLOOKUP('Données projet'!$B$9,Paramètres!$A$1:$I$89,3,0)*VLOOKUP('Données projet'!$B$9,Paramètres!$A$1:$I$89,5,0)</f>
        <v>146.24064000000001</v>
      </c>
      <c r="P41" s="13">
        <f t="shared" si="33"/>
        <v>37.722999642090628</v>
      </c>
      <c r="Q41" s="20">
        <f t="shared" si="53"/>
        <v>320.40333904330788</v>
      </c>
      <c r="R41" s="59">
        <f t="shared" si="0"/>
        <v>613.7366723766412</v>
      </c>
      <c r="S41" s="59">
        <f ca="1">AVERAGE(OFFSET($R$3,0,0,'Données projet'!$E$9+1,1))-AVERAGE(OFFSET($H$3,0,0,'Données projet'!$E$9+1,1))</f>
        <v>265.44504059292035</v>
      </c>
      <c r="T41" s="59">
        <f t="shared" si="34"/>
        <v>272.02069798702723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71.716690190721977</v>
      </c>
      <c r="AO41" s="59">
        <f t="shared" si="36"/>
        <v>388.00050527441761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63.387124107642862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63.387124107642862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71.716690190721977</v>
      </c>
      <c r="BJ41" s="59">
        <f t="shared" si="38"/>
        <v>388.00050527441761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63.387124107642862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63.387124107642862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7.8</v>
      </c>
      <c r="BY41" s="12">
        <f>IF('Données projet'!$A$114&gt;35,BY40+BX41-CG40,IF(A41&lt;'Données projet'!$A$114,$BV$205^A41,IF(A41='Données projet'!$A$114,'Données projet'!$B$114,BY40+BX41-CG40)))</f>
        <v>179.40000000000003</v>
      </c>
      <c r="BZ41" s="13">
        <f>BY41*VLOOKUP('Données projet'!$B$12,Paramètres!$A$1:$I$89,3,0)*VLOOKUP('Données projet'!$B$12,Paramètres!$A$1:$I$89,5,0)</f>
        <v>117.54288000000003</v>
      </c>
      <c r="CA41" s="13">
        <f t="shared" si="39"/>
        <v>31.101228198889224</v>
      </c>
      <c r="CB41" s="20">
        <f t="shared" si="10"/>
        <v>258.88848844639881</v>
      </c>
      <c r="CC41" s="59">
        <f t="shared" si="11"/>
        <v>552.22182177973218</v>
      </c>
      <c r="CD41" s="59">
        <f ca="1">AVERAGE(OFFSET($CC$3,0,0,'Données projet'!$E$12+1,1))-AVERAGE(OFFSET($H$3,0,0,'Données projet'!$E$12+1,1))</f>
        <v>188.589895905567</v>
      </c>
      <c r="CE41" s="59">
        <f t="shared" si="40"/>
        <v>218.98894871653943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1">
        <f t="shared" si="32"/>
        <v>8.9192289896543855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67">
        <f t="shared" si="1"/>
        <v>322.00360049031474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8.8000000000000007</v>
      </c>
      <c r="N42" s="13">
        <f>IF('Données projet'!$A$36&gt;35,N41+M42-V41,IF(A42&lt;'Données projet'!$A$36,$K$205^A42,IF(A42='Données projet'!$A$36,'Données projet'!$B$36,N41+M42-V41)))</f>
        <v>176.20000000000002</v>
      </c>
      <c r="O42" s="13">
        <f>N42*VLOOKUP('Données projet'!$B$9,Paramètres!$A$1:$I$89,3,0)*VLOOKUP('Données projet'!$B$9,Paramètres!$A$1:$I$89,5,0)</f>
        <v>153.92832000000004</v>
      </c>
      <c r="P42" s="13">
        <f t="shared" si="33"/>
        <v>39.469962836517794</v>
      </c>
      <c r="Q42" s="20">
        <f t="shared" si="53"/>
        <v>336.83534260693523</v>
      </c>
      <c r="R42" s="59">
        <f t="shared" si="0"/>
        <v>630.16867594026849</v>
      </c>
      <c r="S42" s="59">
        <f ca="1">AVERAGE(OFFSET($R$3,0,0,'Données projet'!$E$9+1,1))-AVERAGE(OFFSET($H$3,0,0,'Données projet'!$E$9+1,1))</f>
        <v>265.44504059292035</v>
      </c>
      <c r="T42" s="59">
        <f t="shared" si="34"/>
        <v>272.02069798702723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71.716690190721977</v>
      </c>
      <c r="AO42" s="59">
        <f t="shared" si="36"/>
        <v>388.00050527441761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62.144141266220103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62.144141266220103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71.716690190721977</v>
      </c>
      <c r="BJ42" s="59">
        <f t="shared" si="38"/>
        <v>388.00050527441761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62.144141266220103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62.144141266220103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7.8</v>
      </c>
      <c r="BY42" s="12">
        <f>IF('Données projet'!$A$114&gt;35,BY41+BX42-CG41,IF(A42&lt;'Données projet'!$A$114,$BV$205^A42,IF(A42='Données projet'!$A$114,'Données projet'!$B$114,BY41+BX42-CG41)))</f>
        <v>187.20000000000005</v>
      </c>
      <c r="BZ42" s="13">
        <f>BY42*VLOOKUP('Données projet'!$B$12,Paramètres!$A$1:$I$89,3,0)*VLOOKUP('Données projet'!$B$12,Paramètres!$A$1:$I$89,5,0)</f>
        <v>122.65344000000002</v>
      </c>
      <c r="CA42" s="13">
        <f t="shared" si="39"/>
        <v>32.293080640759037</v>
      </c>
      <c r="CB42" s="20">
        <f t="shared" si="10"/>
        <v>269.8651901159887</v>
      </c>
      <c r="CC42" s="59">
        <f t="shared" si="11"/>
        <v>563.19852344932201</v>
      </c>
      <c r="CD42" s="59">
        <f ca="1">AVERAGE(OFFSET($CC$3,0,0,'Données projet'!$E$12+1,1))-AVERAGE(OFFSET($H$3,0,0,'Données projet'!$E$12+1,1))</f>
        <v>188.589895905567</v>
      </c>
      <c r="CE42" s="59">
        <f t="shared" si="40"/>
        <v>218.98894871653943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1">
        <f t="shared" si="32"/>
        <v>9.1210079777371842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67">
        <f t="shared" si="1"/>
        <v>323.63202222789226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185</v>
      </c>
      <c r="L43" s="12">
        <f>VLOOKUP(A43,'Données projet'!$A$35:$I$55,9,0)</f>
        <v>8.8000000000000007</v>
      </c>
      <c r="M43" s="12">
        <f t="array" ref="M43">INDEX(L:L,MIN(IF(ISNUMBER(L43:L239),ROW(L43:L239),"")))</f>
        <v>8.8000000000000007</v>
      </c>
      <c r="N43" s="13">
        <f>IF('Données projet'!$A$36&gt;35,N42+M43-V42,IF(A43&lt;'Données projet'!$A$36,$K$205^A43,IF(A43='Données projet'!$A$36,'Données projet'!$B$36,N42+M43-V42)))</f>
        <v>185.00000000000003</v>
      </c>
      <c r="O43" s="13">
        <f>N43*VLOOKUP('Données projet'!$B$9,Paramètres!$A$1:$I$89,3,0)*VLOOKUP('Données projet'!$B$9,Paramètres!$A$1:$I$89,5,0)</f>
        <v>161.61600000000004</v>
      </c>
      <c r="P43" s="13">
        <f t="shared" si="33"/>
        <v>41.20679526204917</v>
      </c>
      <c r="Q43" s="20">
        <f t="shared" si="53"/>
        <v>353.24970174806907</v>
      </c>
      <c r="R43" s="59">
        <f t="shared" si="0"/>
        <v>646.58303508140239</v>
      </c>
      <c r="S43" s="59">
        <f ca="1">AVERAGE(OFFSET($R$3,0,0,'Données projet'!$E$9+1,1))-AVERAGE(OFFSET($H$3,0,0,'Données projet'!$E$9+1,1))</f>
        <v>265.44504059292035</v>
      </c>
      <c r="T43" s="59">
        <f t="shared" si="34"/>
        <v>272.02069798702723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27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71.716690190721977</v>
      </c>
      <c r="AO43" s="59">
        <f t="shared" si="36"/>
        <v>388.00050527441761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60.925532560172975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60.925532560172975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71.716690190721977</v>
      </c>
      <c r="BJ43" s="59">
        <f t="shared" si="38"/>
        <v>388.00050527441761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60.925532560172975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60.925532560172975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195</v>
      </c>
      <c r="BW43" s="12">
        <f>VLOOKUP(A43,'Données projet'!$A$113:$I$133,9,0)</f>
        <v>7.8</v>
      </c>
      <c r="BX43" s="12">
        <f t="array" ref="BX43">INDEX(BW:BW,MIN(IF(ISNUMBER(BW43:BW239),ROW(BW43:BW239),"")))</f>
        <v>7.8</v>
      </c>
      <c r="BY43" s="12">
        <f>IF('Données projet'!$A$114&gt;35,BY42+BX43-CG42,IF(A43&lt;'Données projet'!$A$114,$BV$205^A43,IF(A43='Données projet'!$A$114,'Données projet'!$B$114,BY42+BX43-CG42)))</f>
        <v>195.00000000000006</v>
      </c>
      <c r="BZ43" s="13">
        <f>BY43*VLOOKUP('Données projet'!$B$12,Paramètres!$A$1:$I$89,3,0)*VLOOKUP('Données projet'!$B$12,Paramètres!$A$1:$I$89,5,0)</f>
        <v>127.76400000000004</v>
      </c>
      <c r="CA43" s="13">
        <f t="shared" si="39"/>
        <v>33.479164830670079</v>
      </c>
      <c r="CB43" s="20">
        <f t="shared" si="10"/>
        <v>280.83184541341706</v>
      </c>
      <c r="CC43" s="59">
        <f t="shared" si="11"/>
        <v>574.16517874675037</v>
      </c>
      <c r="CD43" s="59">
        <f ca="1">AVERAGE(OFFSET($CC$3,0,0,'Données projet'!$E$12+1,1))-AVERAGE(OFFSET($H$3,0,0,'Données projet'!$E$12+1,1))</f>
        <v>188.589895905567</v>
      </c>
      <c r="CE43" s="59">
        <f t="shared" si="40"/>
        <v>218.98894871653943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25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1">
        <f t="shared" si="32"/>
        <v>9.3222005779260471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67">
        <f t="shared" si="1"/>
        <v>325.25942267322125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</v>
      </c>
      <c r="N44" s="13">
        <f>IF('Données projet'!$A$36&gt;35,N43+M44-V43,IF(A44&lt;'Données projet'!$A$36,$K$205^A44,IF(A44='Données projet'!$A$36,'Données projet'!$B$36,N43+M44-V43)))</f>
        <v>166.00000000000003</v>
      </c>
      <c r="O44" s="13">
        <f>N44*VLOOKUP('Données projet'!$B$9,Paramètres!$A$1:$I$89,3,0)*VLOOKUP('Données projet'!$B$9,Paramètres!$A$1:$I$89,5,0)</f>
        <v>145.01760000000004</v>
      </c>
      <c r="P44" s="13">
        <f t="shared" si="33"/>
        <v>37.444100932065233</v>
      </c>
      <c r="Q44" s="20">
        <f t="shared" si="53"/>
        <v>317.78746245668032</v>
      </c>
      <c r="R44" s="59">
        <f t="shared" si="0"/>
        <v>611.12079579001363</v>
      </c>
      <c r="S44" s="59">
        <f ca="1">AVERAGE(OFFSET($R$3,0,0,'Données projet'!$E$9+1,1))-AVERAGE(OFFSET($H$3,0,0,'Données projet'!$E$9+1,1))</f>
        <v>265.44504059292035</v>
      </c>
      <c r="T44" s="59">
        <f t="shared" si="34"/>
        <v>272.02069798702723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71.716690190721977</v>
      </c>
      <c r="AO44" s="59">
        <f t="shared" si="36"/>
        <v>388.00050527441761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59.730820027573508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59.730820027573508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71.716690190721977</v>
      </c>
      <c r="BJ44" s="59">
        <f t="shared" si="38"/>
        <v>388.00050527441761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59.730820027573508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59.730820027573508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7.4</v>
      </c>
      <c r="BY44" s="12">
        <f>IF('Données projet'!$A$114&gt;35,BY43+BX44-CG43,IF(A44&lt;'Données projet'!$A$114,$BV$205^A44,IF(A44='Données projet'!$A$114,'Données projet'!$B$114,BY43+BX44-CG43)))</f>
        <v>177.40000000000006</v>
      </c>
      <c r="BZ44" s="13">
        <f>BY44*VLOOKUP('Données projet'!$B$12,Paramètres!$A$1:$I$89,3,0)*VLOOKUP('Données projet'!$B$12,Paramètres!$A$1:$I$89,5,0)</f>
        <v>116.23248000000004</v>
      </c>
      <c r="CA44" s="13">
        <f t="shared" si="39"/>
        <v>30.794662422308217</v>
      </c>
      <c r="CB44" s="20">
        <f t="shared" si="10"/>
        <v>256.07227305218686</v>
      </c>
      <c r="CC44" s="59">
        <f t="shared" si="11"/>
        <v>549.40560638552017</v>
      </c>
      <c r="CD44" s="59">
        <f ca="1">AVERAGE(OFFSET($CC$3,0,0,'Données projet'!$E$12+1,1))-AVERAGE(OFFSET($H$3,0,0,'Données projet'!$E$12+1,1))</f>
        <v>188.589895905567</v>
      </c>
      <c r="CE44" s="59">
        <f t="shared" si="40"/>
        <v>218.98894871653943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1">
        <f t="shared" si="32"/>
        <v>9.5228227376882337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67">
        <f t="shared" si="1"/>
        <v>326.88582960147369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</v>
      </c>
      <c r="N45" s="13">
        <f>IF('Données projet'!$A$36&gt;35,N44+M45-V44,IF(A45&lt;'Données projet'!$A$36,$K$205^A45,IF(A45='Données projet'!$A$36,'Données projet'!$B$36,N44+M45-V44)))</f>
        <v>174.00000000000003</v>
      </c>
      <c r="O45" s="13">
        <f>N45*VLOOKUP('Données projet'!$B$9,Paramètres!$A$1:$I$89,3,0)*VLOOKUP('Données projet'!$B$9,Paramètres!$A$1:$I$89,5,0)</f>
        <v>152.00640000000004</v>
      </c>
      <c r="P45" s="13">
        <f t="shared" si="33"/>
        <v>39.034194016561486</v>
      </c>
      <c r="Q45" s="20">
        <f t="shared" si="53"/>
        <v>332.72903457884462</v>
      </c>
      <c r="R45" s="59">
        <f t="shared" si="0"/>
        <v>626.06236791217793</v>
      </c>
      <c r="S45" s="59">
        <f ca="1">AVERAGE(OFFSET($R$3,0,0,'Données projet'!$E$9+1,1))-AVERAGE(OFFSET($H$3,0,0,'Données projet'!$E$9+1,1))</f>
        <v>265.44504059292035</v>
      </c>
      <c r="T45" s="59">
        <f t="shared" si="34"/>
        <v>272.02069798702723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71.716690190721977</v>
      </c>
      <c r="AO45" s="59">
        <f t="shared" si="36"/>
        <v>388.00050527441761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58.559535079035626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58.559535079035626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71.716690190721977</v>
      </c>
      <c r="BJ45" s="59">
        <f t="shared" si="38"/>
        <v>388.00050527441761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58.559535079035626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58.559535079035626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7.4</v>
      </c>
      <c r="BY45" s="12">
        <f>IF('Données projet'!$A$114&gt;35,BY44+BX45-CG44,IF(A45&lt;'Données projet'!$A$114,$BV$205^A45,IF(A45='Données projet'!$A$114,'Données projet'!$B$114,BY44+BX45-CG44)))</f>
        <v>184.80000000000007</v>
      </c>
      <c r="BZ45" s="13">
        <f>BY45*VLOOKUP('Données projet'!$B$12,Paramètres!$A$1:$I$89,3,0)*VLOOKUP('Données projet'!$B$12,Paramètres!$A$1:$I$89,5,0)</f>
        <v>121.08096000000005</v>
      </c>
      <c r="CA45" s="13">
        <f t="shared" si="39"/>
        <v>31.92698372788707</v>
      </c>
      <c r="CB45" s="20">
        <f t="shared" si="10"/>
        <v>266.48883532607005</v>
      </c>
      <c r="CC45" s="59">
        <f t="shared" si="11"/>
        <v>559.82216865940336</v>
      </c>
      <c r="CD45" s="59">
        <f ca="1">AVERAGE(OFFSET($CC$3,0,0,'Données projet'!$E$12+1,1))-AVERAGE(OFFSET($H$3,0,0,'Données projet'!$E$12+1,1))</f>
        <v>188.589895905567</v>
      </c>
      <c r="CE45" s="59">
        <f t="shared" si="40"/>
        <v>218.98894871653943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1">
        <f t="shared" si="32"/>
        <v>9.7228896017746997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67">
        <f t="shared" si="1"/>
        <v>328.51126938975762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</v>
      </c>
      <c r="N46" s="13">
        <f>IF('Données projet'!$A$36&gt;35,N45+M46-V45,IF(A46&lt;'Données projet'!$A$36,$K$205^A46,IF(A46='Données projet'!$A$36,'Données projet'!$B$36,N45+M46-V45)))</f>
        <v>182.00000000000003</v>
      </c>
      <c r="O46" s="13">
        <f>N46*VLOOKUP('Données projet'!$B$9,Paramètres!$A$1:$I$89,3,0)*VLOOKUP('Données projet'!$B$9,Paramètres!$A$1:$I$89,5,0)</f>
        <v>158.99520000000004</v>
      </c>
      <c r="P46" s="13">
        <f t="shared" si="33"/>
        <v>40.615796933386044</v>
      </c>
      <c r="Q46" s="20">
        <f t="shared" si="53"/>
        <v>347.65581965898076</v>
      </c>
      <c r="R46" s="59">
        <f t="shared" si="0"/>
        <v>640.98915299231408</v>
      </c>
      <c r="S46" s="59">
        <f ca="1">AVERAGE(OFFSET($R$3,0,0,'Données projet'!$E$9+1,1))-AVERAGE(OFFSET($H$3,0,0,'Données projet'!$E$9+1,1))</f>
        <v>265.44504059292035</v>
      </c>
      <c r="T46" s="59">
        <f t="shared" si="34"/>
        <v>272.02069798702723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71.716690190721977</v>
      </c>
      <c r="AO46" s="59">
        <f t="shared" si="36"/>
        <v>388.00050527441761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57.411218313925296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57.411218313925296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71.716690190721977</v>
      </c>
      <c r="BJ46" s="59">
        <f t="shared" si="38"/>
        <v>388.00050527441761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57.411218313925296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57.411218313925296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7.4</v>
      </c>
      <c r="BY46" s="12">
        <f>IF('Données projet'!$A$114&gt;35,BY45+BX46-CG45,IF(A46&lt;'Données projet'!$A$114,$BV$205^A46,IF(A46='Données projet'!$A$114,'Données projet'!$B$114,BY45+BX46-CG45)))</f>
        <v>192.20000000000007</v>
      </c>
      <c r="BZ46" s="13">
        <f>BY46*VLOOKUP('Données projet'!$B$12,Paramètres!$A$1:$I$89,3,0)*VLOOKUP('Données projet'!$B$12,Paramètres!$A$1:$I$89,5,0)</f>
        <v>125.92944000000006</v>
      </c>
      <c r="CA46" s="13">
        <f t="shared" si="39"/>
        <v>33.054038034052077</v>
      </c>
      <c r="CB46" s="20">
        <f t="shared" si="10"/>
        <v>276.89622424264081</v>
      </c>
      <c r="CC46" s="59">
        <f t="shared" si="11"/>
        <v>570.22955757597413</v>
      </c>
      <c r="CD46" s="59">
        <f ca="1">AVERAGE(OFFSET($CC$3,0,0,'Données projet'!$E$12+1,1))-AVERAGE(OFFSET($H$3,0,0,'Données projet'!$E$12+1,1))</f>
        <v>188.589895905567</v>
      </c>
      <c r="CE46" s="59">
        <f t="shared" si="40"/>
        <v>218.98894871653943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1">
        <f t="shared" si="32"/>
        <v>9.9224155703389041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67">
        <f t="shared" si="1"/>
        <v>330.13576711834025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</v>
      </c>
      <c r="N47" s="13">
        <f>IF('Données projet'!$A$36&gt;35,N46+M47-V46,IF(A47&lt;'Données projet'!$A$36,$K$205^A47,IF(A47='Données projet'!$A$36,'Données projet'!$B$36,N46+M47-V46)))</f>
        <v>190.00000000000003</v>
      </c>
      <c r="O47" s="13">
        <f>N47*VLOOKUP('Données projet'!$B$9,Paramètres!$A$1:$I$89,3,0)*VLOOKUP('Données projet'!$B$9,Paramètres!$A$1:$I$89,5,0)</f>
        <v>165.98400000000004</v>
      </c>
      <c r="P47" s="13">
        <f t="shared" si="33"/>
        <v>42.189325525922285</v>
      </c>
      <c r="Q47" s="20">
        <f t="shared" si="53"/>
        <v>362.56854195764805</v>
      </c>
      <c r="R47" s="59">
        <f t="shared" si="0"/>
        <v>655.90187529098137</v>
      </c>
      <c r="S47" s="59">
        <f ca="1">AVERAGE(OFFSET($R$3,0,0,'Données projet'!$E$9+1,1))-AVERAGE(OFFSET($H$3,0,0,'Données projet'!$E$9+1,1))</f>
        <v>265.44504059292035</v>
      </c>
      <c r="T47" s="59">
        <f t="shared" si="34"/>
        <v>272.02069798702723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71.716690190721977</v>
      </c>
      <c r="AO47" s="59">
        <f t="shared" si="36"/>
        <v>388.00050527441761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56.285419340174712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56.285419340174712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71.716690190721977</v>
      </c>
      <c r="BJ47" s="59">
        <f t="shared" si="38"/>
        <v>388.00050527441761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56.285419340174712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56.285419340174712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7.4</v>
      </c>
      <c r="BY47" s="12">
        <f>IF('Données projet'!$A$114&gt;35,BY46+BX47-CG46,IF(A47&lt;'Données projet'!$A$114,$BV$205^A47,IF(A47='Données projet'!$A$114,'Données projet'!$B$114,BY46+BX47-CG46)))</f>
        <v>199.60000000000008</v>
      </c>
      <c r="BZ47" s="13">
        <f>BY47*VLOOKUP('Données projet'!$B$12,Paramètres!$A$1:$I$89,3,0)*VLOOKUP('Données projet'!$B$12,Paramètres!$A$1:$I$89,5,0)</f>
        <v>130.77792000000005</v>
      </c>
      <c r="CA47" s="13">
        <f t="shared" si="39"/>
        <v>34.176051340149542</v>
      </c>
      <c r="CB47" s="20">
        <f t="shared" si="10"/>
        <v>287.29483341742718</v>
      </c>
      <c r="CC47" s="59">
        <f t="shared" si="11"/>
        <v>580.62816675076056</v>
      </c>
      <c r="CD47" s="59">
        <f ca="1">AVERAGE(OFFSET($CC$3,0,0,'Données projet'!$E$12+1,1))-AVERAGE(OFFSET($H$3,0,0,'Données projet'!$E$12+1,1))</f>
        <v>188.589895905567</v>
      </c>
      <c r="CE47" s="59">
        <f t="shared" si="40"/>
        <v>218.98894871653943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1">
        <f t="shared" si="32"/>
        <v>10.121414351623134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67">
        <f t="shared" si="1"/>
        <v>331.75934666241028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198</v>
      </c>
      <c r="L48" s="12">
        <f>VLOOKUP(A48,'Données projet'!$A$35:$I$55,9,0)</f>
        <v>8</v>
      </c>
      <c r="M48" s="12">
        <f t="array" ref="M48">INDEX(L:L,MIN(IF(ISNUMBER(L48:L244),ROW(L48:L244),"")))</f>
        <v>8</v>
      </c>
      <c r="N48" s="13">
        <f>IF('Données projet'!$A$36&gt;35,N47+M48-V47,IF(A48&lt;'Données projet'!$A$36,$K$205^A48,IF(A48='Données projet'!$A$36,'Données projet'!$B$36,N47+M48-V47)))</f>
        <v>198.00000000000003</v>
      </c>
      <c r="O48" s="13">
        <f>N48*VLOOKUP('Données projet'!$B$9,Paramètres!$A$1:$I$89,3,0)*VLOOKUP('Données projet'!$B$9,Paramètres!$A$1:$I$89,5,0)</f>
        <v>172.97280000000003</v>
      </c>
      <c r="P48" s="13">
        <f t="shared" si="33"/>
        <v>43.75515863819728</v>
      </c>
      <c r="Q48" s="20">
        <f t="shared" si="53"/>
        <v>377.46786129486031</v>
      </c>
      <c r="R48" s="59">
        <f t="shared" si="0"/>
        <v>670.80119462819357</v>
      </c>
      <c r="S48" s="59">
        <f ca="1">AVERAGE(OFFSET($R$3,0,0,'Données projet'!$E$9+1,1))-AVERAGE(OFFSET($H$3,0,0,'Données projet'!$E$9+1,1))</f>
        <v>265.44504059292035</v>
      </c>
      <c r="T48" s="59">
        <f t="shared" si="34"/>
        <v>272.02069798702723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26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71.716690190721977</v>
      </c>
      <c r="AO48" s="59">
        <f t="shared" si="36"/>
        <v>388.00050527441761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55.181696597629809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55.181696597629809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71.716690190721977</v>
      </c>
      <c r="BJ48" s="59">
        <f t="shared" si="38"/>
        <v>388.00050527441761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55.181696597629809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55.181696597629809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207</v>
      </c>
      <c r="BW48" s="12">
        <f>VLOOKUP(A48,'Données projet'!$A$113:$I$133,9,0)</f>
        <v>7.4</v>
      </c>
      <c r="BX48" s="12">
        <f t="array" ref="BX48">INDEX(BW:BW,MIN(IF(ISNUMBER(BW48:BW244),ROW(BW48:BW244),"")))</f>
        <v>7.4</v>
      </c>
      <c r="BY48" s="12">
        <f>IF('Données projet'!$A$114&gt;35,BY47+BX48-CG47,IF(A48&lt;'Données projet'!$A$114,$BV$205^A48,IF(A48='Données projet'!$A$114,'Données projet'!$B$114,BY47+BX48-CG47)))</f>
        <v>207.00000000000009</v>
      </c>
      <c r="BZ48" s="13">
        <f>BY48*VLOOKUP('Données projet'!$B$12,Paramètres!$A$1:$I$89,3,0)*VLOOKUP('Données projet'!$B$12,Paramètres!$A$1:$I$89,5,0)</f>
        <v>135.62640000000005</v>
      </c>
      <c r="CA48" s="13">
        <f t="shared" si="39"/>
        <v>35.293231938598481</v>
      </c>
      <c r="CB48" s="20">
        <f t="shared" si="10"/>
        <v>297.68502562639242</v>
      </c>
      <c r="CC48" s="59">
        <f t="shared" si="11"/>
        <v>591.01835895972567</v>
      </c>
      <c r="CD48" s="59">
        <f ca="1">AVERAGE(OFFSET($CC$3,0,0,'Données projet'!$E$12+1,1))-AVERAGE(OFFSET($H$3,0,0,'Données projet'!$E$12+1,1))</f>
        <v>188.589895905567</v>
      </c>
      <c r="CE48" s="59">
        <f t="shared" si="40"/>
        <v>218.98894871653943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25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1">
        <f t="shared" si="32"/>
        <v>10.319899009829577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67">
        <f t="shared" si="1"/>
        <v>333.38203077545319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7.4</v>
      </c>
      <c r="N49" s="13">
        <f>IF('Données projet'!$A$36&gt;35,N48+M49-V48,IF(A49&lt;'Données projet'!$A$36,$K$205^A49,IF(A49='Données projet'!$A$36,'Données projet'!$B$36,N48+M49-V48)))</f>
        <v>179.40000000000003</v>
      </c>
      <c r="O49" s="13">
        <f>N49*VLOOKUP('Données projet'!$B$9,Paramètres!$A$1:$I$89,3,0)*VLOOKUP('Données projet'!$B$9,Paramètres!$A$1:$I$89,5,0)</f>
        <v>156.72384000000005</v>
      </c>
      <c r="P49" s="13">
        <f t="shared" si="33"/>
        <v>40.102680984620484</v>
      </c>
      <c r="Q49" s="20">
        <f t="shared" si="53"/>
        <v>342.80619071488076</v>
      </c>
      <c r="R49" s="59">
        <f t="shared" si="0"/>
        <v>636.13952404821407</v>
      </c>
      <c r="S49" s="59">
        <f ca="1">AVERAGE(OFFSET($R$3,0,0,'Données projet'!$E$9+1,1))-AVERAGE(OFFSET($H$3,0,0,'Données projet'!$E$9+1,1))</f>
        <v>265.44504059292035</v>
      </c>
      <c r="T49" s="59">
        <f t="shared" si="34"/>
        <v>272.02069798702723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71.716690190721977</v>
      </c>
      <c r="AO49" s="59">
        <f t="shared" si="36"/>
        <v>388.00050527441761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54.099617184861813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54.099617184861813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71.716690190721977</v>
      </c>
      <c r="BJ49" s="59">
        <f t="shared" si="38"/>
        <v>388.00050527441761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54.099617184861813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54.099617184861813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6.6</v>
      </c>
      <c r="BY49" s="12">
        <f>IF('Données projet'!$A$114&gt;35,BY48+BX49-CG48,IF(A49&lt;'Données projet'!$A$114,$BV$205^A49,IF(A49='Données projet'!$A$114,'Données projet'!$B$114,BY48+BX49-CG48)))</f>
        <v>188.60000000000008</v>
      </c>
      <c r="BZ49" s="13">
        <f>BY49*VLOOKUP('Données projet'!$B$12,Paramètres!$A$1:$I$89,3,0)*VLOOKUP('Données projet'!$B$12,Paramètres!$A$1:$I$89,5,0)</f>
        <v>123.57072000000005</v>
      </c>
      <c r="CA49" s="13">
        <f t="shared" si="39"/>
        <v>32.506384557027701</v>
      </c>
      <c r="CB49" s="20">
        <f t="shared" si="10"/>
        <v>271.83429043682332</v>
      </c>
      <c r="CC49" s="59">
        <f t="shared" si="11"/>
        <v>565.16762377015664</v>
      </c>
      <c r="CD49" s="59">
        <f ca="1">AVERAGE(OFFSET($CC$3,0,0,'Données projet'!$E$12+1,1))-AVERAGE(OFFSET($H$3,0,0,'Données projet'!$E$12+1,1))</f>
        <v>188.589895905567</v>
      </c>
      <c r="CE49" s="59">
        <f t="shared" si="40"/>
        <v>218.98894871653943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1">
        <f t="shared" si="32"/>
        <v>10.517882008711249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67">
        <f t="shared" si="1"/>
        <v>335.00384116517205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7.4</v>
      </c>
      <c r="N50" s="13">
        <f>IF('Données projet'!$A$36&gt;35,N49+M50-V49,IF(A50&lt;'Données projet'!$A$36,$K$205^A50,IF(A50='Données projet'!$A$36,'Données projet'!$B$36,N49+M50-V49)))</f>
        <v>186.80000000000004</v>
      </c>
      <c r="O50" s="13">
        <f>N50*VLOOKUP('Données projet'!$B$9,Paramètres!$A$1:$I$89,3,0)*VLOOKUP('Données projet'!$B$9,Paramètres!$A$1:$I$89,5,0)</f>
        <v>163.18848000000006</v>
      </c>
      <c r="P50" s="13">
        <f t="shared" si="33"/>
        <v>41.560857991048017</v>
      </c>
      <c r="Q50" s="20">
        <f t="shared" si="53"/>
        <v>356.60509700107536</v>
      </c>
      <c r="R50" s="59">
        <f t="shared" si="0"/>
        <v>649.93843033440862</v>
      </c>
      <c r="S50" s="59">
        <f ca="1">AVERAGE(OFFSET($R$3,0,0,'Données projet'!$E$9+1,1))-AVERAGE(OFFSET($H$3,0,0,'Données projet'!$E$9+1,1))</f>
        <v>265.44504059292035</v>
      </c>
      <c r="T50" s="59">
        <f t="shared" si="34"/>
        <v>272.02069798702723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71.716690190721977</v>
      </c>
      <c r="AO50" s="59">
        <f t="shared" si="36"/>
        <v>388.00050527441761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53.038756689374921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53.038756689374921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71.716690190721977</v>
      </c>
      <c r="BJ50" s="59">
        <f t="shared" si="38"/>
        <v>388.00050527441761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53.038756689374921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53.038756689374921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6.6</v>
      </c>
      <c r="BY50" s="12">
        <f>IF('Données projet'!$A$114&gt;35,BY49+BX50-CG49,IF(A50&lt;'Données projet'!$A$114,$BV$205^A50,IF(A50='Données projet'!$A$114,'Données projet'!$B$114,BY49+BX50-CG49)))</f>
        <v>195.20000000000007</v>
      </c>
      <c r="BZ50" s="13">
        <f>BY50*VLOOKUP('Données projet'!$B$12,Paramètres!$A$1:$I$89,3,0)*VLOOKUP('Données projet'!$B$12,Paramètres!$A$1:$I$89,5,0)</f>
        <v>127.89504000000004</v>
      </c>
      <c r="CA50" s="13">
        <f t="shared" si="39"/>
        <v>33.509503727991913</v>
      </c>
      <c r="CB50" s="20">
        <f t="shared" si="10"/>
        <v>281.11291365958601</v>
      </c>
      <c r="CC50" s="59">
        <f t="shared" si="11"/>
        <v>574.44624699291933</v>
      </c>
      <c r="CD50" s="59">
        <f ca="1">AVERAGE(OFFSET($CC$3,0,0,'Données projet'!$E$12+1,1))-AVERAGE(OFFSET($H$3,0,0,'Données projet'!$E$12+1,1))</f>
        <v>188.589895905567</v>
      </c>
      <c r="CE50" s="59">
        <f t="shared" si="40"/>
        <v>218.98894871653943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1">
        <f t="shared" si="32"/>
        <v>10.715375251348382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67">
        <f t="shared" si="1"/>
        <v>336.62479856276508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7.4</v>
      </c>
      <c r="N51" s="13">
        <f>IF('Données projet'!$A$36&gt;35,N50+M51-V50,IF(A51&lt;'Données projet'!$A$36,$K$205^A51,IF(A51='Données projet'!$A$36,'Données projet'!$B$36,N50+M51-V50)))</f>
        <v>194.20000000000005</v>
      </c>
      <c r="O51" s="13">
        <f>N51*VLOOKUP('Données projet'!$B$9,Paramètres!$A$1:$I$89,3,0)*VLOOKUP('Données projet'!$B$9,Paramètres!$A$1:$I$89,5,0)</f>
        <v>169.65312000000006</v>
      </c>
      <c r="P51" s="13">
        <f t="shared" si="33"/>
        <v>43.012324771430336</v>
      </c>
      <c r="Q51" s="20">
        <f t="shared" si="53"/>
        <v>370.39231631024131</v>
      </c>
      <c r="R51" s="59">
        <f t="shared" si="0"/>
        <v>663.72564964357457</v>
      </c>
      <c r="S51" s="59">
        <f ca="1">AVERAGE(OFFSET($R$3,0,0,'Données projet'!$E$9+1,1))-AVERAGE(OFFSET($H$3,0,0,'Données projet'!$E$9+1,1))</f>
        <v>265.44504059292035</v>
      </c>
      <c r="T51" s="59">
        <f t="shared" si="34"/>
        <v>272.02069798702723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71.716690190721977</v>
      </c>
      <c r="AO51" s="59">
        <f t="shared" si="36"/>
        <v>388.00050527441761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51.998699021143516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51.998699021143516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71.716690190721977</v>
      </c>
      <c r="BJ51" s="59">
        <f t="shared" si="38"/>
        <v>388.00050527441761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51.998699021143516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51.998699021143516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6.6</v>
      </c>
      <c r="BY51" s="12">
        <f>IF('Données projet'!$A$114&gt;35,BY50+BX51-CG50,IF(A51&lt;'Données projet'!$A$114,$BV$205^A51,IF(A51='Données projet'!$A$114,'Données projet'!$B$114,BY50+BX51-CG50)))</f>
        <v>201.80000000000007</v>
      </c>
      <c r="BZ51" s="13">
        <f>BY51*VLOOKUP('Données projet'!$B$12,Paramètres!$A$1:$I$89,3,0)*VLOOKUP('Données projet'!$B$12,Paramètres!$A$1:$I$89,5,0)</f>
        <v>132.21936000000005</v>
      </c>
      <c r="CA51" s="13">
        <f t="shared" si="39"/>
        <v>34.508681932648301</v>
      </c>
      <c r="CB51" s="20">
        <f t="shared" si="10"/>
        <v>290.3846730326959</v>
      </c>
      <c r="CC51" s="59">
        <f t="shared" si="11"/>
        <v>583.71800636602916</v>
      </c>
      <c r="CD51" s="59">
        <f ca="1">AVERAGE(OFFSET($CC$3,0,0,'Données projet'!$E$12+1,1))-AVERAGE(OFFSET($H$3,0,0,'Données projet'!$E$12+1,1))</f>
        <v>188.589895905567</v>
      </c>
      <c r="CE51" s="59">
        <f t="shared" si="40"/>
        <v>218.98894871653943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1">
        <f t="shared" si="32"/>
        <v>10.912390116516537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67">
        <f t="shared" si="1"/>
        <v>338.24492278626627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7.4</v>
      </c>
      <c r="N52" s="13">
        <f>IF('Données projet'!$A$36&gt;35,N51+M52-V51,IF(A52&lt;'Données projet'!$A$36,$K$205^A52,IF(A52='Données projet'!$A$36,'Données projet'!$B$36,N51+M52-V51)))</f>
        <v>201.60000000000005</v>
      </c>
      <c r="O52" s="13">
        <f>N52*VLOOKUP('Données projet'!$B$9,Paramètres!$A$1:$I$89,3,0)*VLOOKUP('Données projet'!$B$9,Paramètres!$A$1:$I$89,5,0)</f>
        <v>176.11776000000006</v>
      </c>
      <c r="P52" s="13">
        <f t="shared" si="33"/>
        <v>44.457366290237246</v>
      </c>
      <c r="Q52" s="20">
        <f t="shared" si="53"/>
        <v>384.16834495549665</v>
      </c>
      <c r="R52" s="59">
        <f t="shared" si="0"/>
        <v>677.50167828882991</v>
      </c>
      <c r="S52" s="59">
        <f ca="1">AVERAGE(OFFSET($R$3,0,0,'Données projet'!$E$9+1,1))-AVERAGE(OFFSET($H$3,0,0,'Données projet'!$E$9+1,1))</f>
        <v>265.44504059292035</v>
      </c>
      <c r="T52" s="59">
        <f t="shared" si="34"/>
        <v>272.02069798702723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71.716690190721977</v>
      </c>
      <c r="AO52" s="59">
        <f t="shared" si="36"/>
        <v>388.00050527441761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50.979036249413589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50.979036249413589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71.716690190721977</v>
      </c>
      <c r="BJ52" s="59">
        <f t="shared" si="38"/>
        <v>388.00050527441761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50.979036249413589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50.979036249413589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6.6</v>
      </c>
      <c r="BY52" s="12">
        <f>IF('Données projet'!$A$114&gt;35,BY51+BX52-CG51,IF(A52&lt;'Données projet'!$A$114,$BV$205^A52,IF(A52='Données projet'!$A$114,'Données projet'!$B$114,BY51+BX52-CG51)))</f>
        <v>208.40000000000006</v>
      </c>
      <c r="BZ52" s="13">
        <f>BY52*VLOOKUP('Données projet'!$B$12,Paramètres!$A$1:$I$89,3,0)*VLOOKUP('Données projet'!$B$12,Paramètres!$A$1:$I$89,5,0)</f>
        <v>136.54368000000002</v>
      </c>
      <c r="CA52" s="13">
        <f t="shared" si="39"/>
        <v>35.504062844328153</v>
      </c>
      <c r="CB52" s="20">
        <f t="shared" si="10"/>
        <v>299.64981878720488</v>
      </c>
      <c r="CC52" s="59">
        <f t="shared" si="11"/>
        <v>592.98315212053819</v>
      </c>
      <c r="CD52" s="59">
        <f ca="1">AVERAGE(OFFSET($CC$3,0,0,'Données projet'!$E$12+1,1))-AVERAGE(OFFSET($H$3,0,0,'Données projet'!$E$12+1,1))</f>
        <v>188.589895905567</v>
      </c>
      <c r="CE52" s="59">
        <f t="shared" si="40"/>
        <v>218.98894871653943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1">
        <f t="shared" si="32"/>
        <v>11.108937492002092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67">
        <f t="shared" si="1"/>
        <v>339.8642327985703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209</v>
      </c>
      <c r="L53" s="12">
        <f>VLOOKUP(A53,'Données projet'!$A$35:$I$55,9,0)</f>
        <v>7.4</v>
      </c>
      <c r="M53" s="12">
        <f t="array" ref="M53">INDEX(L:L,MIN(IF(ISNUMBER(L53:L249),ROW(L53:L249),"")))</f>
        <v>7.4</v>
      </c>
      <c r="N53" s="13">
        <f>IF('Données projet'!$A$36&gt;35,N52+M53-V52,IF(A53&lt;'Données projet'!$A$36,$K$205^A53,IF(A53='Données projet'!$A$36,'Données projet'!$B$36,N52+M53-V52)))</f>
        <v>209.00000000000006</v>
      </c>
      <c r="O53" s="13">
        <f>N53*VLOOKUP('Données projet'!$B$9,Paramètres!$A$1:$I$89,3,0)*VLOOKUP('Données projet'!$B$9,Paramètres!$A$1:$I$89,5,0)</f>
        <v>182.58240000000009</v>
      </c>
      <c r="P53" s="13">
        <f t="shared" si="33"/>
        <v>45.896245406460288</v>
      </c>
      <c r="Q53" s="20">
        <f t="shared" si="53"/>
        <v>397.93364074958509</v>
      </c>
      <c r="R53" s="59">
        <f t="shared" si="0"/>
        <v>691.26697408291841</v>
      </c>
      <c r="S53" s="59">
        <f ca="1">AVERAGE(OFFSET($R$3,0,0,'Données projet'!$E$9+1,1))-AVERAGE(OFFSET($H$3,0,0,'Données projet'!$E$9+1,1))</f>
        <v>265.44504059292035</v>
      </c>
      <c r="T53" s="59">
        <f t="shared" si="34"/>
        <v>272.02069798702723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24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0.4</v>
      </c>
      <c r="Z53" s="21">
        <f>EXP(-LN(2)/35)*Z52+(1-EXP(-LN(2)/35))/(LN(2)/35)*V53*W53*VLOOKUP('Données projet'!$B$9,Paramètres!$A$1:$I$89,3,0)*0.475*44/12</f>
        <v>2.9899277073417143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7.9129450809529667</v>
      </c>
      <c r="AC53" s="22">
        <f t="shared" si="3"/>
        <v>10.902872788294681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71.716690190721977</v>
      </c>
      <c r="AO53" s="59">
        <f t="shared" si="36"/>
        <v>388.00050527441761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49.979368442704413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49.979368442704413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71.716690190721977</v>
      </c>
      <c r="BJ53" s="59">
        <f t="shared" si="38"/>
        <v>388.00050527441761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49.979368442704413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49.979368442704413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215</v>
      </c>
      <c r="BW53" s="12">
        <f>VLOOKUP(A53,'Données projet'!$A$113:$I$133,9,0)</f>
        <v>6.6</v>
      </c>
      <c r="BX53" s="12">
        <f t="array" ref="BX53">INDEX(BW:BW,MIN(IF(ISNUMBER(BW53:BW249),ROW(BW53:BW249),"")))</f>
        <v>6.6</v>
      </c>
      <c r="BY53" s="12">
        <f>IF('Données projet'!$A$114&gt;35,BY52+BX53-CG52,IF(A53&lt;'Données projet'!$A$114,$BV$205^A53,IF(A53='Données projet'!$A$114,'Données projet'!$B$114,BY52+BX53-CG52)))</f>
        <v>215.00000000000006</v>
      </c>
      <c r="BZ53" s="13">
        <f>BY53*VLOOKUP('Données projet'!$B$12,Paramètres!$A$1:$I$89,3,0)*VLOOKUP('Données projet'!$B$12,Paramètres!$A$1:$I$89,5,0)</f>
        <v>140.86800000000005</v>
      </c>
      <c r="CA53" s="13">
        <f t="shared" si="39"/>
        <v>36.495780519346958</v>
      </c>
      <c r="CB53" s="20">
        <f t="shared" si="10"/>
        <v>308.90858440452939</v>
      </c>
      <c r="CC53" s="59">
        <f t="shared" si="11"/>
        <v>602.24191773786265</v>
      </c>
      <c r="CD53" s="59">
        <f ca="1">AVERAGE(OFFSET($CC$3,0,0,'Données projet'!$E$12+1,1))-AVERAGE(OFFSET($H$3,0,0,'Données projet'!$E$12+1,1))</f>
        <v>188.589895905567</v>
      </c>
      <c r="CE53" s="59">
        <f t="shared" si="40"/>
        <v>218.98894871653943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1">
        <f t="shared" si="32"/>
        <v>11.305027805177126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67">
        <f t="shared" si="1"/>
        <v>341.48274676068348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6.6</v>
      </c>
      <c r="N54" s="13">
        <f>IF('Données projet'!$A$36&gt;35,N53+M54-V53,IF(A54&lt;'Données projet'!$A$36,$K$205^A54,IF(A54='Données projet'!$A$36,'Données projet'!$B$36,N53+M54-V53)))</f>
        <v>191.60000000000005</v>
      </c>
      <c r="O54" s="13">
        <f>N54*VLOOKUP('Données projet'!$B$9,Paramètres!$A$1:$I$89,3,0)*VLOOKUP('Données projet'!$B$9,Paramètres!$A$1:$I$89,5,0)</f>
        <v>167.38176000000007</v>
      </c>
      <c r="P54" s="13">
        <f t="shared" si="33"/>
        <v>42.503096259839239</v>
      </c>
      <c r="Q54" s="20">
        <f t="shared" si="53"/>
        <v>365.5494579858867</v>
      </c>
      <c r="R54" s="59">
        <f t="shared" si="0"/>
        <v>658.88279131922002</v>
      </c>
      <c r="S54" s="59">
        <f ca="1">AVERAGE(OFFSET($R$3,0,0,'Données projet'!$E$9+1,1))-AVERAGE(OFFSET($H$3,0,0,'Données projet'!$E$9+1,1))</f>
        <v>265.44504059292035</v>
      </c>
      <c r="T54" s="59">
        <f t="shared" si="34"/>
        <v>272.02069798702723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2.9312970486765719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5.5952971258985773</v>
      </c>
      <c r="AC54" s="22">
        <f t="shared" si="3"/>
        <v>8.5265941745751483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71.716690190721977</v>
      </c>
      <c r="AO54" s="59">
        <f t="shared" si="36"/>
        <v>388.00050527441761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48.999303511947645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48.999303511947645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71.716690190721977</v>
      </c>
      <c r="BJ54" s="59">
        <f t="shared" si="38"/>
        <v>388.00050527441761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48.999303511947645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48.999303511947645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6.4</v>
      </c>
      <c r="BY54" s="12">
        <f>IF('Données projet'!$A$114&gt;35,BY53+BX54-CG53,IF(A54&lt;'Données projet'!$A$114,$BV$205^A54,IF(A54='Données projet'!$A$114,'Données projet'!$B$114,BY53+BX54-CG53)))</f>
        <v>197.40000000000006</v>
      </c>
      <c r="BZ54" s="13">
        <f>BY54*VLOOKUP('Données projet'!$B$12,Paramètres!$A$1:$I$89,3,0)*VLOOKUP('Données projet'!$B$12,Paramètres!$A$1:$I$89,5,0)</f>
        <v>129.33648000000005</v>
      </c>
      <c r="CA54" s="13">
        <f t="shared" si="39"/>
        <v>33.84299371090448</v>
      </c>
      <c r="CB54" s="20">
        <f t="shared" si="10"/>
        <v>284.20425004649206</v>
      </c>
      <c r="CC54" s="59">
        <f t="shared" si="11"/>
        <v>577.53758337982538</v>
      </c>
      <c r="CD54" s="59">
        <f ca="1">AVERAGE(OFFSET($CC$3,0,0,'Données projet'!$E$12+1,1))-AVERAGE(OFFSET($H$3,0,0,'Données projet'!$E$12+1,1))</f>
        <v>188.589895905567</v>
      </c>
      <c r="CE54" s="59">
        <f t="shared" si="40"/>
        <v>218.98894871653943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1">
        <f t="shared" si="32"/>
        <v>11.500671051108624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67">
        <f t="shared" si="1"/>
        <v>343.10048208068082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6.6</v>
      </c>
      <c r="N55" s="13">
        <f>IF('Données projet'!$A$36&gt;35,N54+M55-V54,IF(A55&lt;'Données projet'!$A$36,$K$205^A55,IF(A55='Données projet'!$A$36,'Données projet'!$B$36,N54+M55-V54)))</f>
        <v>198.20000000000005</v>
      </c>
      <c r="O55" s="13">
        <f>N55*VLOOKUP('Données projet'!$B$9,Paramètres!$A$1:$I$89,3,0)*VLOOKUP('Données projet'!$B$9,Paramètres!$A$1:$I$89,5,0)</f>
        <v>173.14752000000007</v>
      </c>
      <c r="P55" s="13">
        <f t="shared" si="33"/>
        <v>43.794208927254068</v>
      </c>
      <c r="Q55" s="20">
        <f t="shared" si="53"/>
        <v>377.84017788163425</v>
      </c>
      <c r="R55" s="59">
        <f t="shared" si="0"/>
        <v>671.17351121496756</v>
      </c>
      <c r="S55" s="59">
        <f ca="1">AVERAGE(OFFSET($R$3,0,0,'Données projet'!$E$9+1,1))-AVERAGE(OFFSET($H$3,0,0,'Données projet'!$E$9+1,1))</f>
        <v>265.44504059292035</v>
      </c>
      <c r="T55" s="59">
        <f t="shared" si="34"/>
        <v>272.02069798702723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2.8738161014666823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3.9564725404764838</v>
      </c>
      <c r="AC55" s="22">
        <f t="shared" si="3"/>
        <v>6.8302886419431665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71.716690190721977</v>
      </c>
      <c r="AO55" s="59">
        <f t="shared" si="36"/>
        <v>388.00050527441761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48.038457056702434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48.038457056702434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71.716690190721977</v>
      </c>
      <c r="BJ55" s="59">
        <f t="shared" si="38"/>
        <v>388.00050527441761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48.038457056702434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48.038457056702434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6.4</v>
      </c>
      <c r="BY55" s="12">
        <f>IF('Données projet'!$A$114&gt;35,BY54+BX55-CG54,IF(A55&lt;'Données projet'!$A$114,$BV$205^A55,IF(A55='Données projet'!$A$114,'Données projet'!$B$114,BY54+BX55-CG54)))</f>
        <v>203.80000000000007</v>
      </c>
      <c r="BZ55" s="13">
        <f>BY55*VLOOKUP('Données projet'!$B$12,Paramètres!$A$1:$I$89,3,0)*VLOOKUP('Données projet'!$B$12,Paramètres!$A$1:$I$89,5,0)</f>
        <v>133.52976000000007</v>
      </c>
      <c r="CA55" s="13">
        <f t="shared" si="39"/>
        <v>34.810707184454238</v>
      </c>
      <c r="CB55" s="20">
        <f t="shared" si="10"/>
        <v>293.19298034625791</v>
      </c>
      <c r="CC55" s="59">
        <f t="shared" si="11"/>
        <v>586.52631367959123</v>
      </c>
      <c r="CD55" s="59">
        <f ca="1">AVERAGE(OFFSET($CC$3,0,0,'Données projet'!$E$12+1,1))-AVERAGE(OFFSET($H$3,0,0,'Données projet'!$E$12+1,1))</f>
        <v>188.589895905567</v>
      </c>
      <c r="CE55" s="59">
        <f t="shared" si="40"/>
        <v>218.98894871653943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1">
        <f t="shared" si="32"/>
        <v>11.695876818444219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67">
        <f t="shared" si="1"/>
        <v>344.71745545879031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6.6</v>
      </c>
      <c r="N56" s="13">
        <f>IF('Données projet'!$A$36&gt;35,N55+M56-V55,IF(A56&lt;'Données projet'!$A$36,$K$205^A56,IF(A56='Données projet'!$A$36,'Données projet'!$B$36,N55+M56-V55)))</f>
        <v>204.80000000000004</v>
      </c>
      <c r="O56" s="13">
        <f>N56*VLOOKUP('Données projet'!$B$9,Paramètres!$A$1:$I$89,3,0)*VLOOKUP('Données projet'!$B$9,Paramètres!$A$1:$I$89,5,0)</f>
        <v>178.91328000000004</v>
      </c>
      <c r="P56" s="13">
        <f t="shared" si="33"/>
        <v>45.080325843494848</v>
      </c>
      <c r="Q56" s="20">
        <f t="shared" si="53"/>
        <v>390.12219684408689</v>
      </c>
      <c r="R56" s="59">
        <f t="shared" si="0"/>
        <v>683.4555301774202</v>
      </c>
      <c r="S56" s="59">
        <f ca="1">AVERAGE(OFFSET($R$3,0,0,'Données projet'!$E$9+1,1))-AVERAGE(OFFSET($H$3,0,0,'Données projet'!$E$9+1,1))</f>
        <v>265.44504059292035</v>
      </c>
      <c r="T56" s="59">
        <f t="shared" si="34"/>
        <v>272.02069798702723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2.8174623205716625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2.7976485629492891</v>
      </c>
      <c r="AC56" s="22">
        <f t="shared" si="3"/>
        <v>5.615110883520952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71.716690190721977</v>
      </c>
      <c r="AO56" s="59">
        <f t="shared" si="36"/>
        <v>388.00050527441761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47.096452214386112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47.096452214386112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71.716690190721977</v>
      </c>
      <c r="BJ56" s="59">
        <f t="shared" si="38"/>
        <v>388.00050527441761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47.096452214386112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47.096452214386112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6.4</v>
      </c>
      <c r="BY56" s="12">
        <f>IF('Données projet'!$A$114&gt;35,BY55+BX56-CG55,IF(A56&lt;'Données projet'!$A$114,$BV$205^A56,IF(A56='Données projet'!$A$114,'Données projet'!$B$114,BY55+BX56-CG55)))</f>
        <v>210.20000000000007</v>
      </c>
      <c r="BZ56" s="13">
        <f>BY56*VLOOKUP('Données projet'!$B$12,Paramètres!$A$1:$I$89,3,0)*VLOOKUP('Données projet'!$B$12,Paramètres!$A$1:$I$89,5,0)</f>
        <v>137.72304000000005</v>
      </c>
      <c r="CA56" s="13">
        <f t="shared" si="39"/>
        <v>35.774889172094717</v>
      </c>
      <c r="CB56" s="20">
        <f t="shared" si="10"/>
        <v>302.1755599747317</v>
      </c>
      <c r="CC56" s="59">
        <f t="shared" si="11"/>
        <v>595.50889330806501</v>
      </c>
      <c r="CD56" s="59">
        <f ca="1">AVERAGE(OFFSET($CC$3,0,0,'Données projet'!$E$12+1,1))-AVERAGE(OFFSET($H$3,0,0,'Données projet'!$E$12+1,1))</f>
        <v>188.589895905567</v>
      </c>
      <c r="CE56" s="59">
        <f t="shared" si="40"/>
        <v>218.98894871653943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1">
        <f t="shared" si="32"/>
        <v>11.890654313289092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67">
        <f t="shared" si="1"/>
        <v>346.33368292897848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6.6</v>
      </c>
      <c r="N57" s="13">
        <f>IF('Données projet'!$A$36&gt;35,N56+M57-V56,IF(A57&lt;'Données projet'!$A$36,$K$205^A57,IF(A57='Données projet'!$A$36,'Données projet'!$B$36,N56+M57-V56)))</f>
        <v>211.40000000000003</v>
      </c>
      <c r="O57" s="13">
        <f>N57*VLOOKUP('Données projet'!$B$9,Paramètres!$A$1:$I$89,3,0)*VLOOKUP('Données projet'!$B$9,Paramètres!$A$1:$I$89,5,0)</f>
        <v>184.67904000000004</v>
      </c>
      <c r="P57" s="13">
        <f t="shared" si="33"/>
        <v>46.361626470742223</v>
      </c>
      <c r="Q57" s="20">
        <f t="shared" si="53"/>
        <v>402.39582743654279</v>
      </c>
      <c r="R57" s="59">
        <f t="shared" si="0"/>
        <v>695.7291607698761</v>
      </c>
      <c r="S57" s="59">
        <f ca="1">AVERAGE(OFFSET($R$3,0,0,'Données projet'!$E$9+1,1))-AVERAGE(OFFSET($H$3,0,0,'Données projet'!$E$9+1,1))</f>
        <v>265.44504059292035</v>
      </c>
      <c r="T57" s="59">
        <f t="shared" si="34"/>
        <v>272.02069798702723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2.7622136029475817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1.9782362702382423</v>
      </c>
      <c r="AC57" s="22">
        <f t="shared" si="3"/>
        <v>4.740449873185824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71.716690190721977</v>
      </c>
      <c r="AO57" s="59">
        <f t="shared" si="36"/>
        <v>388.00050527441761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46.172919512461391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46.172919512461391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71.716690190721977</v>
      </c>
      <c r="BJ57" s="59">
        <f t="shared" si="38"/>
        <v>388.00050527441761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46.172919512461391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46.172919512461391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6.4</v>
      </c>
      <c r="BY57" s="12">
        <f>IF('Données projet'!$A$114&gt;35,BY56+BX57-CG56,IF(A57&lt;'Données projet'!$A$114,$BV$205^A57,IF(A57='Données projet'!$A$114,'Données projet'!$B$114,BY56+BX57-CG56)))</f>
        <v>216.60000000000008</v>
      </c>
      <c r="BZ57" s="13">
        <f>BY57*VLOOKUP('Données projet'!$B$12,Paramètres!$A$1:$I$89,3,0)*VLOOKUP('Données projet'!$B$12,Paramètres!$A$1:$I$89,5,0)</f>
        <v>141.91632000000007</v>
      </c>
      <c r="CA57" s="13">
        <f t="shared" si="39"/>
        <v>36.735659538535245</v>
      </c>
      <c r="CB57" s="20">
        <f t="shared" si="10"/>
        <v>311.15219769628237</v>
      </c>
      <c r="CC57" s="59">
        <f t="shared" si="11"/>
        <v>604.48553102961569</v>
      </c>
      <c r="CD57" s="59">
        <f ca="1">AVERAGE(OFFSET($CC$3,0,0,'Données projet'!$E$12+1,1))-AVERAGE(OFFSET($H$3,0,0,'Données projet'!$E$12+1,1))</f>
        <v>188.589895905567</v>
      </c>
      <c r="CE57" s="59">
        <f t="shared" si="40"/>
        <v>218.98894871653943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1">
        <f t="shared" si="32"/>
        <v>12.085012381264168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67">
        <f t="shared" si="1"/>
        <v>347.94917989736837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218</v>
      </c>
      <c r="L58" s="12">
        <f>VLOOKUP(A58,'Données projet'!$A$35:$I$55,9,0)</f>
        <v>6.6</v>
      </c>
      <c r="M58" s="12">
        <f t="array" ref="M58">INDEX(L:L,MIN(IF(ISNUMBER(L58:L254),ROW(L58:L254),"")))</f>
        <v>6.6</v>
      </c>
      <c r="N58" s="13">
        <f>IF('Données projet'!$A$36&gt;35,N57+M58-V57,IF(A58&lt;'Données projet'!$A$36,$K$205^A58,IF(A58='Données projet'!$A$36,'Données projet'!$B$36,N57+M58-V57)))</f>
        <v>218.00000000000003</v>
      </c>
      <c r="O58" s="13">
        <f>N58*VLOOKUP('Données projet'!$B$9,Paramètres!$A$1:$I$89,3,0)*VLOOKUP('Données projet'!$B$9,Paramètres!$A$1:$I$89,5,0)</f>
        <v>190.44480000000004</v>
      </c>
      <c r="P58" s="13">
        <f t="shared" si="33"/>
        <v>47.638278428909231</v>
      </c>
      <c r="Q58" s="20">
        <f t="shared" si="53"/>
        <v>414.66136159701699</v>
      </c>
      <c r="R58" s="59">
        <f t="shared" si="0"/>
        <v>707.99469493035031</v>
      </c>
      <c r="S58" s="59">
        <f ca="1">AVERAGE(OFFSET($R$3,0,0,'Données projet'!$E$9+1,1))-AVERAGE(OFFSET($H$3,0,0,'Données projet'!$E$9+1,1))</f>
        <v>265.44504059292035</v>
      </c>
      <c r="T58" s="59">
        <f t="shared" si="34"/>
        <v>272.02069798702723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23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0.4</v>
      </c>
      <c r="Z58" s="21">
        <f>EXP(-LN(2)/35)*Z57+(1-EXP(-LN(2)/35))/(LN(2)/35)*V58*W58*VLOOKUP('Données projet'!$B$9,Paramètres!$A$1:$I$89,3,0)*0.475*44/12</f>
        <v>5.5733956651801968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8.9820633173879045</v>
      </c>
      <c r="AC58" s="22">
        <f t="shared" si="3"/>
        <v>14.555458982568101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71.716690190721977</v>
      </c>
      <c r="AO58" s="59">
        <f t="shared" si="36"/>
        <v>388.00050527441761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45.267496723522093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45.267496723522093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71.716690190721977</v>
      </c>
      <c r="BJ58" s="59">
        <f t="shared" si="38"/>
        <v>388.00050527441761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45.267496723522093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45.267496723522093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223</v>
      </c>
      <c r="BW58" s="12">
        <f>VLOOKUP(A58,'Données projet'!$A$113:$I$133,9,0)</f>
        <v>6.4</v>
      </c>
      <c r="BX58" s="12">
        <f t="array" ref="BX58">INDEX(BW:BW,MIN(IF(ISNUMBER(BW58:BW254),ROW(BW58:BW254),"")))</f>
        <v>6.4</v>
      </c>
      <c r="BY58" s="12">
        <f>IF('Données projet'!$A$114&gt;35,BY57+BX58-CG57,IF(A58&lt;'Données projet'!$A$114,$BV$205^A58,IF(A58='Données projet'!$A$114,'Données projet'!$B$114,BY57+BX58-CG57)))</f>
        <v>223.00000000000009</v>
      </c>
      <c r="BZ58" s="13">
        <f>BY58*VLOOKUP('Données projet'!$B$12,Paramètres!$A$1:$I$89,3,0)*VLOOKUP('Données projet'!$B$12,Paramètres!$A$1:$I$89,5,0)</f>
        <v>146.10960000000006</v>
      </c>
      <c r="CA58" s="13">
        <f t="shared" si="39"/>
        <v>37.693130662388469</v>
      </c>
      <c r="CB58" s="20">
        <f t="shared" si="10"/>
        <v>320.12308923699328</v>
      </c>
      <c r="CC58" s="59">
        <f t="shared" si="11"/>
        <v>613.45642257032659</v>
      </c>
      <c r="CD58" s="59">
        <f ca="1">AVERAGE(OFFSET($CC$3,0,0,'Données projet'!$E$12+1,1))-AVERAGE(OFFSET($H$3,0,0,'Données projet'!$E$12+1,1))</f>
        <v>188.589895905567</v>
      </c>
      <c r="CE58" s="59">
        <f t="shared" si="40"/>
        <v>218.98894871653943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23</v>
      </c>
      <c r="CH58" s="16">
        <f>IF(ISNA(VLOOKUP(A58,'Données projet'!$A$113:$I$133,5,0)),0%,VLOOKUP(A58,'Données projet'!$A$113:$I$133,5,0)*VLOOKUP('Données projet'!$B$12,Paramètres!$A$1:$I$89,7,0))</f>
        <v>8.6000000000000007E-2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0.5</v>
      </c>
      <c r="CK58" s="21">
        <f>EXP(-LN(2)/35)*CK57+(1-EXP(-LN(2)/35))/(LN(2)/35)*CG58*CH58*VLOOKUP('Données projet'!$B$12,Paramètres!$A$1:$I$89,3,0)*0.475*44/12</f>
        <v>1.4326736931012383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7.1092865961686798</v>
      </c>
      <c r="CN58" s="22">
        <f t="shared" si="12"/>
        <v>8.5419602892699178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1">
        <f t="shared" si="32"/>
        <v>12.278959527914731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67">
        <f t="shared" si="1"/>
        <v>349.56396117778473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</v>
      </c>
      <c r="N59" s="13">
        <f>IF('Données projet'!$A$36&gt;35,N58+M59-V58,IF(A59&lt;'Données projet'!$A$36,$K$205^A59,IF(A59='Données projet'!$A$36,'Données projet'!$B$36,N58+M59-V58)))</f>
        <v>201.00000000000003</v>
      </c>
      <c r="O59" s="13">
        <f>N59*VLOOKUP('Données projet'!$B$9,Paramètres!$A$1:$I$89,3,0)*VLOOKUP('Données projet'!$B$9,Paramètres!$A$1:$I$89,5,0)</f>
        <v>175.59360000000007</v>
      </c>
      <c r="P59" s="13">
        <f t="shared" si="33"/>
        <v>44.340433728638573</v>
      </c>
      <c r="Q59" s="20">
        <f t="shared" si="53"/>
        <v>383.05177541071225</v>
      </c>
      <c r="R59" s="59">
        <f t="shared" si="0"/>
        <v>676.38510874404551</v>
      </c>
      <c r="S59" s="59">
        <f ca="1">AVERAGE(OFFSET($R$3,0,0,'Données projet'!$E$9+1,1))-AVERAGE(OFFSET($H$3,0,0,'Données projet'!$E$9+1,1))</f>
        <v>265.44504059292035</v>
      </c>
      <c r="T59" s="59">
        <f t="shared" si="34"/>
        <v>272.02069798702723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5.4641047756217027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6.3512778807719243</v>
      </c>
      <c r="AC59" s="22">
        <f t="shared" si="3"/>
        <v>11.815382656393627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71.716690190721977</v>
      </c>
      <c r="AO59" s="59">
        <f t="shared" si="36"/>
        <v>388.00050527441761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44.37982872322052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44.37982872322052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71.716690190721977</v>
      </c>
      <c r="BJ59" s="59">
        <f t="shared" si="38"/>
        <v>388.00050527441761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44.37982872322052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44.37982872322052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5.8</v>
      </c>
      <c r="BY59" s="12">
        <f>IF('Données projet'!$A$114&gt;35,BY58+BX59-CG58,IF(A59&lt;'Données projet'!$A$114,$BV$205^A59,IF(A59='Données projet'!$A$114,'Données projet'!$B$114,BY58+BX59-CG58)))</f>
        <v>205.8000000000001</v>
      </c>
      <c r="BZ59" s="13">
        <f>BY59*VLOOKUP('Données projet'!$B$12,Paramètres!$A$1:$I$89,3,0)*VLOOKUP('Données projet'!$B$12,Paramètres!$A$1:$I$89,5,0)</f>
        <v>134.84016000000005</v>
      </c>
      <c r="CA59" s="13">
        <f t="shared" si="39"/>
        <v>35.112387625030664</v>
      </c>
      <c r="CB59" s="20">
        <f t="shared" si="10"/>
        <v>296.00068711359518</v>
      </c>
      <c r="CC59" s="59">
        <f t="shared" si="11"/>
        <v>589.33402044692843</v>
      </c>
      <c r="CD59" s="59">
        <f ca="1">AVERAGE(OFFSET($CC$3,0,0,'Données projet'!$E$12+1,1))-AVERAGE(OFFSET($H$3,0,0,'Données projet'!$E$12+1,1))</f>
        <v>188.589895905567</v>
      </c>
      <c r="CE59" s="59">
        <f t="shared" si="40"/>
        <v>218.98894871653943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1.4045798358241908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5.0270247615495025</v>
      </c>
      <c r="CN59" s="22">
        <f t="shared" si="12"/>
        <v>6.4316045973736937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1">
        <f t="shared" si="32"/>
        <v>12.472503937619955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67">
        <f t="shared" si="1"/>
        <v>351.17804102468801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</v>
      </c>
      <c r="N60" s="13">
        <f>IF('Données projet'!$A$36&gt;35,N59+M60-V59,IF(A60&lt;'Données projet'!$A$36,$K$205^A60,IF(A60='Données projet'!$A$36,'Données projet'!$B$36,N59+M60-V59)))</f>
        <v>207.00000000000003</v>
      </c>
      <c r="O60" s="13">
        <f>N60*VLOOKUP('Données projet'!$B$9,Paramètres!$A$1:$I$89,3,0)*VLOOKUP('Données projet'!$B$9,Paramètres!$A$1:$I$89,5,0)</f>
        <v>180.83520000000004</v>
      </c>
      <c r="P60" s="13">
        <f t="shared" si="33"/>
        <v>45.507952685945142</v>
      </c>
      <c r="Q60" s="20">
        <f t="shared" si="53"/>
        <v>394.21432426135453</v>
      </c>
      <c r="R60" s="59">
        <f t="shared" si="0"/>
        <v>687.54765759468785</v>
      </c>
      <c r="S60" s="59">
        <f ca="1">AVERAGE(OFFSET($R$3,0,0,'Données projet'!$E$9+1,1))-AVERAGE(OFFSET($H$3,0,0,'Données projet'!$E$9+1,1))</f>
        <v>265.44504059292035</v>
      </c>
      <c r="T60" s="59">
        <f t="shared" si="34"/>
        <v>272.02069798702723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5.3569570137465901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4.4910316586939523</v>
      </c>
      <c r="AC60" s="22">
        <f t="shared" si="3"/>
        <v>9.8479886724405432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71.716690190721977</v>
      </c>
      <c r="AO60" s="59">
        <f t="shared" si="36"/>
        <v>388.00050527441761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43.509567350980845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43.509567350980845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71.716690190721977</v>
      </c>
      <c r="BJ60" s="59">
        <f t="shared" si="38"/>
        <v>388.00050527441761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43.509567350980845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43.509567350980845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5.8</v>
      </c>
      <c r="BY60" s="12">
        <f>IF('Données projet'!$A$114&gt;35,BY59+BX60-CG59,IF(A60&lt;'Données projet'!$A$114,$BV$205^A60,IF(A60='Données projet'!$A$114,'Données projet'!$B$114,BY59+BX60-CG59)))</f>
        <v>211.60000000000011</v>
      </c>
      <c r="BZ60" s="13">
        <f>BY60*VLOOKUP('Données projet'!$B$12,Paramètres!$A$1:$I$89,3,0)*VLOOKUP('Données projet'!$B$12,Paramètres!$A$1:$I$89,5,0)</f>
        <v>138.64032000000006</v>
      </c>
      <c r="CA60" s="13">
        <f t="shared" si="39"/>
        <v>35.985345198165817</v>
      </c>
      <c r="CB60" s="20">
        <f t="shared" si="10"/>
        <v>304.13970022013888</v>
      </c>
      <c r="CC60" s="59">
        <f t="shared" si="11"/>
        <v>597.47303355347219</v>
      </c>
      <c r="CD60" s="59">
        <f ca="1">AVERAGE(OFFSET($CC$3,0,0,'Données projet'!$E$12+1,1))-AVERAGE(OFFSET($H$3,0,0,'Données projet'!$E$12+1,1))</f>
        <v>188.589895905567</v>
      </c>
      <c r="CE60" s="59">
        <f t="shared" si="40"/>
        <v>218.98894871653943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1.3770368819527852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3.5546432980843408</v>
      </c>
      <c r="CN60" s="22">
        <f t="shared" si="12"/>
        <v>4.9316801800371257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1">
        <f t="shared" si="32"/>
        <v>12.665653491137919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67">
        <f t="shared" si="1"/>
        <v>352.79143316373177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</v>
      </c>
      <c r="N61" s="13">
        <f>IF('Données projet'!$A$36&gt;35,N60+M61-V60,IF(A61&lt;'Données projet'!$A$36,$K$205^A61,IF(A61='Données projet'!$A$36,'Données projet'!$B$36,N60+M61-V60)))</f>
        <v>213.00000000000003</v>
      </c>
      <c r="O61" s="13">
        <f>N61*VLOOKUP('Données projet'!$B$9,Paramètres!$A$1:$I$89,3,0)*VLOOKUP('Données projet'!$B$9,Paramètres!$A$1:$I$89,5,0)</f>
        <v>186.07680000000005</v>
      </c>
      <c r="P61" s="13">
        <f t="shared" si="33"/>
        <v>46.671538591528673</v>
      </c>
      <c r="Q61" s="20">
        <f t="shared" si="53"/>
        <v>405.37002304691242</v>
      </c>
      <c r="R61" s="59">
        <f t="shared" si="0"/>
        <v>698.70335638024574</v>
      </c>
      <c r="S61" s="59">
        <f ca="1">AVERAGE(OFFSET($R$3,0,0,'Données projet'!$E$9+1,1))-AVERAGE(OFFSET($H$3,0,0,'Données projet'!$E$9+1,1))</f>
        <v>265.44504059292035</v>
      </c>
      <c r="T61" s="59">
        <f t="shared" si="34"/>
        <v>272.02069798702723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5.2519103541281664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3.1756389403859622</v>
      </c>
      <c r="AC61" s="22">
        <f t="shared" si="3"/>
        <v>8.4275492945141295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71.716690190721977</v>
      </c>
      <c r="AO61" s="59">
        <f t="shared" si="36"/>
        <v>388.00050527441761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42.65637127344376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42.65637127344376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71.716690190721977</v>
      </c>
      <c r="BJ61" s="59">
        <f t="shared" si="38"/>
        <v>388.00050527441761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42.65637127344376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42.65637127344376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5.8</v>
      </c>
      <c r="BY61" s="12">
        <f>IF('Données projet'!$A$114&gt;35,BY60+BX61-CG60,IF(A61&lt;'Données projet'!$A$114,$BV$205^A61,IF(A61='Données projet'!$A$114,'Données projet'!$B$114,BY60+BX61-CG60)))</f>
        <v>217.40000000000012</v>
      </c>
      <c r="BZ61" s="13">
        <f>BY61*VLOOKUP('Données projet'!$B$12,Paramètres!$A$1:$I$89,3,0)*VLOOKUP('Données projet'!$B$12,Paramètres!$A$1:$I$89,5,0)</f>
        <v>142.44048000000009</v>
      </c>
      <c r="CA61" s="13">
        <f t="shared" si="39"/>
        <v>36.855521628538284</v>
      </c>
      <c r="CB61" s="20">
        <f t="shared" si="10"/>
        <v>312.27386950303764</v>
      </c>
      <c r="CC61" s="59">
        <f t="shared" si="11"/>
        <v>605.60720283637102</v>
      </c>
      <c r="CD61" s="59">
        <f ca="1">AVERAGE(OFFSET($CC$3,0,0,'Données projet'!$E$12+1,1))-AVERAGE(OFFSET($H$3,0,0,'Données projet'!$E$12+1,1))</f>
        <v>188.589895905567</v>
      </c>
      <c r="CE61" s="59">
        <f t="shared" si="40"/>
        <v>218.98894871653943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1.350034028607255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2.5135123807747517</v>
      </c>
      <c r="CN61" s="22">
        <f t="shared" si="12"/>
        <v>3.8635464093820069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1">
        <f t="shared" si="32"/>
        <v>12.858415781906336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67">
        <f t="shared" si="1"/>
        <v>354.40415082015346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</v>
      </c>
      <c r="N62" s="13">
        <f>IF('Données projet'!$A$36&gt;35,N61+M62-V61,IF(A62&lt;'Données projet'!$A$36,$K$205^A62,IF(A62='Données projet'!$A$36,'Données projet'!$B$36,N61+M62-V61)))</f>
        <v>219.00000000000003</v>
      </c>
      <c r="O62" s="13">
        <f>N62*VLOOKUP('Données projet'!$B$9,Paramètres!$A$1:$I$89,3,0)*VLOOKUP('Données projet'!$B$9,Paramètres!$A$1:$I$89,5,0)</f>
        <v>191.31840000000005</v>
      </c>
      <c r="P62" s="13">
        <f t="shared" si="33"/>
        <v>47.831314962098396</v>
      </c>
      <c r="Q62" s="20">
        <f t="shared" si="53"/>
        <v>416.51908689232141</v>
      </c>
      <c r="R62" s="59">
        <f t="shared" si="0"/>
        <v>709.85242022565467</v>
      </c>
      <c r="S62" s="59">
        <f ca="1">AVERAGE(OFFSET($R$3,0,0,'Données projet'!$E$9+1,1))-AVERAGE(OFFSET($H$3,0,0,'Données projet'!$E$9+1,1))</f>
        <v>265.44504059292035</v>
      </c>
      <c r="T62" s="59">
        <f t="shared" si="34"/>
        <v>272.02069798702723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5.1489235954327244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2.2455158293469761</v>
      </c>
      <c r="AC62" s="22">
        <f t="shared" si="3"/>
        <v>7.3944394247797005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71.716690190721977</v>
      </c>
      <c r="AO62" s="59">
        <f t="shared" si="36"/>
        <v>388.00050527441761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41.81990585058896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41.81990585058896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71.716690190721977</v>
      </c>
      <c r="BJ62" s="59">
        <f t="shared" si="38"/>
        <v>388.00050527441761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41.81990585058896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41.81990585058896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5.8</v>
      </c>
      <c r="BY62" s="12">
        <f>IF('Données projet'!$A$114&gt;35,BY61+BX62-CG61,IF(A62&lt;'Données projet'!$A$114,$BV$205^A62,IF(A62='Données projet'!$A$114,'Données projet'!$B$114,BY61+BX62-CG61)))</f>
        <v>223.20000000000013</v>
      </c>
      <c r="BZ62" s="13">
        <f>BY62*VLOOKUP('Données projet'!$B$12,Paramètres!$A$1:$I$89,3,0)*VLOOKUP('Données projet'!$B$12,Paramètres!$A$1:$I$89,5,0)</f>
        <v>146.2406400000001</v>
      </c>
      <c r="CA62" s="13">
        <f t="shared" si="39"/>
        <v>37.722999642090628</v>
      </c>
      <c r="CB62" s="20">
        <f t="shared" si="10"/>
        <v>320.40333904330799</v>
      </c>
      <c r="CC62" s="59">
        <f t="shared" si="11"/>
        <v>613.73667237664131</v>
      </c>
      <c r="CD62" s="59">
        <f ca="1">AVERAGE(OFFSET($CC$3,0,0,'Données projet'!$E$12+1,1))-AVERAGE(OFFSET($H$3,0,0,'Données projet'!$E$12+1,1))</f>
        <v>188.589895905567</v>
      </c>
      <c r="CE62" s="59">
        <f t="shared" si="40"/>
        <v>218.98894871653943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1.3235606847457162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1.7773216490421706</v>
      </c>
      <c r="CN62" s="22">
        <f t="shared" si="12"/>
        <v>3.1008823337878866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1">
        <f t="shared" si="32"/>
        <v>13.050798131206863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67">
        <f t="shared" si="1"/>
        <v>356.01620674518517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225</v>
      </c>
      <c r="L63" s="12">
        <f>VLOOKUP(A63,'Données projet'!$A$35:$I$55,9,0)</f>
        <v>6</v>
      </c>
      <c r="M63" s="12">
        <f t="array" ref="M63">INDEX(L:L,MIN(IF(ISNUMBER(L63:L259),ROW(L63:L259),"")))</f>
        <v>6</v>
      </c>
      <c r="N63" s="13">
        <f>IF('Données projet'!$A$36&gt;35,N62+M63-V62,IF(A63&lt;'Données projet'!$A$36,$K$205^A63,IF(A63='Données projet'!$A$36,'Données projet'!$B$36,N62+M63-V62)))</f>
        <v>225.00000000000003</v>
      </c>
      <c r="O63" s="13">
        <f>N63*VLOOKUP('Données projet'!$B$9,Paramètres!$A$1:$I$89,3,0)*VLOOKUP('Données projet'!$B$9,Paramètres!$A$1:$I$89,5,0)</f>
        <v>196.56000000000006</v>
      </c>
      <c r="P63" s="13">
        <f t="shared" si="33"/>
        <v>48.987398161128134</v>
      </c>
      <c r="Q63" s="20">
        <f t="shared" si="53"/>
        <v>427.66171846396492</v>
      </c>
      <c r="R63" s="59">
        <f t="shared" si="0"/>
        <v>720.99505179729817</v>
      </c>
      <c r="S63" s="59">
        <f ca="1">AVERAGE(OFFSET($R$3,0,0,'Données projet'!$E$9+1,1))-AVERAGE(OFFSET($H$3,0,0,'Données projet'!$E$9+1,1))</f>
        <v>265.44504059292035</v>
      </c>
      <c r="T63" s="59">
        <f t="shared" si="34"/>
        <v>272.02069798702723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0.129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0.4</v>
      </c>
      <c r="Z63" s="21">
        <f>EXP(-LN(2)/35)*Z62+(1-EXP(-LN(2)/35))/(LN(2)/35)*V63*W63*VLOOKUP('Données projet'!$B$9,Paramètres!$A$1:$I$89,3,0)*0.475*44/12</f>
        <v>7.6641430881835806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8.5116464160268261</v>
      </c>
      <c r="AC63" s="22">
        <f t="shared" si="3"/>
        <v>16.175789504210407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71.716690190721977</v>
      </c>
      <c r="AO63" s="59">
        <f t="shared" si="36"/>
        <v>388.00050527441761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40.999843004482813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40.999843004482813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71.716690190721977</v>
      </c>
      <c r="BJ63" s="59">
        <f t="shared" si="38"/>
        <v>388.00050527441761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40.999843004482813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40.999843004482813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229</v>
      </c>
      <c r="BW63" s="12">
        <f>VLOOKUP(A63,'Données projet'!$A$113:$I$133,9,0)</f>
        <v>5.8</v>
      </c>
      <c r="BX63" s="12">
        <f t="array" ref="BX63">INDEX(BW:BW,MIN(IF(ISNUMBER(BW63:BW259),ROW(BW63:BW259),"")))</f>
        <v>5.8</v>
      </c>
      <c r="BY63" s="12">
        <f>IF('Données projet'!$A$114&gt;35,BY62+BX63-CG62,IF(A63&lt;'Données projet'!$A$114,$BV$205^A63,IF(A63='Données projet'!$A$114,'Données projet'!$B$114,BY62+BX63-CG62)))</f>
        <v>229.00000000000014</v>
      </c>
      <c r="BZ63" s="13">
        <f>BY63*VLOOKUP('Données projet'!$B$12,Paramètres!$A$1:$I$89,3,0)*VLOOKUP('Données projet'!$B$12,Paramètres!$A$1:$I$89,5,0)</f>
        <v>150.04080000000008</v>
      </c>
      <c r="CA63" s="13">
        <f t="shared" si="39"/>
        <v>38.587857420495212</v>
      </c>
      <c r="CB63" s="20">
        <f t="shared" si="10"/>
        <v>328.52824500736261</v>
      </c>
      <c r="CC63" s="59">
        <f t="shared" si="11"/>
        <v>621.86157834069593</v>
      </c>
      <c r="CD63" s="59">
        <f ca="1">AVERAGE(OFFSET($CC$3,0,0,'Données projet'!$E$12+1,1))-AVERAGE(OFFSET($H$3,0,0,'Données projet'!$E$12+1,1))</f>
        <v>188.589895905567</v>
      </c>
      <c r="CE63" s="59">
        <f t="shared" si="40"/>
        <v>218.98894871653943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22</v>
      </c>
      <c r="CH63" s="16">
        <f>IF(ISNA(VLOOKUP(A63,'Données projet'!$A$113:$I$133,5,0)),0%,VLOOKUP(A63,'Données projet'!$A$113:$I$133,5,0)*VLOOKUP('Données projet'!$B$12,Paramètres!$A$1:$I$89,7,0))</f>
        <v>8.6000000000000007E-2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0.5</v>
      </c>
      <c r="CK63" s="21">
        <f>EXP(-LN(2)/35)*CK62+(1-EXP(-LN(2)/35))/(LN(2)/35)*CG63*CH63*VLOOKUP('Données projet'!$B$12,Paramètres!$A$1:$I$89,3,0)*0.475*44/12</f>
        <v>2.667989999541776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8.0569433693313286</v>
      </c>
      <c r="CN63" s="22">
        <f t="shared" si="12"/>
        <v>10.724933368873105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1">
        <f t="shared" si="32"/>
        <v>13.24280760228976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67">
        <f t="shared" si="1"/>
        <v>357.62761324065457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5.6</v>
      </c>
      <c r="N64" s="13">
        <f>IF('Données projet'!$A$36&gt;35,N63+M64-V63,IF(A64&lt;'Données projet'!$A$36,$K$205^A64,IF(A64='Données projet'!$A$36,'Données projet'!$B$36,N63+M64-V63)))</f>
        <v>209.60000000000002</v>
      </c>
      <c r="O64" s="13">
        <f>N64*VLOOKUP('Données projet'!$B$9,Paramètres!$A$1:$I$89,3,0)*VLOOKUP('Données projet'!$B$9,Paramètres!$A$1:$I$89,5,0)</f>
        <v>183.10656000000003</v>
      </c>
      <c r="P64" s="13">
        <f t="shared" si="33"/>
        <v>46.012648718992089</v>
      </c>
      <c r="Q64" s="20">
        <f t="shared" si="53"/>
        <v>399.04928851891128</v>
      </c>
      <c r="R64" s="59">
        <f t="shared" si="0"/>
        <v>692.3826218522446</v>
      </c>
      <c r="S64" s="59">
        <f ca="1">AVERAGE(OFFSET($R$3,0,0,'Données projet'!$E$9+1,1))-AVERAGE(OFFSET($H$3,0,0,'Données projet'!$E$9+1,1))</f>
        <v>265.44504059292035</v>
      </c>
      <c r="T64" s="59">
        <f t="shared" si="34"/>
        <v>272.02069798702723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7.5138539168899996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6.0186428998347425</v>
      </c>
      <c r="AC64" s="22">
        <f t="shared" si="3"/>
        <v>13.532496816724741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71.716690190721977</v>
      </c>
      <c r="AO64" s="59">
        <f t="shared" si="36"/>
        <v>388.00050527441761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40.195861090599855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40.195861090599855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71.716690190721977</v>
      </c>
      <c r="BJ64" s="59">
        <f t="shared" si="38"/>
        <v>388.00050527441761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40.195861090599855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40.195861090599855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212.20000000000013</v>
      </c>
      <c r="BZ64" s="13">
        <f>BY64*VLOOKUP('Données projet'!$B$12,Paramètres!$A$1:$I$89,3,0)*VLOOKUP('Données projet'!$B$12,Paramètres!$A$1:$I$89,5,0)</f>
        <v>139.0334400000001</v>
      </c>
      <c r="CA64" s="13">
        <f t="shared" si="39"/>
        <v>36.07549097093554</v>
      </c>
      <c r="CB64" s="20">
        <f t="shared" si="10"/>
        <v>304.98138810771292</v>
      </c>
      <c r="CC64" s="59">
        <f t="shared" si="11"/>
        <v>598.31472144104623</v>
      </c>
      <c r="CD64" s="59">
        <f ca="1">AVERAGE(OFFSET($CC$3,0,0,'Données projet'!$E$12+1,1))-AVERAGE(OFFSET($H$3,0,0,'Données projet'!$E$12+1,1))</f>
        <v>188.589895905567</v>
      </c>
      <c r="CE64" s="59">
        <f t="shared" si="40"/>
        <v>218.98894871653943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2.6156723429639777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5.6971192920901732</v>
      </c>
      <c r="CN64" s="22">
        <f t="shared" si="12"/>
        <v>8.3127916350541504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1">
        <f t="shared" si="32"/>
        <v>13.434451013546127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67">
        <f t="shared" si="1"/>
        <v>359.23838218192606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5.6</v>
      </c>
      <c r="N65" s="13">
        <f>IF('Données projet'!$A$36&gt;35,N64+M65-V64,IF(A65&lt;'Données projet'!$A$36,$K$205^A65,IF(A65='Données projet'!$A$36,'Données projet'!$B$36,N64+M65-V64)))</f>
        <v>215.20000000000002</v>
      </c>
      <c r="O65" s="13">
        <f>N65*VLOOKUP('Données projet'!$B$9,Paramètres!$A$1:$I$89,3,0)*VLOOKUP('Données projet'!$B$9,Paramètres!$A$1:$I$89,5,0)</f>
        <v>187.99872000000002</v>
      </c>
      <c r="P65" s="13">
        <f t="shared" si="33"/>
        <v>47.097225953569499</v>
      </c>
      <c r="Q65" s="20">
        <f t="shared" si="53"/>
        <v>409.45877253580028</v>
      </c>
      <c r="R65" s="59">
        <f t="shared" si="0"/>
        <v>702.79210586913359</v>
      </c>
      <c r="S65" s="59">
        <f ca="1">AVERAGE(OFFSET($R$3,0,0,'Données projet'!$E$9+1,1))-AVERAGE(OFFSET($H$3,0,0,'Données projet'!$E$9+1,1))</f>
        <v>265.44504059292035</v>
      </c>
      <c r="T65" s="59">
        <f t="shared" si="34"/>
        <v>272.02069798702723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7.3665118245781427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4.2558232080134131</v>
      </c>
      <c r="AC65" s="22">
        <f t="shared" si="3"/>
        <v>11.622335032591556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71.716690190721977</v>
      </c>
      <c r="AO65" s="59">
        <f t="shared" si="36"/>
        <v>388.00050527441761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39.407644771667599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39.407644771667599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71.716690190721977</v>
      </c>
      <c r="BJ65" s="59">
        <f t="shared" si="38"/>
        <v>388.00050527441761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39.407644771667599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39.407644771667599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217.40000000000012</v>
      </c>
      <c r="BZ65" s="13">
        <f>BY65*VLOOKUP('Données projet'!$B$12,Paramètres!$A$1:$I$89,3,0)*VLOOKUP('Données projet'!$B$12,Paramètres!$A$1:$I$89,5,0)</f>
        <v>142.44048000000009</v>
      </c>
      <c r="CA65" s="13">
        <f t="shared" si="39"/>
        <v>36.855521628538284</v>
      </c>
      <c r="CB65" s="20">
        <f t="shared" si="10"/>
        <v>312.27386950303764</v>
      </c>
      <c r="CC65" s="59">
        <f t="shared" si="11"/>
        <v>605.60720283637102</v>
      </c>
      <c r="CD65" s="59">
        <f ca="1">AVERAGE(OFFSET($CC$3,0,0,'Données projet'!$E$12+1,1))-AVERAGE(OFFSET($H$3,0,0,'Données projet'!$E$12+1,1))</f>
        <v>188.589895905567</v>
      </c>
      <c r="CE65" s="59">
        <f t="shared" si="40"/>
        <v>218.98894871653943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2.5643806037210504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4.0284716846656652</v>
      </c>
      <c r="CN65" s="22">
        <f t="shared" si="12"/>
        <v>6.592852288386716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1">
        <f t="shared" si="32"/>
        <v>13.625734950806207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67">
        <f t="shared" si="1"/>
        <v>360.84852503932069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5.6</v>
      </c>
      <c r="N66" s="13">
        <f>IF('Données projet'!$A$36&gt;35,N65+M66-V65,IF(A66&lt;'Données projet'!$A$36,$K$205^A66,IF(A66='Données projet'!$A$36,'Données projet'!$B$36,N65+M66-V65)))</f>
        <v>220.8</v>
      </c>
      <c r="O66" s="13">
        <f>N66*VLOOKUP('Données projet'!$B$9,Paramètres!$A$1:$I$89,3,0)*VLOOKUP('Données projet'!$B$9,Paramètres!$A$1:$I$89,5,0)</f>
        <v>192.89088000000004</v>
      </c>
      <c r="P66" s="13">
        <f t="shared" si="33"/>
        <v>48.178522586846704</v>
      </c>
      <c r="Q66" s="20">
        <f t="shared" si="53"/>
        <v>419.86254283875809</v>
      </c>
      <c r="R66" s="59">
        <f t="shared" si="0"/>
        <v>713.1958761720914</v>
      </c>
      <c r="S66" s="59">
        <f ca="1">AVERAGE(OFFSET($R$3,0,0,'Données projet'!$E$9+1,1))-AVERAGE(OFFSET($H$3,0,0,'Données projet'!$E$9+1,1))</f>
        <v>265.44504059292035</v>
      </c>
      <c r="T66" s="59">
        <f t="shared" si="34"/>
        <v>272.02069798702723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7.2220590208267188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3.0093214499173713</v>
      </c>
      <c r="AC66" s="22">
        <f t="shared" si="3"/>
        <v>10.231380470744091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71.716690190721977</v>
      </c>
      <c r="AO66" s="59">
        <f t="shared" si="36"/>
        <v>388.00050527441761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38.634884893985124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38.634884893985124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71.716690190721977</v>
      </c>
      <c r="BJ66" s="59">
        <f t="shared" si="38"/>
        <v>388.00050527441761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38.634884893985124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38.634884893985124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222.60000000000011</v>
      </c>
      <c r="BZ66" s="13">
        <f>BY66*VLOOKUP('Données projet'!$B$12,Paramètres!$A$1:$I$89,3,0)*VLOOKUP('Données projet'!$B$12,Paramètres!$A$1:$I$89,5,0)</f>
        <v>145.84752000000009</v>
      </c>
      <c r="CA66" s="13">
        <f t="shared" si="39"/>
        <v>37.633383344887093</v>
      </c>
      <c r="CB66" s="20">
        <f t="shared" si="10"/>
        <v>319.56257332567844</v>
      </c>
      <c r="CC66" s="59">
        <f t="shared" si="11"/>
        <v>612.89590665901176</v>
      </c>
      <c r="CD66" s="59">
        <f ca="1">AVERAGE(OFFSET($CC$3,0,0,'Données projet'!$E$12+1,1))-AVERAGE(OFFSET($H$3,0,0,'Données projet'!$E$12+1,1))</f>
        <v>188.589895905567</v>
      </c>
      <c r="CE66" s="59">
        <f t="shared" si="40"/>
        <v>218.98894871653943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2.514094664199805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2.848559646045087</v>
      </c>
      <c r="CN66" s="22">
        <f t="shared" si="12"/>
        <v>5.362654310244892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1">
        <f t="shared" si="32"/>
        <v>13.816665778834693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67">
        <f t="shared" si="1"/>
        <v>362.458052898137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5.6</v>
      </c>
      <c r="N67" s="13">
        <f>IF('Données projet'!$A$36&gt;35,N66+M67-V66,IF(A67&lt;'Données projet'!$A$36,$K$205^A67,IF(A67='Données projet'!$A$36,'Données projet'!$B$36,N66+M67-V66)))</f>
        <v>226.4</v>
      </c>
      <c r="O67" s="13">
        <f>N67*VLOOKUP('Données projet'!$B$9,Paramètres!$A$1:$I$89,3,0)*VLOOKUP('Données projet'!$B$9,Paramètres!$A$1:$I$89,5,0)</f>
        <v>197.78304000000003</v>
      </c>
      <c r="P67" s="13">
        <f t="shared" si="33"/>
        <v>49.256631390532817</v>
      </c>
      <c r="Q67" s="20">
        <f t="shared" ref="Q67:Q98" si="54">(O67+P67)*0.475*44/12</f>
        <v>430.26076100517804</v>
      </c>
      <c r="R67" s="59">
        <f t="shared" ref="R67:R130" si="55">Q67+(I67+J67)*44/12</f>
        <v>723.59409433851135</v>
      </c>
      <c r="S67" s="59">
        <f ca="1">AVERAGE(OFFSET($R$3,0,0,'Données projet'!$E$9+1,1))-AVERAGE(OFFSET($H$3,0,0,'Données projet'!$E$9+1,1))</f>
        <v>265.44504059292035</v>
      </c>
      <c r="T67" s="59">
        <f t="shared" si="34"/>
        <v>272.02069798702723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7.0804388484493499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2.1279116040067065</v>
      </c>
      <c r="AC67" s="22">
        <f t="shared" si="3"/>
        <v>9.208350452456056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71.716690190721977</v>
      </c>
      <c r="AO67" s="59">
        <f t="shared" si="36"/>
        <v>388.00050527441761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37.877278366167012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37.877278366167012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71.716690190721977</v>
      </c>
      <c r="BJ67" s="59">
        <f t="shared" si="38"/>
        <v>388.00050527441761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37.877278366167012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37.877278366167012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227.8000000000001</v>
      </c>
      <c r="BZ67" s="13">
        <f>BY67*VLOOKUP('Données projet'!$B$12,Paramètres!$A$1:$I$89,3,0)*VLOOKUP('Données projet'!$B$12,Paramètres!$A$1:$I$89,5,0)</f>
        <v>149.25456000000005</v>
      </c>
      <c r="CA67" s="13">
        <f t="shared" si="39"/>
        <v>38.409132618275962</v>
      </c>
      <c r="CB67" s="20">
        <f t="shared" si="10"/>
        <v>326.84759797683068</v>
      </c>
      <c r="CC67" s="59">
        <f t="shared" si="11"/>
        <v>620.18093131016394</v>
      </c>
      <c r="CD67" s="59">
        <f ca="1">AVERAGE(OFFSET($CC$3,0,0,'Données projet'!$E$12+1,1))-AVERAGE(OFFSET($H$3,0,0,'Données projet'!$E$12+1,1))</f>
        <v>188.589895905567</v>
      </c>
      <c r="CE67" s="59">
        <f t="shared" si="40"/>
        <v>218.98894871653943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2.4647948012811769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2.0142358423328326</v>
      </c>
      <c r="CN67" s="22">
        <f t="shared" si="12"/>
        <v>4.4790306436140099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1">
        <f t="shared" si="32"/>
        <v>14.007249652087188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67">
        <f t="shared" ref="H68:H131" si="56">(B68+E68+F68)*44/12+(C68+D68)*0.475*44/12</f>
        <v>364.06697647738508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232</v>
      </c>
      <c r="L68" s="12">
        <f>VLOOKUP(A68,'Données projet'!$A$35:$I$55,9,0)</f>
        <v>5.6</v>
      </c>
      <c r="M68" s="12">
        <f t="array" ref="M68">INDEX(L:L,MIN(IF(ISNUMBER(L68:L264),ROW(L68:L264),"")))</f>
        <v>5.6</v>
      </c>
      <c r="N68" s="13">
        <f>IF('Données projet'!$A$36&gt;35,N67+M68-V67,IF(A68&lt;'Données projet'!$A$36,$K$205^A68,IF(A68='Données projet'!$A$36,'Données projet'!$B$36,N67+M68-V67)))</f>
        <v>232</v>
      </c>
      <c r="O68" s="13">
        <f>N68*VLOOKUP('Données projet'!$B$9,Paramètres!$A$1:$I$89,3,0)*VLOOKUP('Données projet'!$B$9,Paramètres!$A$1:$I$89,5,0)</f>
        <v>202.67520000000002</v>
      </c>
      <c r="P68" s="13">
        <f t="shared" si="33"/>
        <v>50.331640285313689</v>
      </c>
      <c r="Q68" s="20">
        <f t="shared" si="54"/>
        <v>440.653580163588</v>
      </c>
      <c r="R68" s="59">
        <f t="shared" si="55"/>
        <v>733.98691349692126</v>
      </c>
      <c r="S68" s="59">
        <f ca="1">AVERAGE(OFFSET($R$3,0,0,'Données projet'!$E$9+1,1))-AVERAGE(OFFSET($H$3,0,0,'Données projet'!$E$9+1,1))</f>
        <v>265.44504059292035</v>
      </c>
      <c r="T68" s="59">
        <f t="shared" si="34"/>
        <v>272.02069798702723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20</v>
      </c>
      <c r="W68" s="16">
        <f>IF(ISNA(VLOOKUP(A68,'Données projet'!$A$35:$I$55,5,0)),0%,VLOOKUP(A68,'Données projet'!$A$35:$I$55,5,0)*VLOOKUP('Données projet'!$B$9,Paramètres!$A$1:$I$89,7,0))</f>
        <v>0.129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0.4</v>
      </c>
      <c r="Z68" s="21">
        <f>EXP(-LN(2)/35)*Z67+(1-EXP(-LN(2)/35))/(LN(2)/35)*V68*W68*VLOOKUP('Données projet'!$B$9,Paramètres!$A$1:$I$89,3,0)*0.475*44/12</f>
        <v>9.4332021840572882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8.0987816257528245</v>
      </c>
      <c r="AC68" s="22">
        <f t="shared" ref="AC68:AC131" si="57">SUM(Z68:AB68)</f>
        <v>17.531983809810114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71.716690190721977</v>
      </c>
      <c r="AO68" s="59">
        <f t="shared" si="36"/>
        <v>388.00050527441761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37.13452804026506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37.13452804026506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71.716690190721977</v>
      </c>
      <c r="BJ68" s="59">
        <f t="shared" si="38"/>
        <v>388.00050527441761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37.13452804026506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37.13452804026506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233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233.00000000000009</v>
      </c>
      <c r="BZ68" s="13">
        <f>BY68*VLOOKUP('Données projet'!$B$12,Paramètres!$A$1:$I$89,3,0)*VLOOKUP('Données projet'!$B$12,Paramètres!$A$1:$I$89,5,0)</f>
        <v>152.66160000000005</v>
      </c>
      <c r="CA68" s="13">
        <f t="shared" si="39"/>
        <v>39.182823220412118</v>
      </c>
      <c r="CB68" s="20">
        <f t="shared" ref="CB68:CB131" si="64">(BZ68+CA68)*0.475*44/12</f>
        <v>334.12903710888457</v>
      </c>
      <c r="CC68" s="59">
        <f t="shared" ref="CC68:CC131" si="65">CB68+(BT68+BU68)*44/12</f>
        <v>627.46237044221789</v>
      </c>
      <c r="CD68" s="59">
        <f ca="1">AVERAGE(OFFSET($CC$3,0,0,'Données projet'!$E$12+1,1))-AVERAGE(OFFSET($H$3,0,0,'Données projet'!$E$12+1,1))</f>
        <v>188.589895905567</v>
      </c>
      <c r="CE68" s="59">
        <f t="shared" si="40"/>
        <v>218.98894871653943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20</v>
      </c>
      <c r="CH68" s="16">
        <f>IF(ISNA(VLOOKUP(A68,'Données projet'!$A$113:$I$133,5,0)),0%,VLOOKUP(A68,'Données projet'!$A$113:$I$133,5,0)*VLOOKUP('Données projet'!$B$12,Paramètres!$A$1:$I$89,7,0))</f>
        <v>8.6000000000000007E-2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0.5</v>
      </c>
      <c r="CK68" s="21">
        <f>EXP(-LN(2)/35)*CK67+(1-EXP(-LN(2)/35))/(LN(2)/35)*CG68*CH68*VLOOKUP('Données projet'!$B$12,Paramètres!$A$1:$I$89,3,0)*0.475*44/12</f>
        <v>3.6622648899968167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7.6062681675170474</v>
      </c>
      <c r="CN68" s="22">
        <f t="shared" ref="CN68:CN131" si="66">SUM(CK68:CM68)</f>
        <v>11.268533057513864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1">
        <f t="shared" ref="D69:D132" si="86">IFERROR(EXP(-1.0587+0.8836*LN(C69)+0.284),0)</f>
        <v>14.197492524785963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67">
        <f t="shared" si="56"/>
        <v>365.67530614733545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</v>
      </c>
      <c r="N69" s="13">
        <f>IF('Données projet'!$A$36&gt;35,N68+M69-V68,IF(A69&lt;'Données projet'!$A$36,$K$205^A69,IF(A69='Données projet'!$A$36,'Données projet'!$B$36,N68+M69-V68)))</f>
        <v>217</v>
      </c>
      <c r="O69" s="13">
        <f>N69*VLOOKUP('Données projet'!$B$9,Paramètres!$A$1:$I$89,3,0)*VLOOKUP('Données projet'!$B$9,Paramètres!$A$1:$I$89,5,0)</f>
        <v>189.57120000000003</v>
      </c>
      <c r="P69" s="13">
        <f t="shared" ref="P69:P132" si="87">EXP(-1.0587+0.8836*LN(O69)+0.284)</f>
        <v>47.44513879693244</v>
      </c>
      <c r="Q69" s="20">
        <f t="shared" si="54"/>
        <v>412.8034567379907</v>
      </c>
      <c r="R69" s="59">
        <f t="shared" si="55"/>
        <v>706.13679007132396</v>
      </c>
      <c r="S69" s="59">
        <f ca="1">AVERAGE(OFFSET($R$3,0,0,'Données projet'!$E$9+1,1))-AVERAGE(OFFSET($H$3,0,0,'Données projet'!$E$9+1,1))</f>
        <v>265.44504059292035</v>
      </c>
      <c r="T69" s="59">
        <f t="shared" ref="T69:T132" si="88">$T$3</f>
        <v>272.02069798702723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9.2482228429131279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5.7267034069188343</v>
      </c>
      <c r="AC69" s="22">
        <f t="shared" si="57"/>
        <v>14.974926249831963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71.716690190721977</v>
      </c>
      <c r="AO69" s="59">
        <f t="shared" ref="AO69:AO132" si="90">$AO$3</f>
        <v>388.00050527441761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36.406342595221084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36.406342595221084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71.716690190721977</v>
      </c>
      <c r="BJ69" s="59">
        <f t="shared" ref="BJ69:BJ132" si="92">$BJ$3</f>
        <v>388.00050527441761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36.406342595221084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36.406342595221084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4.8</v>
      </c>
      <c r="BY69" s="12">
        <f>IF('Données projet'!$A$114&gt;35,BY68+BX69-CG68,IF(A69&lt;'Données projet'!$A$114,$BV$205^A69,IF(A69='Données projet'!$A$114,'Données projet'!$B$114,BY68+BX69-CG68)))</f>
        <v>217.8000000000001</v>
      </c>
      <c r="BZ69" s="13">
        <f>BY69*VLOOKUP('Données projet'!$B$12,Paramètres!$A$1:$I$89,3,0)*VLOOKUP('Données projet'!$B$12,Paramètres!$A$1:$I$89,5,0)</f>
        <v>142.70256000000006</v>
      </c>
      <c r="CA69" s="13">
        <f t="shared" ref="CA69:CA132" si="93">EXP(-1.0587+0.8836*LN(BZ69)+0.284)</f>
        <v>36.91543341153259</v>
      </c>
      <c r="CB69" s="20">
        <f t="shared" si="64"/>
        <v>312.83467185841943</v>
      </c>
      <c r="CC69" s="59">
        <f t="shared" si="65"/>
        <v>606.16800519175274</v>
      </c>
      <c r="CD69" s="59">
        <f ca="1">AVERAGE(OFFSET($CC$3,0,0,'Données projet'!$E$12+1,1))-AVERAGE(OFFSET($H$3,0,0,'Données projet'!$E$12+1,1))</f>
        <v>188.589895905567</v>
      </c>
      <c r="CE69" s="59">
        <f t="shared" ref="CE69:CE132" si="94">$CE$3</f>
        <v>218.98894871653943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3.5904501092649963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5.3784438007746793</v>
      </c>
      <c r="CN69" s="22">
        <f t="shared" si="66"/>
        <v>8.9688939100396752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1">
        <f t="shared" si="86"/>
        <v>14.387400160367701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67">
        <f t="shared" si="56"/>
        <v>367.28305194597363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</v>
      </c>
      <c r="N70" s="13">
        <f>IF('Données projet'!$A$36&gt;35,N69+M70-V69,IF(A70&lt;'Données projet'!$A$36,$K$205^A70,IF(A70='Données projet'!$A$36,'Données projet'!$B$36,N69+M70-V69)))</f>
        <v>222</v>
      </c>
      <c r="O70" s="13">
        <f>N70*VLOOKUP('Données projet'!$B$9,Paramètres!$A$1:$I$89,3,0)*VLOOKUP('Données projet'!$B$9,Paramètres!$A$1:$I$89,5,0)</f>
        <v>193.93920000000003</v>
      </c>
      <c r="P70" s="13">
        <f t="shared" si="87"/>
        <v>48.409811198069384</v>
      </c>
      <c r="Q70" s="20">
        <f t="shared" si="54"/>
        <v>422.09119450330417</v>
      </c>
      <c r="R70" s="59">
        <f t="shared" si="55"/>
        <v>715.42452783663748</v>
      </c>
      <c r="S70" s="59">
        <f ca="1">AVERAGE(OFFSET($R$3,0,0,'Données projet'!$E$9+1,1))-AVERAGE(OFFSET($H$3,0,0,'Données projet'!$E$9+1,1))</f>
        <v>265.44504059292035</v>
      </c>
      <c r="T70" s="59">
        <f t="shared" si="88"/>
        <v>272.02069798702723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9.0668708338225468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4.0493908128764122</v>
      </c>
      <c r="AC70" s="22">
        <f t="shared" si="57"/>
        <v>13.116261646698959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71.716690190721977</v>
      </c>
      <c r="AO70" s="59">
        <f t="shared" si="90"/>
        <v>388.00050527441761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35.692436422605155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35.692436422605155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71.716690190721977</v>
      </c>
      <c r="BJ70" s="59">
        <f t="shared" si="92"/>
        <v>388.00050527441761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35.692436422605155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35.692436422605155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4.8</v>
      </c>
      <c r="BY70" s="12">
        <f>IF('Données projet'!$A$114&gt;35,BY69+BX70-CG69,IF(A70&lt;'Données projet'!$A$114,$BV$205^A70,IF(A70='Données projet'!$A$114,'Données projet'!$B$114,BY69+BX70-CG69)))</f>
        <v>222.60000000000011</v>
      </c>
      <c r="BZ70" s="13">
        <f>BY70*VLOOKUP('Données projet'!$B$12,Paramètres!$A$1:$I$89,3,0)*VLOOKUP('Données projet'!$B$12,Paramètres!$A$1:$I$89,5,0)</f>
        <v>145.84752000000009</v>
      </c>
      <c r="CA70" s="13">
        <f t="shared" si="93"/>
        <v>37.633383344887093</v>
      </c>
      <c r="CB70" s="20">
        <f t="shared" si="64"/>
        <v>319.56257332567844</v>
      </c>
      <c r="CC70" s="59">
        <f t="shared" si="65"/>
        <v>612.89590665901176</v>
      </c>
      <c r="CD70" s="59">
        <f ca="1">AVERAGE(OFFSET($CC$3,0,0,'Données projet'!$E$12+1,1))-AVERAGE(OFFSET($H$3,0,0,'Données projet'!$E$12+1,1))</f>
        <v>188.589895905567</v>
      </c>
      <c r="CE70" s="59">
        <f t="shared" si="94"/>
        <v>218.98894871653943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3.520043572580636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3.8031340837585246</v>
      </c>
      <c r="CN70" s="22">
        <f t="shared" si="66"/>
        <v>7.3231776563391602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1">
        <f t="shared" si="86"/>
        <v>14.576978140351192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67">
        <f t="shared" si="56"/>
        <v>368.89022359444488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</v>
      </c>
      <c r="N71" s="13">
        <f>IF('Données projet'!$A$36&gt;35,N70+M71-V70,IF(A71&lt;'Données projet'!$A$36,$K$205^A71,IF(A71='Données projet'!$A$36,'Données projet'!$B$36,N70+M71-V70)))</f>
        <v>227</v>
      </c>
      <c r="O71" s="13">
        <f>N71*VLOOKUP('Données projet'!$B$9,Paramètres!$A$1:$I$89,3,0)*VLOOKUP('Données projet'!$B$9,Paramètres!$A$1:$I$89,5,0)</f>
        <v>198.30720000000002</v>
      </c>
      <c r="P71" s="13">
        <f t="shared" si="87"/>
        <v>49.371957679623371</v>
      </c>
      <c r="Q71" s="20">
        <f t="shared" si="54"/>
        <v>431.37453295867743</v>
      </c>
      <c r="R71" s="59">
        <f t="shared" si="55"/>
        <v>724.70786629201075</v>
      </c>
      <c r="S71" s="59">
        <f ca="1">AVERAGE(OFFSET($R$3,0,0,'Données projet'!$E$9+1,1))-AVERAGE(OFFSET($H$3,0,0,'Données projet'!$E$9+1,1))</f>
        <v>265.44504059292035</v>
      </c>
      <c r="T71" s="59">
        <f t="shared" si="88"/>
        <v>272.02069798702723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8.8890750270164283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2.8633517034594171</v>
      </c>
      <c r="AC71" s="22">
        <f t="shared" si="57"/>
        <v>11.752426730475845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71.716690190721977</v>
      </c>
      <c r="AO71" s="59">
        <f t="shared" si="90"/>
        <v>388.00050527441761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34.992529514594452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34.992529514594452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71.716690190721977</v>
      </c>
      <c r="BJ71" s="59">
        <f t="shared" si="92"/>
        <v>388.00050527441761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34.992529514594452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34.992529514594452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4.8</v>
      </c>
      <c r="BY71" s="12">
        <f>IF('Données projet'!$A$114&gt;35,BY70+BX71-CG70,IF(A71&lt;'Données projet'!$A$114,$BV$205^A71,IF(A71='Données projet'!$A$114,'Données projet'!$B$114,BY70+BX71-CG70)))</f>
        <v>227.40000000000012</v>
      </c>
      <c r="BZ71" s="13">
        <f>BY71*VLOOKUP('Données projet'!$B$12,Paramètres!$A$1:$I$89,3,0)*VLOOKUP('Données projet'!$B$12,Paramètres!$A$1:$I$89,5,0)</f>
        <v>148.99248000000009</v>
      </c>
      <c r="CA71" s="13">
        <f t="shared" si="93"/>
        <v>38.349533355462334</v>
      </c>
      <c r="CB71" s="20">
        <f t="shared" si="64"/>
        <v>326.28733992743042</v>
      </c>
      <c r="CC71" s="59">
        <f t="shared" si="65"/>
        <v>619.62067326076374</v>
      </c>
      <c r="CD71" s="59">
        <f ca="1">AVERAGE(OFFSET($CC$3,0,0,'Données projet'!$E$12+1,1))-AVERAGE(OFFSET($H$3,0,0,'Données projet'!$E$12+1,1))</f>
        <v>188.589895905567</v>
      </c>
      <c r="CE71" s="59">
        <f t="shared" si="94"/>
        <v>218.98894871653943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3.4510176651369089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2.6892219003873401</v>
      </c>
      <c r="CN71" s="22">
        <f t="shared" si="66"/>
        <v>6.140239565524249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1">
        <f t="shared" si="86"/>
        <v>14.766231872668596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67">
        <f t="shared" si="56"/>
        <v>370.49683051156433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</v>
      </c>
      <c r="N72" s="13">
        <f>IF('Données projet'!$A$36&gt;35,N71+M72-V71,IF(A72&lt;'Données projet'!$A$36,$K$205^A72,IF(A72='Données projet'!$A$36,'Données projet'!$B$36,N71+M72-V71)))</f>
        <v>232</v>
      </c>
      <c r="O72" s="13">
        <f>N72*VLOOKUP('Données projet'!$B$9,Paramètres!$A$1:$I$89,3,0)*VLOOKUP('Données projet'!$B$9,Paramètres!$A$1:$I$89,5,0)</f>
        <v>202.67520000000002</v>
      </c>
      <c r="P72" s="13">
        <f t="shared" si="87"/>
        <v>50.331640285313689</v>
      </c>
      <c r="Q72" s="20">
        <f t="shared" si="54"/>
        <v>440.653580163588</v>
      </c>
      <c r="R72" s="59">
        <f t="shared" si="55"/>
        <v>733.98691349692126</v>
      </c>
      <c r="S72" s="59">
        <f ca="1">AVERAGE(OFFSET($R$3,0,0,'Données projet'!$E$9+1,1))-AVERAGE(OFFSET($H$3,0,0,'Données projet'!$E$9+1,1))</f>
        <v>265.44504059292035</v>
      </c>
      <c r="T72" s="59">
        <f t="shared" si="88"/>
        <v>272.02069798702723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8.7147656875370441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2.0246954064382061</v>
      </c>
      <c r="AC72" s="22">
        <f t="shared" si="57"/>
        <v>10.739461093975251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71.716690190721977</v>
      </c>
      <c r="AO72" s="59">
        <f t="shared" si="90"/>
        <v>388.00050527441761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34.306347354148777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34.306347354148777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71.716690190721977</v>
      </c>
      <c r="BJ72" s="59">
        <f t="shared" si="92"/>
        <v>388.00050527441761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34.306347354148777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34.306347354148777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4.8</v>
      </c>
      <c r="BY72" s="12">
        <f>IF('Données projet'!$A$114&gt;35,BY71+BX72-CG71,IF(A72&lt;'Données projet'!$A$114,$BV$205^A72,IF(A72='Données projet'!$A$114,'Données projet'!$B$114,BY71+BX72-CG71)))</f>
        <v>232.20000000000013</v>
      </c>
      <c r="BZ72" s="13">
        <f>BY72*VLOOKUP('Données projet'!$B$12,Paramètres!$A$1:$I$89,3,0)*VLOOKUP('Données projet'!$B$12,Paramètres!$A$1:$I$89,5,0)</f>
        <v>152.13744000000008</v>
      </c>
      <c r="CA72" s="13">
        <f t="shared" si="93"/>
        <v>39.063925813036128</v>
      </c>
      <c r="CB72" s="20">
        <f t="shared" si="64"/>
        <v>333.0090454577047</v>
      </c>
      <c r="CC72" s="59">
        <f t="shared" si="65"/>
        <v>626.34237879103807</v>
      </c>
      <c r="CD72" s="59">
        <f ca="1">AVERAGE(OFFSET($CC$3,0,0,'Données projet'!$E$12+1,1))-AVERAGE(OFFSET($H$3,0,0,'Données projet'!$E$12+1,1))</f>
        <v>188.589895905567</v>
      </c>
      <c r="CE72" s="59">
        <f t="shared" si="94"/>
        <v>218.98894871653943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3.3833453136365068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1.9015670418792625</v>
      </c>
      <c r="CN72" s="22">
        <f t="shared" si="66"/>
        <v>5.2849123555157691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1">
        <f t="shared" si="86"/>
        <v>14.955166599500004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67">
        <f t="shared" si="56"/>
        <v>372.10288182746234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237</v>
      </c>
      <c r="L73" s="12">
        <f>VLOOKUP(A73,'Données projet'!$A$35:$I$55,9,0)</f>
        <v>5</v>
      </c>
      <c r="M73" s="12">
        <f t="array" ref="M73">INDEX(L:L,MIN(IF(ISNUMBER(L73:L269),ROW(L73:L269),"")))</f>
        <v>5</v>
      </c>
      <c r="N73" s="13">
        <f>IF('Données projet'!$A$36&gt;35,N72+M73-V72,IF(A73&lt;'Données projet'!$A$36,$K$205^A73,IF(A73='Données projet'!$A$36,'Données projet'!$B$36,N72+M73-V72)))</f>
        <v>237</v>
      </c>
      <c r="O73" s="13">
        <f>N73*VLOOKUP('Données projet'!$B$9,Paramètres!$A$1:$I$89,3,0)*VLOOKUP('Données projet'!$B$9,Paramètres!$A$1:$I$89,5,0)</f>
        <v>207.04320000000001</v>
      </c>
      <c r="P73" s="13">
        <f t="shared" si="87"/>
        <v>51.288918231806321</v>
      </c>
      <c r="Q73" s="20">
        <f t="shared" si="54"/>
        <v>449.92843925372944</v>
      </c>
      <c r="R73" s="59">
        <f t="shared" si="55"/>
        <v>743.26177258706275</v>
      </c>
      <c r="S73" s="59">
        <f ca="1">AVERAGE(OFFSET($R$3,0,0,'Données projet'!$E$9+1,1))-AVERAGE(OFFSET($H$3,0,0,'Données projet'!$E$9+1,1))</f>
        <v>265.44504059292035</v>
      </c>
      <c r="T73" s="59">
        <f t="shared" si="88"/>
        <v>272.02069798702723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18</v>
      </c>
      <c r="W73" s="16">
        <f>IF(ISNA(VLOOKUP(A73,'Données projet'!$A$35:$I$55,5,0)),0%,VLOOKUP(A73,'Données projet'!$A$35:$I$55,5,0)*VLOOKUP('Données projet'!$B$9,Paramètres!$A$1:$I$89,7,0))</f>
        <v>0.129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0.4</v>
      </c>
      <c r="Z73" s="21">
        <f>EXP(-LN(2)/35)*Z72+(1-EXP(-LN(2)/35))/(LN(2)/35)*V73*W73*VLOOKUP('Données projet'!$B$9,Paramètres!$A$1:$I$89,3,0)*0.475*44/12</f>
        <v>10.786320228392938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7.3663846624444327</v>
      </c>
      <c r="AC73" s="22">
        <f t="shared" si="57"/>
        <v>18.15270489083737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71.716690190721977</v>
      </c>
      <c r="AO73" s="59">
        <f t="shared" si="90"/>
        <v>388.00050527441761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33.633620807339653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33.633620807339653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71.716690190721977</v>
      </c>
      <c r="BJ73" s="59">
        <f t="shared" si="92"/>
        <v>388.00050527441761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33.633620807339653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33.633620807339653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237</v>
      </c>
      <c r="BW73" s="12">
        <f>VLOOKUP(A73,'Données projet'!$A$113:$I$133,9,0)</f>
        <v>4.8</v>
      </c>
      <c r="BX73" s="12">
        <f t="array" ref="BX73">INDEX(BW:BW,MIN(IF(ISNUMBER(BW73:BW269),ROW(BW73:BW269),"")))</f>
        <v>4.8</v>
      </c>
      <c r="BY73" s="12">
        <f>IF('Données projet'!$A$114&gt;35,BY72+BX73-CG72,IF(A73&lt;'Données projet'!$A$114,$BV$205^A73,IF(A73='Données projet'!$A$114,'Données projet'!$B$114,BY72+BX73-CG72)))</f>
        <v>237.00000000000014</v>
      </c>
      <c r="BZ73" s="13">
        <f>BY73*VLOOKUP('Données projet'!$B$12,Paramètres!$A$1:$I$89,3,0)*VLOOKUP('Données projet'!$B$12,Paramètres!$A$1:$I$89,5,0)</f>
        <v>155.28240000000011</v>
      </c>
      <c r="CA73" s="13">
        <f t="shared" si="93"/>
        <v>39.776601235546444</v>
      </c>
      <c r="CB73" s="20">
        <f t="shared" si="64"/>
        <v>339.72776048524355</v>
      </c>
      <c r="CC73" s="59">
        <f t="shared" si="65"/>
        <v>633.06109381857686</v>
      </c>
      <c r="CD73" s="59">
        <f ca="1">AVERAGE(OFFSET($CC$3,0,0,'Données projet'!$E$12+1,1))-AVERAGE(OFFSET($H$3,0,0,'Données projet'!$E$12+1,1))</f>
        <v>188.589895905567</v>
      </c>
      <c r="CE73" s="59">
        <f t="shared" si="94"/>
        <v>218.98894871653943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19</v>
      </c>
      <c r="CH73" s="16">
        <f>IF(ISNA(VLOOKUP(A73,'Données projet'!$A$113:$I$133,5,0)),0%,VLOOKUP(A73,'Données projet'!$A$113:$I$133,5,0)*VLOOKUP('Données projet'!$B$12,Paramètres!$A$1:$I$89,7,0))</f>
        <v>8.6000000000000007E-2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0.5</v>
      </c>
      <c r="CK73" s="21">
        <f>EXP(-LN(2)/35)*CK72+(1-EXP(-LN(2)/35))/(LN(2)/35)*CG73*CH73*VLOOKUP('Données projet'!$B$12,Paramètres!$A$1:$I$89,3,0)*0.475*44/12</f>
        <v>4.5005130264957307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7.2174998774634496</v>
      </c>
      <c r="CN73" s="22">
        <f t="shared" si="66"/>
        <v>11.718012903959181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1">
        <f t="shared" si="86"/>
        <v>15.14378740464756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67">
        <f t="shared" si="56"/>
        <v>373.70838639642767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4.4000000000000004</v>
      </c>
      <c r="N74" s="13">
        <f>IF('Données projet'!$A$36&gt;35,N73+M74-V73,IF(A74&lt;'Données projet'!$A$36,$K$205^A74,IF(A74='Données projet'!$A$36,'Données projet'!$B$36,N73+M74-V73)))</f>
        <v>223.4</v>
      </c>
      <c r="O74" s="13">
        <f>N74*VLOOKUP('Données projet'!$B$9,Paramètres!$A$1:$I$89,3,0)*VLOOKUP('Données projet'!$B$9,Paramètres!$A$1:$I$89,5,0)</f>
        <v>195.16224000000003</v>
      </c>
      <c r="P74" s="13">
        <f t="shared" si="87"/>
        <v>48.67946410296608</v>
      </c>
      <c r="Q74" s="20">
        <f t="shared" si="54"/>
        <v>424.69096797933258</v>
      </c>
      <c r="R74" s="59">
        <f t="shared" si="55"/>
        <v>718.0243013126659</v>
      </c>
      <c r="S74" s="59">
        <f ca="1">AVERAGE(OFFSET($R$3,0,0,'Données projet'!$E$9+1,1))-AVERAGE(OFFSET($H$3,0,0,'Données projet'!$E$9+1,1))</f>
        <v>265.44504059292035</v>
      </c>
      <c r="T74" s="59">
        <f t="shared" si="88"/>
        <v>272.02069798702723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10.574807067719869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5.2088205476430351</v>
      </c>
      <c r="AC74" s="22">
        <f t="shared" si="57"/>
        <v>15.783627615362903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71.716690190721977</v>
      </c>
      <c r="AO74" s="59">
        <f t="shared" si="90"/>
        <v>388.00050527441761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32.974086017790775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32.974086017790775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71.716690190721977</v>
      </c>
      <c r="BJ74" s="59">
        <f t="shared" si="92"/>
        <v>388.00050527441761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32.974086017790775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32.974086017790775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4.5999999999999996</v>
      </c>
      <c r="BY74" s="12">
        <f>IF('Données projet'!$A$114&gt;35,BY73+BX74-CG73,IF(A74&lt;'Données projet'!$A$114,$BV$205^A74,IF(A74='Données projet'!$A$114,'Données projet'!$B$114,BY73+BX74-CG73)))</f>
        <v>222.60000000000014</v>
      </c>
      <c r="BZ74" s="13">
        <f>BY74*VLOOKUP('Données projet'!$B$12,Paramètres!$A$1:$I$89,3,0)*VLOOKUP('Données projet'!$B$12,Paramètres!$A$1:$I$89,5,0)</f>
        <v>145.84752000000009</v>
      </c>
      <c r="CA74" s="13">
        <f t="shared" si="93"/>
        <v>37.633383344887093</v>
      </c>
      <c r="CB74" s="20">
        <f t="shared" si="64"/>
        <v>319.56257332567844</v>
      </c>
      <c r="CC74" s="59">
        <f t="shared" si="65"/>
        <v>612.89590665901176</v>
      </c>
      <c r="CD74" s="59">
        <f ca="1">AVERAGE(OFFSET($CC$3,0,0,'Données projet'!$E$12+1,1))-AVERAGE(OFFSET($H$3,0,0,'Données projet'!$E$12+1,1))</f>
        <v>188.589895905567</v>
      </c>
      <c r="CE74" s="59">
        <f t="shared" si="94"/>
        <v>218.98894871653943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4.4122607110880452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5.1035431065674812</v>
      </c>
      <c r="CN74" s="22">
        <f t="shared" si="66"/>
        <v>9.5158038176555273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1">
        <f t="shared" si="86"/>
        <v>15.332099220482363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67">
        <f t="shared" si="56"/>
        <v>375.31335280900663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4.4000000000000004</v>
      </c>
      <c r="N75" s="13">
        <f>IF('Données projet'!$A$36&gt;35,N74+M75-V74,IF(A75&lt;'Données projet'!$A$36,$K$205^A75,IF(A75='Données projet'!$A$36,'Données projet'!$B$36,N74+M75-V74)))</f>
        <v>227.8</v>
      </c>
      <c r="O75" s="13">
        <f>N75*VLOOKUP('Données projet'!$B$9,Paramètres!$A$1:$I$89,3,0)*VLOOKUP('Données projet'!$B$9,Paramètres!$A$1:$I$89,5,0)</f>
        <v>199.00608000000003</v>
      </c>
      <c r="P75" s="13">
        <f t="shared" si="87"/>
        <v>49.525670897515027</v>
      </c>
      <c r="Q75" s="20">
        <f t="shared" si="54"/>
        <v>432.85946614650538</v>
      </c>
      <c r="R75" s="59">
        <f t="shared" si="55"/>
        <v>726.19279947983864</v>
      </c>
      <c r="S75" s="59">
        <f ca="1">AVERAGE(OFFSET($R$3,0,0,'Données projet'!$E$9+1,1))-AVERAGE(OFFSET($H$3,0,0,'Données projet'!$E$9+1,1))</f>
        <v>265.44504059292035</v>
      </c>
      <c r="T75" s="59">
        <f t="shared" si="88"/>
        <v>272.02069798702723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10.367441551117309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3.6831923312222163</v>
      </c>
      <c r="AC75" s="22">
        <f t="shared" si="57"/>
        <v>14.050633882339525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71.716690190721977</v>
      </c>
      <c r="AO75" s="59">
        <f t="shared" si="90"/>
        <v>388.00050527441761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32.327484303188456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32.327484303188456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71.716690190721977</v>
      </c>
      <c r="BJ75" s="59">
        <f t="shared" si="92"/>
        <v>388.00050527441761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32.327484303188456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32.327484303188456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4.5999999999999996</v>
      </c>
      <c r="BY75" s="12">
        <f>IF('Données projet'!$A$114&gt;35,BY74+BX75-CG74,IF(A75&lt;'Données projet'!$A$114,$BV$205^A75,IF(A75='Données projet'!$A$114,'Données projet'!$B$114,BY74+BX75-CG74)))</f>
        <v>227.20000000000013</v>
      </c>
      <c r="BZ75" s="13">
        <f>BY75*VLOOKUP('Données projet'!$B$12,Paramètres!$A$1:$I$89,3,0)*VLOOKUP('Données projet'!$B$12,Paramètres!$A$1:$I$89,5,0)</f>
        <v>148.86144000000007</v>
      </c>
      <c r="CA75" s="13">
        <f t="shared" si="93"/>
        <v>38.319729148991954</v>
      </c>
      <c r="CB75" s="20">
        <f t="shared" si="64"/>
        <v>326.00720293449439</v>
      </c>
      <c r="CC75" s="59">
        <f t="shared" si="65"/>
        <v>619.3405362678277</v>
      </c>
      <c r="CD75" s="59">
        <f ca="1">AVERAGE(OFFSET($CC$3,0,0,'Données projet'!$E$12+1,1))-AVERAGE(OFFSET($H$3,0,0,'Données projet'!$E$12+1,1))</f>
        <v>188.589895905567</v>
      </c>
      <c r="CE75" s="59">
        <f t="shared" si="94"/>
        <v>218.98894871653943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4.3257389697569071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3.6087499387317252</v>
      </c>
      <c r="CN75" s="22">
        <f t="shared" si="66"/>
        <v>7.9344889084886319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1">
        <f t="shared" si="86"/>
        <v>15.520106834494458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67">
        <f t="shared" si="56"/>
        <v>376.91778940341101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4.4000000000000004</v>
      </c>
      <c r="N76" s="13">
        <f>IF('Données projet'!$A$36&gt;35,N75+M76-V75,IF(A76&lt;'Données projet'!$A$36,$K$205^A76,IF(A76='Données projet'!$A$36,'Données projet'!$B$36,N75+M76-V75)))</f>
        <v>232.20000000000002</v>
      </c>
      <c r="O76" s="13">
        <f>N76*VLOOKUP('Données projet'!$B$9,Paramètres!$A$1:$I$89,3,0)*VLOOKUP('Données projet'!$B$9,Paramètres!$A$1:$I$89,5,0)</f>
        <v>202.84992000000003</v>
      </c>
      <c r="P76" s="13">
        <f t="shared" si="87"/>
        <v>50.369977187686075</v>
      </c>
      <c r="Q76" s="20">
        <f t="shared" si="54"/>
        <v>441.02465426855332</v>
      </c>
      <c r="R76" s="59">
        <f t="shared" si="55"/>
        <v>734.35798760188663</v>
      </c>
      <c r="S76" s="59">
        <f ca="1">AVERAGE(OFFSET($R$3,0,0,'Données projet'!$E$9+1,1))-AVERAGE(OFFSET($H$3,0,0,'Données projet'!$E$9+1,1))</f>
        <v>265.44504059292035</v>
      </c>
      <c r="T76" s="59">
        <f t="shared" si="88"/>
        <v>272.02069798702723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10.164142345814851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2.6044102738215176</v>
      </c>
      <c r="AC76" s="22">
        <f t="shared" si="57"/>
        <v>12.768552619636369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71.716690190721977</v>
      </c>
      <c r="AO76" s="59">
        <f t="shared" si="90"/>
        <v>388.00050527441761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31.693562053821381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31.693562053821381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71.716690190721977</v>
      </c>
      <c r="BJ76" s="59">
        <f t="shared" si="92"/>
        <v>388.00050527441761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31.693562053821381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31.693562053821381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4.5999999999999996</v>
      </c>
      <c r="BY76" s="12">
        <f>IF('Données projet'!$A$114&gt;35,BY75+BX76-CG75,IF(A76&lt;'Données projet'!$A$114,$BV$205^A76,IF(A76='Données projet'!$A$114,'Données projet'!$B$114,BY75+BX76-CG75)))</f>
        <v>231.80000000000013</v>
      </c>
      <c r="BZ76" s="13">
        <f>BY76*VLOOKUP('Données projet'!$B$12,Paramètres!$A$1:$I$89,3,0)*VLOOKUP('Données projet'!$B$12,Paramètres!$A$1:$I$89,5,0)</f>
        <v>151.87536000000009</v>
      </c>
      <c r="CA76" s="13">
        <f t="shared" si="93"/>
        <v>39.004459236504758</v>
      </c>
      <c r="CB76" s="20">
        <f t="shared" si="64"/>
        <v>332.44901850357923</v>
      </c>
      <c r="CC76" s="59">
        <f t="shared" si="65"/>
        <v>625.78235183691254</v>
      </c>
      <c r="CD76" s="59">
        <f ca="1">AVERAGE(OFFSET($CC$3,0,0,'Données projet'!$E$12+1,1))-AVERAGE(OFFSET($H$3,0,0,'Données projet'!$E$12+1,1))</f>
        <v>188.589895905567</v>
      </c>
      <c r="CE76" s="59">
        <f t="shared" si="94"/>
        <v>218.98894871653943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4.2409138670002218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2.5517715532837411</v>
      </c>
      <c r="CN76" s="22">
        <f t="shared" si="66"/>
        <v>6.7926854202839628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1">
        <f t="shared" si="86"/>
        <v>15.707814895473696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67">
        <f t="shared" si="56"/>
        <v>378.52170427628317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4.4000000000000004</v>
      </c>
      <c r="N77" s="13">
        <f>IF('Données projet'!$A$36&gt;35,N76+M77-V76,IF(A77&lt;'Données projet'!$A$36,$K$205^A77,IF(A77='Données projet'!$A$36,'Données projet'!$B$36,N76+M77-V76)))</f>
        <v>236.60000000000002</v>
      </c>
      <c r="O77" s="13">
        <f>N77*VLOOKUP('Données projet'!$B$9,Paramètres!$A$1:$I$89,3,0)*VLOOKUP('Données projet'!$B$9,Paramètres!$A$1:$I$89,5,0)</f>
        <v>206.69376000000005</v>
      </c>
      <c r="P77" s="13">
        <f t="shared" si="87"/>
        <v>51.212423138937325</v>
      </c>
      <c r="Q77" s="20">
        <f t="shared" si="54"/>
        <v>449.18660230031583</v>
      </c>
      <c r="R77" s="59">
        <f t="shared" si="55"/>
        <v>742.51993563364908</v>
      </c>
      <c r="S77" s="59">
        <f ca="1">AVERAGE(OFFSET($R$3,0,0,'Données projet'!$E$9+1,1))-AVERAGE(OFFSET($H$3,0,0,'Données projet'!$E$9+1,1))</f>
        <v>265.44504059292035</v>
      </c>
      <c r="T77" s="59">
        <f t="shared" si="88"/>
        <v>272.02069798702723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9.9648297139281006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1.8415961656111082</v>
      </c>
      <c r="AC77" s="22">
        <f t="shared" si="57"/>
        <v>11.806425879539209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71.716690190721977</v>
      </c>
      <c r="AO77" s="59">
        <f t="shared" si="90"/>
        <v>388.00050527441761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31.072070633110002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31.072070633110002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71.716690190721977</v>
      </c>
      <c r="BJ77" s="59">
        <f t="shared" si="92"/>
        <v>388.00050527441761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31.072070633110002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31.072070633110002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4.5999999999999996</v>
      </c>
      <c r="BY77" s="12">
        <f>IF('Données projet'!$A$114&gt;35,BY76+BX77-CG76,IF(A77&lt;'Données projet'!$A$114,$BV$205^A77,IF(A77='Données projet'!$A$114,'Données projet'!$B$114,BY76+BX77-CG76)))</f>
        <v>236.40000000000012</v>
      </c>
      <c r="BZ77" s="13">
        <f>BY77*VLOOKUP('Données projet'!$B$12,Paramètres!$A$1:$I$89,3,0)*VLOOKUP('Données projet'!$B$12,Paramètres!$A$1:$I$89,5,0)</f>
        <v>154.8892800000001</v>
      </c>
      <c r="CA77" s="13">
        <f t="shared" si="93"/>
        <v>39.687609366432291</v>
      </c>
      <c r="CB77" s="20">
        <f t="shared" si="64"/>
        <v>338.88808231320309</v>
      </c>
      <c r="CC77" s="59">
        <f t="shared" si="65"/>
        <v>632.22141564653634</v>
      </c>
      <c r="CD77" s="59">
        <f ca="1">AVERAGE(OFFSET($CC$3,0,0,'Données projet'!$E$12+1,1))-AVERAGE(OFFSET($H$3,0,0,'Données projet'!$E$12+1,1))</f>
        <v>188.589895905567</v>
      </c>
      <c r="CE77" s="59">
        <f t="shared" si="94"/>
        <v>218.98894871653943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4.1577521327703906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1.8043749693658628</v>
      </c>
      <c r="CN77" s="22">
        <f t="shared" si="66"/>
        <v>5.9621271021362539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1">
        <f t="shared" si="86"/>
        <v>15.895227919346986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67">
        <f t="shared" si="56"/>
        <v>380.12510529286249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241</v>
      </c>
      <c r="L78" s="12">
        <f>VLOOKUP(A78,'Données projet'!$A$35:$I$55,9,0)</f>
        <v>4.4000000000000004</v>
      </c>
      <c r="M78" s="12">
        <f t="array" ref="M78">INDEX(L:L,MIN(IF(ISNUMBER(L78:L274),ROW(L78:L274),"")))</f>
        <v>4.4000000000000004</v>
      </c>
      <c r="N78" s="13">
        <f>IF('Données projet'!$A$36&gt;35,N77+M78-V77,IF(A78&lt;'Données projet'!$A$36,$K$205^A78,IF(A78='Données projet'!$A$36,'Données projet'!$B$36,N77+M78-V77)))</f>
        <v>241.00000000000003</v>
      </c>
      <c r="O78" s="13">
        <f>N78*VLOOKUP('Données projet'!$B$9,Paramètres!$A$1:$I$89,3,0)*VLOOKUP('Données projet'!$B$9,Paramètres!$A$1:$I$89,5,0)</f>
        <v>210.53760000000005</v>
      </c>
      <c r="P78" s="13">
        <f t="shared" si="87"/>
        <v>52.053047337322276</v>
      </c>
      <c r="Q78" s="20">
        <f t="shared" si="54"/>
        <v>457.34537744583628</v>
      </c>
      <c r="R78" s="59">
        <f t="shared" si="55"/>
        <v>750.67871077916959</v>
      </c>
      <c r="S78" s="59">
        <f ca="1">AVERAGE(OFFSET($R$3,0,0,'Données projet'!$E$9+1,1))-AVERAGE(OFFSET($H$3,0,0,'Données projet'!$E$9+1,1))</f>
        <v>265.44504059292035</v>
      </c>
      <c r="T78" s="59">
        <f t="shared" si="88"/>
        <v>272.02069798702723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16</v>
      </c>
      <c r="W78" s="16">
        <f>IF(ISNA(VLOOKUP(A78,'Données projet'!$A$35:$I$55,5,0)),0%,VLOOKUP(A78,'Données projet'!$A$35:$I$55,5,0)*VLOOKUP('Données projet'!$B$9,Paramètres!$A$1:$I$89,7,0))</f>
        <v>0.129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0.4</v>
      </c>
      <c r="Z78" s="21">
        <f>EXP(-LN(2)/35)*Z77+(1-EXP(-LN(2)/35))/(LN(2)/35)*V78*W78*VLOOKUP('Données projet'!$B$9,Paramètres!$A$1:$I$89,3,0)*0.475*44/12</f>
        <v>11.762710619411758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6.5775018575460695</v>
      </c>
      <c r="AC78" s="22">
        <f t="shared" si="57"/>
        <v>18.340212476957827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71.716690190721977</v>
      </c>
      <c r="AO78" s="59">
        <f t="shared" si="90"/>
        <v>388.00050527441761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30.462766280086438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30.462766280086438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71.716690190721977</v>
      </c>
      <c r="BJ78" s="59">
        <f t="shared" si="92"/>
        <v>388.00050527441761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30.462766280086438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30.462766280086438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241</v>
      </c>
      <c r="BW78" s="12">
        <f>VLOOKUP(A78,'Données projet'!$A$113:$I$133,9,0)</f>
        <v>4.5999999999999996</v>
      </c>
      <c r="BX78" s="12">
        <f t="array" ref="BX78">INDEX(BW:BW,MIN(IF(ISNUMBER(BW78:BW274),ROW(BW78:BW274),"")))</f>
        <v>4.5999999999999996</v>
      </c>
      <c r="BY78" s="12">
        <f>IF('Données projet'!$A$114&gt;35,BY77+BX78-CG77,IF(A78&lt;'Données projet'!$A$114,$BV$205^A78,IF(A78='Données projet'!$A$114,'Données projet'!$B$114,BY77+BX78-CG77)))</f>
        <v>241.00000000000011</v>
      </c>
      <c r="BZ78" s="13">
        <f>BY78*VLOOKUP('Données projet'!$B$12,Paramètres!$A$1:$I$89,3,0)*VLOOKUP('Données projet'!$B$12,Paramètres!$A$1:$I$89,5,0)</f>
        <v>157.90320000000008</v>
      </c>
      <c r="CA78" s="13">
        <f t="shared" si="93"/>
        <v>40.369213826539486</v>
      </c>
      <c r="CB78" s="20">
        <f t="shared" si="64"/>
        <v>345.32445408122311</v>
      </c>
      <c r="CC78" s="59">
        <f t="shared" si="65"/>
        <v>638.65778741455642</v>
      </c>
      <c r="CD78" s="59">
        <f ca="1">AVERAGE(OFFSET($CC$3,0,0,'Données projet'!$E$12+1,1))-AVERAGE(OFFSET($H$3,0,0,'Données projet'!$E$12+1,1))</f>
        <v>188.589895905567</v>
      </c>
      <c r="CE78" s="59">
        <f t="shared" si="94"/>
        <v>218.98894871653943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18</v>
      </c>
      <c r="CH78" s="16">
        <f>IF(ISNA(VLOOKUP(A78,'Données projet'!$A$113:$I$133,5,0)),0%,VLOOKUP(A78,'Données projet'!$A$113:$I$133,5,0)*VLOOKUP('Données projet'!$B$12,Paramètres!$A$1:$I$89,7,0))</f>
        <v>8.6000000000000007E-2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0.5</v>
      </c>
      <c r="CK78" s="21">
        <f>EXP(-LN(2)/35)*CK77+(1-EXP(-LN(2)/35))/(LN(2)/35)*CG78*CH78*VLOOKUP('Données projet'!$B$12,Paramètres!$A$1:$I$89,3,0)*0.475*44/12</f>
        <v>5.1974440396782997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6.8396752866869228</v>
      </c>
      <c r="CN78" s="22">
        <f t="shared" si="66"/>
        <v>12.037119326365222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1">
        <f t="shared" si="86"/>
        <v>16.08235029469542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67">
        <f t="shared" si="56"/>
        <v>381.72800009659437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</v>
      </c>
      <c r="N79" s="13">
        <f>IF('Données projet'!$A$36&gt;35,N78+M79-V78,IF(A79&lt;'Données projet'!$A$36,$K$205^A79,IF(A79='Données projet'!$A$36,'Données projet'!$B$36,N78+M79-V78)))</f>
        <v>229.00000000000003</v>
      </c>
      <c r="O79" s="13">
        <f>N79*VLOOKUP('Données projet'!$B$9,Paramètres!$A$1:$I$89,3,0)*VLOOKUP('Données projet'!$B$9,Paramètres!$A$1:$I$89,5,0)</f>
        <v>200.05440000000007</v>
      </c>
      <c r="P79" s="13">
        <f t="shared" si="87"/>
        <v>49.756123009618236</v>
      </c>
      <c r="Q79" s="20">
        <f t="shared" si="54"/>
        <v>435.08666090841854</v>
      </c>
      <c r="R79" s="59">
        <f t="shared" si="55"/>
        <v>728.41999424175185</v>
      </c>
      <c r="S79" s="59">
        <f ca="1">AVERAGE(OFFSET($R$3,0,0,'Données projet'!$E$9+1,1))-AVERAGE(OFFSET($H$3,0,0,'Données projet'!$E$9+1,1))</f>
        <v>265.44504059292035</v>
      </c>
      <c r="T79" s="59">
        <f t="shared" si="88"/>
        <v>272.02069798702723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11.532051038710144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4.6509961667379391</v>
      </c>
      <c r="AC79" s="22">
        <f t="shared" si="57"/>
        <v>16.183047205448084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71.716690190721977</v>
      </c>
      <c r="AO79" s="59">
        <f t="shared" si="90"/>
        <v>388.00050527441761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29.865410013786708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29.865410013786708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71.716690190721977</v>
      </c>
      <c r="BJ79" s="59">
        <f t="shared" si="92"/>
        <v>388.00050527441761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29.865410013786708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29.865410013786708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4.2</v>
      </c>
      <c r="BY79" s="12">
        <f>IF('Données projet'!$A$114&gt;35,BY78+BX79-CG78,IF(A79&lt;'Données projet'!$A$114,$BV$205^A79,IF(A79='Données projet'!$A$114,'Données projet'!$B$114,BY78+BX79-CG78)))</f>
        <v>227.2000000000001</v>
      </c>
      <c r="BZ79" s="13">
        <f>BY79*VLOOKUP('Données projet'!$B$12,Paramètres!$A$1:$I$89,3,0)*VLOOKUP('Données projet'!$B$12,Paramètres!$A$1:$I$89,5,0)</f>
        <v>148.86144000000007</v>
      </c>
      <c r="CA79" s="13">
        <f t="shared" si="93"/>
        <v>38.319729148991954</v>
      </c>
      <c r="CB79" s="20">
        <f t="shared" si="64"/>
        <v>326.00720293449439</v>
      </c>
      <c r="CC79" s="59">
        <f t="shared" si="65"/>
        <v>619.3405362678277</v>
      </c>
      <c r="CD79" s="59">
        <f ca="1">AVERAGE(OFFSET($CC$3,0,0,'Données projet'!$E$12+1,1))-AVERAGE(OFFSET($H$3,0,0,'Données projet'!$E$12+1,1))</f>
        <v>188.589895905567</v>
      </c>
      <c r="CE79" s="59">
        <f t="shared" si="94"/>
        <v>218.98894871653943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5.095525332188048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4.8363807763303672</v>
      </c>
      <c r="CN79" s="22">
        <f t="shared" si="66"/>
        <v>9.9319061085184153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1">
        <f t="shared" si="86"/>
        <v>16.269186287972673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67">
        <f t="shared" si="56"/>
        <v>383.33039611821886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</v>
      </c>
      <c r="N80" s="13">
        <f>IF('Données projet'!$A$36&gt;35,N79+M80-V79,IF(A80&lt;'Données projet'!$A$36,$K$205^A80,IF(A80='Données projet'!$A$36,'Données projet'!$B$36,N79+M80-V79)))</f>
        <v>233.00000000000003</v>
      </c>
      <c r="O80" s="13">
        <f>N80*VLOOKUP('Données projet'!$B$9,Paramètres!$A$1:$I$89,3,0)*VLOOKUP('Données projet'!$B$9,Paramètres!$A$1:$I$89,5,0)</f>
        <v>203.54880000000003</v>
      </c>
      <c r="P80" s="13">
        <f t="shared" si="87"/>
        <v>50.523286400023487</v>
      </c>
      <c r="Q80" s="20">
        <f t="shared" si="54"/>
        <v>442.50888381337427</v>
      </c>
      <c r="R80" s="59">
        <f t="shared" si="55"/>
        <v>735.84221714670753</v>
      </c>
      <c r="S80" s="59">
        <f ca="1">AVERAGE(OFFSET($R$3,0,0,'Données projet'!$E$9+1,1))-AVERAGE(OFFSET($H$3,0,0,'Données projet'!$E$9+1,1))</f>
        <v>265.44504059292035</v>
      </c>
      <c r="T80" s="59">
        <f t="shared" si="88"/>
        <v>272.02069798702723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11.305914551697636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3.2887509287730357</v>
      </c>
      <c r="AC80" s="22">
        <f t="shared" si="57"/>
        <v>14.594665480470672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71.716690190721977</v>
      </c>
      <c r="AO80" s="59">
        <f t="shared" si="90"/>
        <v>388.00050527441761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29.279767539517767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29.279767539517767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71.716690190721977</v>
      </c>
      <c r="BJ80" s="59">
        <f t="shared" si="92"/>
        <v>388.00050527441761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29.279767539517767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29.279767539517767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4.2</v>
      </c>
      <c r="BY80" s="12">
        <f>IF('Données projet'!$A$114&gt;35,BY79+BX80-CG79,IF(A80&lt;'Données projet'!$A$114,$BV$205^A80,IF(A80='Données projet'!$A$114,'Données projet'!$B$114,BY79+BX80-CG79)))</f>
        <v>231.40000000000009</v>
      </c>
      <c r="BZ80" s="13">
        <f>BY80*VLOOKUP('Données projet'!$B$12,Paramètres!$A$1:$I$89,3,0)*VLOOKUP('Données projet'!$B$12,Paramètres!$A$1:$I$89,5,0)</f>
        <v>151.61328000000006</v>
      </c>
      <c r="CA80" s="13">
        <f t="shared" si="93"/>
        <v>38.944980714143632</v>
      </c>
      <c r="CB80" s="20">
        <f t="shared" si="64"/>
        <v>331.88897074380026</v>
      </c>
      <c r="CC80" s="59">
        <f t="shared" si="65"/>
        <v>625.22230407713357</v>
      </c>
      <c r="CD80" s="59">
        <f ca="1">AVERAGE(OFFSET($CC$3,0,0,'Données projet'!$E$12+1,1))-AVERAGE(OFFSET($H$3,0,0,'Données projet'!$E$12+1,1))</f>
        <v>188.589895905567</v>
      </c>
      <c r="CE80" s="59">
        <f t="shared" si="94"/>
        <v>218.98894871653943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4.9956051883874073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3.4198376433434619</v>
      </c>
      <c r="CN80" s="22">
        <f t="shared" si="66"/>
        <v>8.4154428317308696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1">
        <f t="shared" si="86"/>
        <v>16.455740048444692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67">
        <f t="shared" si="56"/>
        <v>384.93230058437427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</v>
      </c>
      <c r="N81" s="13">
        <f>IF('Données projet'!$A$36&gt;35,N80+M81-V80,IF(A81&lt;'Données projet'!$A$36,$K$205^A81,IF(A81='Données projet'!$A$36,'Données projet'!$B$36,N80+M81-V80)))</f>
        <v>237.00000000000003</v>
      </c>
      <c r="O81" s="13">
        <f>N81*VLOOKUP('Données projet'!$B$9,Paramètres!$A$1:$I$89,3,0)*VLOOKUP('Données projet'!$B$9,Paramètres!$A$1:$I$89,5,0)</f>
        <v>207.04320000000004</v>
      </c>
      <c r="P81" s="13">
        <f t="shared" si="87"/>
        <v>51.288918231806321</v>
      </c>
      <c r="Q81" s="20">
        <f t="shared" si="54"/>
        <v>449.92843925372944</v>
      </c>
      <c r="R81" s="59">
        <f t="shared" si="55"/>
        <v>743.26177258706275</v>
      </c>
      <c r="S81" s="59">
        <f ca="1">AVERAGE(OFFSET($R$3,0,0,'Données projet'!$E$9+1,1))-AVERAGE(OFFSET($H$3,0,0,'Données projet'!$E$9+1,1))</f>
        <v>265.44504059292035</v>
      </c>
      <c r="T81" s="59">
        <f t="shared" si="88"/>
        <v>272.02069798702723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11.084212463265807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2.32549808336897</v>
      </c>
      <c r="AC81" s="22">
        <f t="shared" si="57"/>
        <v>13.409710546634777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71.716690190721977</v>
      </c>
      <c r="AO81" s="59">
        <f t="shared" si="90"/>
        <v>388.00050527441761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28.705609156962602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28.705609156962602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71.716690190721977</v>
      </c>
      <c r="BJ81" s="59">
        <f t="shared" si="92"/>
        <v>388.00050527441761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28.705609156962602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28.705609156962602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4.2</v>
      </c>
      <c r="BY81" s="12">
        <f>IF('Données projet'!$A$114&gt;35,BY80+BX81-CG80,IF(A81&lt;'Données projet'!$A$114,$BV$205^A81,IF(A81='Données projet'!$A$114,'Données projet'!$B$114,BY80+BX81-CG80)))</f>
        <v>235.60000000000008</v>
      </c>
      <c r="BZ81" s="13">
        <f>BY81*VLOOKUP('Données projet'!$B$12,Paramètres!$A$1:$I$89,3,0)*VLOOKUP('Données projet'!$B$12,Paramètres!$A$1:$I$89,5,0)</f>
        <v>154.36512000000005</v>
      </c>
      <c r="CA81" s="13">
        <f t="shared" si="93"/>
        <v>39.568912624848309</v>
      </c>
      <c r="CB81" s="20">
        <f t="shared" si="64"/>
        <v>337.76844015494419</v>
      </c>
      <c r="CC81" s="59">
        <f t="shared" si="65"/>
        <v>631.10177348827756</v>
      </c>
      <c r="CD81" s="59">
        <f ca="1">AVERAGE(OFFSET($CC$3,0,0,'Données projet'!$E$12+1,1))-AVERAGE(OFFSET($H$3,0,0,'Données projet'!$E$12+1,1))</f>
        <v>188.589895905567</v>
      </c>
      <c r="CE81" s="59">
        <f t="shared" si="94"/>
        <v>218.98894871653943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4.8976444176614269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2.4181903881651836</v>
      </c>
      <c r="CN81" s="22">
        <f t="shared" si="66"/>
        <v>7.3158348058266105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1">
        <f t="shared" si="86"/>
        <v>16.642015612868772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67">
        <f t="shared" si="56"/>
        <v>386.53372052574628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</v>
      </c>
      <c r="N82" s="13">
        <f>IF('Données projet'!$A$36&gt;35,N81+M82-V81,IF(A82&lt;'Données projet'!$A$36,$K$205^A82,IF(A82='Données projet'!$A$36,'Données projet'!$B$36,N81+M82-V81)))</f>
        <v>241.00000000000003</v>
      </c>
      <c r="O82" s="13">
        <f>N82*VLOOKUP('Données projet'!$B$9,Paramètres!$A$1:$I$89,3,0)*VLOOKUP('Données projet'!$B$9,Paramètres!$A$1:$I$89,5,0)</f>
        <v>210.53760000000005</v>
      </c>
      <c r="P82" s="13">
        <f t="shared" si="87"/>
        <v>52.053047337322276</v>
      </c>
      <c r="Q82" s="20">
        <f t="shared" si="54"/>
        <v>457.34537744583628</v>
      </c>
      <c r="R82" s="59">
        <f t="shared" si="55"/>
        <v>750.67871077916959</v>
      </c>
      <c r="S82" s="59">
        <f ca="1">AVERAGE(OFFSET($R$3,0,0,'Données projet'!$E$9+1,1))-AVERAGE(OFFSET($H$3,0,0,'Données projet'!$E$9+1,1))</f>
        <v>265.44504059292035</v>
      </c>
      <c r="T82" s="59">
        <f t="shared" si="88"/>
        <v>272.02069798702723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10.866857817563202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1.644375464386518</v>
      </c>
      <c r="AC82" s="22">
        <f t="shared" si="57"/>
        <v>12.511233281949721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71.716690190721977</v>
      </c>
      <c r="AO82" s="59">
        <f t="shared" si="90"/>
        <v>388.00050527441761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28.14270967008731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28.14270967008731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71.716690190721977</v>
      </c>
      <c r="BJ82" s="59">
        <f t="shared" si="92"/>
        <v>388.00050527441761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28.14270967008731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28.14270967008731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4.2</v>
      </c>
      <c r="BY82" s="12">
        <f>IF('Données projet'!$A$114&gt;35,BY81+BX82-CG81,IF(A82&lt;'Données projet'!$A$114,$BV$205^A82,IF(A82='Données projet'!$A$114,'Données projet'!$B$114,BY81+BX82-CG81)))</f>
        <v>239.80000000000007</v>
      </c>
      <c r="BZ82" s="13">
        <f>BY82*VLOOKUP('Données projet'!$B$12,Paramètres!$A$1:$I$89,3,0)*VLOOKUP('Données projet'!$B$12,Paramètres!$A$1:$I$89,5,0)</f>
        <v>157.11696000000003</v>
      </c>
      <c r="CA82" s="13">
        <f t="shared" si="93"/>
        <v>40.191551120265856</v>
      </c>
      <c r="CB82" s="20">
        <f t="shared" si="64"/>
        <v>343.6456568677965</v>
      </c>
      <c r="CC82" s="59">
        <f t="shared" si="65"/>
        <v>636.97899020112982</v>
      </c>
      <c r="CD82" s="59">
        <f ca="1">AVERAGE(OFFSET($CC$3,0,0,'Données projet'!$E$12+1,1))-AVERAGE(OFFSET($H$3,0,0,'Données projet'!$E$12+1,1))</f>
        <v>188.589895905567</v>
      </c>
      <c r="CE82" s="59">
        <f t="shared" si="94"/>
        <v>218.98894871653943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4.801604597899213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1.7099188216717309</v>
      </c>
      <c r="CN82" s="22">
        <f t="shared" si="66"/>
        <v>6.5115234195709437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1">
        <f t="shared" si="86"/>
        <v>16.82801690992903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67">
        <f t="shared" si="56"/>
        <v>388.13466278479279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245</v>
      </c>
      <c r="L83" s="12">
        <f>VLOOKUP(A83,'Données projet'!$A$35:$I$55,9,0)</f>
        <v>4</v>
      </c>
      <c r="M83" s="12">
        <f t="array" ref="M83">INDEX(L:L,MIN(IF(ISNUMBER(L83:L279),ROW(L83:L279),"")))</f>
        <v>4</v>
      </c>
      <c r="N83" s="13">
        <f>IF('Données projet'!$A$36&gt;35,N82+M83-V82,IF(A83&lt;'Données projet'!$A$36,$K$205^A83,IF(A83='Données projet'!$A$36,'Données projet'!$B$36,N82+M83-V82)))</f>
        <v>245.00000000000003</v>
      </c>
      <c r="O83" s="13">
        <f>N83*VLOOKUP('Données projet'!$B$9,Paramètres!$A$1:$I$89,3,0)*VLOOKUP('Données projet'!$B$9,Paramètres!$A$1:$I$89,5,0)</f>
        <v>214.03200000000004</v>
      </c>
      <c r="P83" s="13">
        <f t="shared" si="87"/>
        <v>52.815701536972242</v>
      </c>
      <c r="Q83" s="20">
        <f t="shared" si="54"/>
        <v>464.75974684356009</v>
      </c>
      <c r="R83" s="59">
        <f t="shared" si="55"/>
        <v>758.09308017689341</v>
      </c>
      <c r="S83" s="59">
        <f ca="1">AVERAGE(OFFSET($R$3,0,0,'Données projet'!$E$9+1,1))-AVERAGE(OFFSET($H$3,0,0,'Données projet'!$E$9+1,1))</f>
        <v>265.44504059292035</v>
      </c>
      <c r="T83" s="59">
        <f t="shared" si="88"/>
        <v>272.02069798702723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15</v>
      </c>
      <c r="W83" s="16">
        <f>IF(ISNA(VLOOKUP(A83,'Données projet'!$A$35:$I$55,5,0)),0%,VLOOKUP(A83,'Données projet'!$A$35:$I$55,5,0)*VLOOKUP('Données projet'!$B$9,Paramètres!$A$1:$I$89,7,0))</f>
        <v>0.215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0.3</v>
      </c>
      <c r="Z83" s="21">
        <f>EXP(-LN(2)/35)*Z82+(1-EXP(-LN(2)/35))/(LN(2)/35)*V83*W83*VLOOKUP('Données projet'!$B$9,Paramètres!$A$1:$I$89,3,0)*0.475*44/12</f>
        <v>13.768273392370537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4.8719420483811877</v>
      </c>
      <c r="AC83" s="22">
        <f t="shared" si="57"/>
        <v>18.640215440751724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71.716690190721977</v>
      </c>
      <c r="AO83" s="59">
        <f t="shared" si="90"/>
        <v>388.00050527441761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27.590848298814858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27.590848298814858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71.716690190721977</v>
      </c>
      <c r="BJ83" s="59">
        <f t="shared" si="92"/>
        <v>388.00050527441761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27.590848298814858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27.590848298814858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244</v>
      </c>
      <c r="BW83" s="12">
        <f>VLOOKUP(A83,'Données projet'!$A$113:$I$133,9,0)</f>
        <v>4.2</v>
      </c>
      <c r="BX83" s="12">
        <f t="array" ref="BX83">INDEX(BW:BW,MIN(IF(ISNUMBER(BW83:BW279),ROW(BW83:BW279),"")))</f>
        <v>4.2</v>
      </c>
      <c r="BY83" s="12">
        <f>IF('Données projet'!$A$114&gt;35,BY82+BX83-CG82,IF(A83&lt;'Données projet'!$A$114,$BV$205^A83,IF(A83='Données projet'!$A$114,'Données projet'!$B$114,BY82+BX83-CG82)))</f>
        <v>244.00000000000006</v>
      </c>
      <c r="BZ83" s="13">
        <f>BY83*VLOOKUP('Données projet'!$B$12,Paramètres!$A$1:$I$89,3,0)*VLOOKUP('Données projet'!$B$12,Paramètres!$A$1:$I$89,5,0)</f>
        <v>159.86880000000002</v>
      </c>
      <c r="CA83" s="13">
        <f t="shared" si="93"/>
        <v>40.812921467768035</v>
      </c>
      <c r="CB83" s="20">
        <f t="shared" si="64"/>
        <v>349.52066488969604</v>
      </c>
      <c r="CC83" s="59">
        <f t="shared" si="65"/>
        <v>642.85399822302929</v>
      </c>
      <c r="CD83" s="59">
        <f ca="1">AVERAGE(OFFSET($CC$3,0,0,'Données projet'!$E$12+1,1))-AVERAGE(OFFSET($H$3,0,0,'Données projet'!$E$12+1,1))</f>
        <v>188.589895905567</v>
      </c>
      <c r="CE83" s="59">
        <f t="shared" si="94"/>
        <v>218.98894871653943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16</v>
      </c>
      <c r="CH83" s="16">
        <f>IF(ISNA(VLOOKUP(A83,'Données projet'!$A$113:$I$133,5,0)),0%,VLOOKUP(A83,'Données projet'!$A$113:$I$133,5,0)*VLOOKUP('Données projet'!$B$12,Paramètres!$A$1:$I$89,7,0))</f>
        <v>8.6000000000000007E-2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0.5</v>
      </c>
      <c r="CK83" s="21">
        <f>EXP(-LN(2)/35)*CK82+(1-EXP(-LN(2)/35))/(LN(2)/35)*CG83*CH83*VLOOKUP('Données projet'!$B$12,Paramètres!$A$1:$I$89,3,0)*0.475*44/12</f>
        <v>5.7040906295379354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6.154685869678195</v>
      </c>
      <c r="CN83" s="22">
        <f t="shared" si="66"/>
        <v>11.85877649921613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1">
        <f t="shared" si="86"/>
        <v>17.013747764443796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67">
        <f t="shared" si="56"/>
        <v>389.73513402307276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3.6</v>
      </c>
      <c r="N84" s="13">
        <f>IF('Données projet'!$A$36&gt;35,N83+M84-V83,IF(A84&lt;'Données projet'!$A$36,$K$205^A84,IF(A84='Données projet'!$A$36,'Données projet'!$B$36,N83+M84-V83)))</f>
        <v>233.60000000000002</v>
      </c>
      <c r="O84" s="13">
        <f>N84*VLOOKUP('Données projet'!$B$9,Paramètres!$A$1:$I$89,3,0)*VLOOKUP('Données projet'!$B$9,Paramètres!$A$1:$I$89,5,0)</f>
        <v>204.07296000000005</v>
      </c>
      <c r="P84" s="13">
        <f t="shared" si="87"/>
        <v>50.638228095278635</v>
      </c>
      <c r="Q84" s="20">
        <f t="shared" si="54"/>
        <v>443.62198593261041</v>
      </c>
      <c r="R84" s="59">
        <f t="shared" si="55"/>
        <v>736.95531926594367</v>
      </c>
      <c r="S84" s="59">
        <f ca="1">AVERAGE(OFFSET($R$3,0,0,'Données projet'!$E$9+1,1))-AVERAGE(OFFSET($H$3,0,0,'Données projet'!$E$9+1,1))</f>
        <v>265.44504059292035</v>
      </c>
      <c r="T84" s="59">
        <f t="shared" si="88"/>
        <v>272.02069798702723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13.498285948963705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3.4449832599582169</v>
      </c>
      <c r="AC84" s="22">
        <f t="shared" si="57"/>
        <v>16.943269208921922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71.716690190721977</v>
      </c>
      <c r="AO84" s="59">
        <f t="shared" si="90"/>
        <v>388.00050527441761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27.04980859243086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27.04980859243086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71.716690190721977</v>
      </c>
      <c r="BJ84" s="59">
        <f t="shared" si="92"/>
        <v>388.00050527441761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27.04980859243086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27.04980859243086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3.8</v>
      </c>
      <c r="BY84" s="12">
        <f>IF('Données projet'!$A$114&gt;35,BY83+BX84-CG83,IF(A84&lt;'Données projet'!$A$114,$BV$205^A84,IF(A84='Données projet'!$A$114,'Données projet'!$B$114,BY83+BX84-CG83)))</f>
        <v>231.80000000000007</v>
      </c>
      <c r="BZ84" s="13">
        <f>BY84*VLOOKUP('Données projet'!$B$12,Paramètres!$A$1:$I$89,3,0)*VLOOKUP('Données projet'!$B$12,Paramètres!$A$1:$I$89,5,0)</f>
        <v>151.87536000000003</v>
      </c>
      <c r="CA84" s="13">
        <f t="shared" si="93"/>
        <v>39.004459236504758</v>
      </c>
      <c r="CB84" s="20">
        <f t="shared" si="64"/>
        <v>332.44901850357911</v>
      </c>
      <c r="CC84" s="59">
        <f t="shared" si="65"/>
        <v>625.78235183691243</v>
      </c>
      <c r="CD84" s="59">
        <f ca="1">AVERAGE(OFFSET($CC$3,0,0,'Données projet'!$E$12+1,1))-AVERAGE(OFFSET($H$3,0,0,'Données projet'!$E$12+1,1))</f>
        <v>188.589895905567</v>
      </c>
      <c r="CE84" s="59">
        <f t="shared" si="94"/>
        <v>218.98894871653943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5.5922368914444425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4.3520201145224755</v>
      </c>
      <c r="CN84" s="22">
        <f t="shared" si="66"/>
        <v>9.944257005966918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1">
        <f t="shared" si="86"/>
        <v>17.199211901359213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67">
        <f t="shared" si="56"/>
        <v>391.33514072820037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3.6</v>
      </c>
      <c r="N85" s="13">
        <f>IF('Données projet'!$A$36&gt;35,N84+M85-V84,IF(A85&lt;'Données projet'!$A$36,$K$205^A85,IF(A85='Données projet'!$A$36,'Données projet'!$B$36,N84+M85-V84)))</f>
        <v>237.20000000000002</v>
      </c>
      <c r="O85" s="13">
        <f>N85*VLOOKUP('Données projet'!$B$9,Paramètres!$A$1:$I$89,3,0)*VLOOKUP('Données projet'!$B$9,Paramètres!$A$1:$I$89,5,0)</f>
        <v>207.21792000000005</v>
      </c>
      <c r="P85" s="13">
        <f t="shared" si="87"/>
        <v>51.327160141561521</v>
      </c>
      <c r="Q85" s="20">
        <f t="shared" si="54"/>
        <v>450.29934791321972</v>
      </c>
      <c r="R85" s="59">
        <f t="shared" si="55"/>
        <v>743.63268124655303</v>
      </c>
      <c r="S85" s="59">
        <f ca="1">AVERAGE(OFFSET($R$3,0,0,'Données projet'!$E$9+1,1))-AVERAGE(OFFSET($H$3,0,0,'Données projet'!$E$9+1,1))</f>
        <v>265.44504059292035</v>
      </c>
      <c r="T85" s="59">
        <f t="shared" si="88"/>
        <v>272.02069798702723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13.233592794646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2.4359710241905943</v>
      </c>
      <c r="AC85" s="22">
        <f t="shared" si="57"/>
        <v>15.669563818836595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71.716690190721977</v>
      </c>
      <c r="AO85" s="59">
        <f t="shared" si="90"/>
        <v>388.00050527441761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26.519378344687414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26.519378344687414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71.716690190721977</v>
      </c>
      <c r="BJ85" s="59">
        <f t="shared" si="92"/>
        <v>388.00050527441761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26.519378344687414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26.519378344687414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3.8</v>
      </c>
      <c r="BY85" s="12">
        <f>IF('Données projet'!$A$114&gt;35,BY84+BX85-CG84,IF(A85&lt;'Données projet'!$A$114,$BV$205^A85,IF(A85='Données projet'!$A$114,'Données projet'!$B$114,BY84+BX85-CG84)))</f>
        <v>235.60000000000008</v>
      </c>
      <c r="BZ85" s="13">
        <f>BY85*VLOOKUP('Données projet'!$B$12,Paramètres!$A$1:$I$89,3,0)*VLOOKUP('Données projet'!$B$12,Paramètres!$A$1:$I$89,5,0)</f>
        <v>154.36512000000005</v>
      </c>
      <c r="CA85" s="13">
        <f t="shared" si="93"/>
        <v>39.568912624848309</v>
      </c>
      <c r="CB85" s="20">
        <f t="shared" si="64"/>
        <v>337.76844015494419</v>
      </c>
      <c r="CC85" s="59">
        <f t="shared" si="65"/>
        <v>631.10177348827756</v>
      </c>
      <c r="CD85" s="59">
        <f ca="1">AVERAGE(OFFSET($CC$3,0,0,'Données projet'!$E$12+1,1))-AVERAGE(OFFSET($H$3,0,0,'Données projet'!$E$12+1,1))</f>
        <v>188.589895905567</v>
      </c>
      <c r="CE85" s="59">
        <f t="shared" si="94"/>
        <v>218.98894871653943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5.4825765369309192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3.0773429348390979</v>
      </c>
      <c r="CN85" s="22">
        <f t="shared" si="66"/>
        <v>8.5599194717700176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1">
        <f t="shared" si="86"/>
        <v>17.384412949542618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67">
        <f t="shared" si="56"/>
        <v>392.93468922045315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3.6</v>
      </c>
      <c r="N86" s="13">
        <f>IF('Données projet'!$A$36&gt;35,N85+M86-V85,IF(A86&lt;'Données projet'!$A$36,$K$205^A86,IF(A86='Données projet'!$A$36,'Données projet'!$B$36,N85+M86-V85)))</f>
        <v>240.8</v>
      </c>
      <c r="O86" s="13">
        <f>N86*VLOOKUP('Données projet'!$B$9,Paramètres!$A$1:$I$89,3,0)*VLOOKUP('Données projet'!$B$9,Paramètres!$A$1:$I$89,5,0)</f>
        <v>210.36288000000002</v>
      </c>
      <c r="P86" s="13">
        <f t="shared" si="87"/>
        <v>52.014876138342963</v>
      </c>
      <c r="Q86" s="20">
        <f t="shared" si="54"/>
        <v>456.97459194094728</v>
      </c>
      <c r="R86" s="59">
        <f t="shared" si="55"/>
        <v>750.30792527428059</v>
      </c>
      <c r="S86" s="59">
        <f ca="1">AVERAGE(OFFSET($R$3,0,0,'Données projet'!$E$9+1,1))-AVERAGE(OFFSET($H$3,0,0,'Données projet'!$E$9+1,1))</f>
        <v>265.44504059292035</v>
      </c>
      <c r="T86" s="59">
        <f t="shared" si="88"/>
        <v>272.02069798702723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12.974090111637583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1.7224916299791087</v>
      </c>
      <c r="AC86" s="22">
        <f t="shared" si="57"/>
        <v>14.696581741616692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71.716690190721977</v>
      </c>
      <c r="AO86" s="59">
        <f t="shared" si="90"/>
        <v>388.00050527441761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25.999349510571715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25.999349510571715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71.716690190721977</v>
      </c>
      <c r="BJ86" s="59">
        <f t="shared" si="92"/>
        <v>388.00050527441761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25.999349510571715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25.999349510571715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3.8</v>
      </c>
      <c r="BY86" s="12">
        <f>IF('Données projet'!$A$114&gt;35,BY85+BX86-CG85,IF(A86&lt;'Données projet'!$A$114,$BV$205^A86,IF(A86='Données projet'!$A$114,'Données projet'!$B$114,BY85+BX86-CG85)))</f>
        <v>239.40000000000009</v>
      </c>
      <c r="BZ86" s="13">
        <f>BY86*VLOOKUP('Données projet'!$B$12,Paramètres!$A$1:$I$89,3,0)*VLOOKUP('Données projet'!$B$12,Paramètres!$A$1:$I$89,5,0)</f>
        <v>156.85488000000007</v>
      </c>
      <c r="CA86" s="13">
        <f t="shared" si="93"/>
        <v>40.132307243083858</v>
      </c>
      <c r="CB86" s="20">
        <f t="shared" si="64"/>
        <v>343.08601778170447</v>
      </c>
      <c r="CC86" s="59">
        <f t="shared" si="65"/>
        <v>636.41935111503778</v>
      </c>
      <c r="CD86" s="59">
        <f ca="1">AVERAGE(OFFSET($CC$3,0,0,'Données projet'!$E$12+1,1))-AVERAGE(OFFSET($H$3,0,0,'Données projet'!$E$12+1,1))</f>
        <v>188.589895905567</v>
      </c>
      <c r="CE86" s="59">
        <f t="shared" si="94"/>
        <v>218.98894871653943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5.3750665550831949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2.1760100572612382</v>
      </c>
      <c r="CN86" s="22">
        <f t="shared" si="66"/>
        <v>7.5510766123444331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1">
        <f t="shared" si="86"/>
        <v>17.569354445387791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67">
        <f t="shared" si="56"/>
        <v>394.53378565905018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3.6</v>
      </c>
      <c r="N87" s="13">
        <f>IF('Données projet'!$A$36&gt;35,N86+M87-V86,IF(A87&lt;'Données projet'!$A$36,$K$205^A87,IF(A87='Données projet'!$A$36,'Données projet'!$B$36,N86+M87-V86)))</f>
        <v>244.4</v>
      </c>
      <c r="O87" s="13">
        <f>N87*VLOOKUP('Données projet'!$B$9,Paramètres!$A$1:$I$89,3,0)*VLOOKUP('Données projet'!$B$9,Paramètres!$A$1:$I$89,5,0)</f>
        <v>213.50784000000002</v>
      </c>
      <c r="P87" s="13">
        <f t="shared" si="87"/>
        <v>52.701396365805124</v>
      </c>
      <c r="Q87" s="20">
        <f t="shared" si="54"/>
        <v>463.6477533371106</v>
      </c>
      <c r="R87" s="59">
        <f t="shared" si="55"/>
        <v>756.98108667044391</v>
      </c>
      <c r="S87" s="59">
        <f ca="1">AVERAGE(OFFSET($R$3,0,0,'Données projet'!$E$9+1,1))-AVERAGE(OFFSET($H$3,0,0,'Données projet'!$E$9+1,1))</f>
        <v>265.44504059292035</v>
      </c>
      <c r="T87" s="59">
        <f t="shared" si="88"/>
        <v>272.02069798702723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12.719676117961953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1.2179855120952972</v>
      </c>
      <c r="AC87" s="22">
        <f t="shared" si="57"/>
        <v>13.937661630057249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71.716690190721977</v>
      </c>
      <c r="AO87" s="59">
        <f t="shared" si="90"/>
        <v>388.00050527441761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25.489518124706755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25.489518124706755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71.716690190721977</v>
      </c>
      <c r="BJ87" s="59">
        <f t="shared" si="92"/>
        <v>388.00050527441761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25.489518124706755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25.489518124706755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3.8</v>
      </c>
      <c r="BY87" s="12">
        <f>IF('Données projet'!$A$114&gt;35,BY86+BX87-CG86,IF(A87&lt;'Données projet'!$A$114,$BV$205^A87,IF(A87='Données projet'!$A$114,'Données projet'!$B$114,BY86+BX87-CG86)))</f>
        <v>243.2000000000001</v>
      </c>
      <c r="BZ87" s="13">
        <f>BY87*VLOOKUP('Données projet'!$B$12,Paramètres!$A$1:$I$89,3,0)*VLOOKUP('Données projet'!$B$12,Paramètres!$A$1:$I$89,5,0)</f>
        <v>159.34464000000006</v>
      </c>
      <c r="CA87" s="13">
        <f t="shared" si="93"/>
        <v>40.694661837553809</v>
      </c>
      <c r="CB87" s="20">
        <f t="shared" si="64"/>
        <v>348.40178403373966</v>
      </c>
      <c r="CC87" s="59">
        <f t="shared" si="65"/>
        <v>641.73511736707292</v>
      </c>
      <c r="CD87" s="59">
        <f ca="1">AVERAGE(OFFSET($CC$3,0,0,'Données projet'!$E$12+1,1))-AVERAGE(OFFSET($H$3,0,0,'Données projet'!$E$12+1,1))</f>
        <v>188.589895905567</v>
      </c>
      <c r="CE87" s="59">
        <f t="shared" si="94"/>
        <v>218.98894871653943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5.2696647784048904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1.5386714674195492</v>
      </c>
      <c r="CN87" s="22">
        <f t="shared" si="66"/>
        <v>6.8083362458244396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1">
        <f t="shared" si="86"/>
        <v>17.754039836243663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67">
        <f t="shared" si="56"/>
        <v>396.13243604812419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248</v>
      </c>
      <c r="L88" s="12">
        <f>VLOOKUP(A88,'Données projet'!$A$35:$I$55,9,0)</f>
        <v>3.6</v>
      </c>
      <c r="M88" s="12">
        <f t="array" ref="M88">INDEX(L:L,MIN(IF(ISNUMBER(L88:L284),ROW(L88:L284),"")))</f>
        <v>3.6</v>
      </c>
      <c r="N88" s="13">
        <f>IF('Données projet'!$A$36&gt;35,N87+M88-V87,IF(A88&lt;'Données projet'!$A$36,$K$205^A88,IF(A88='Données projet'!$A$36,'Données projet'!$B$36,N87+M88-V87)))</f>
        <v>248</v>
      </c>
      <c r="O88" s="13">
        <f>N88*VLOOKUP('Données projet'!$B$9,Paramètres!$A$1:$I$89,3,0)*VLOOKUP('Données projet'!$B$9,Paramètres!$A$1:$I$89,5,0)</f>
        <v>216.65280000000004</v>
      </c>
      <c r="P88" s="13">
        <f t="shared" si="87"/>
        <v>53.38674047237982</v>
      </c>
      <c r="Q88" s="20">
        <f t="shared" si="54"/>
        <v>470.3188663227283</v>
      </c>
      <c r="R88" s="59">
        <f t="shared" si="55"/>
        <v>763.65219965606161</v>
      </c>
      <c r="S88" s="59">
        <f ca="1">AVERAGE(OFFSET($R$3,0,0,'Données projet'!$E$9+1,1))-AVERAGE(OFFSET($H$3,0,0,'Données projet'!$E$9+1,1))</f>
        <v>265.44504059292035</v>
      </c>
      <c r="T88" s="59">
        <f t="shared" si="88"/>
        <v>272.02069798702723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14</v>
      </c>
      <c r="W88" s="16">
        <f>IF(ISNA(VLOOKUP(A88,'Données projet'!$A$35:$I$55,5,0)),0%,VLOOKUP(A88,'Données projet'!$A$35:$I$55,5,0)*VLOOKUP('Données projet'!$B$9,Paramètres!$A$1:$I$89,7,0))</f>
        <v>0.215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0.3</v>
      </c>
      <c r="Z88" s="21">
        <f>EXP(-LN(2)/35)*Z87+(1-EXP(-LN(2)/35))/(LN(2)/35)*V88*W88*VLOOKUP('Données projet'!$B$9,Paramètres!$A$1:$I$89,3,0)*0.475*44/12</f>
        <v>15.377125187440646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4.3231592879064769</v>
      </c>
      <c r="AC88" s="22">
        <f t="shared" si="57"/>
        <v>19.700284475347122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71.716690190721977</v>
      </c>
      <c r="AO88" s="59">
        <f t="shared" si="90"/>
        <v>388.00050527441761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24.989684221352167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24.989684221352167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71.716690190721977</v>
      </c>
      <c r="BJ88" s="59">
        <f t="shared" si="92"/>
        <v>388.00050527441761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24.989684221352167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24.989684221352167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247</v>
      </c>
      <c r="BW88" s="12">
        <f>VLOOKUP(A88,'Données projet'!$A$113:$I$133,9,0)</f>
        <v>3.8</v>
      </c>
      <c r="BX88" s="12">
        <f t="array" ref="BX88">INDEX(BW:BW,MIN(IF(ISNUMBER(BW88:BW284),ROW(BW88:BW284),"")))</f>
        <v>3.8</v>
      </c>
      <c r="BY88" s="12">
        <f>IF('Données projet'!$A$114&gt;35,BY87+BX88-CG87,IF(A88&lt;'Données projet'!$A$114,$BV$205^A88,IF(A88='Données projet'!$A$114,'Données projet'!$B$114,BY87+BX88-CG87)))</f>
        <v>247.00000000000011</v>
      </c>
      <c r="BZ88" s="13">
        <f>BY88*VLOOKUP('Données projet'!$B$12,Paramètres!$A$1:$I$89,3,0)*VLOOKUP('Données projet'!$B$12,Paramètres!$A$1:$I$89,5,0)</f>
        <v>161.83440000000007</v>
      </c>
      <c r="CA88" s="13">
        <f t="shared" si="93"/>
        <v>41.255994535170515</v>
      </c>
      <c r="CB88" s="20">
        <f t="shared" si="64"/>
        <v>353.71577048208877</v>
      </c>
      <c r="CC88" s="59">
        <f t="shared" si="65"/>
        <v>647.04910381542209</v>
      </c>
      <c r="CD88" s="59">
        <f ca="1">AVERAGE(OFFSET($CC$3,0,0,'Données projet'!$E$12+1,1))-AVERAGE(OFFSET($H$3,0,0,'Données projet'!$E$12+1,1))</f>
        <v>188.589895905567</v>
      </c>
      <c r="CE88" s="59">
        <f t="shared" si="94"/>
        <v>218.98894871653943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15</v>
      </c>
      <c r="CH88" s="16">
        <f>IF(ISNA(VLOOKUP(A88,'Données projet'!$A$113:$I$133,5,0)),0%,VLOOKUP(A88,'Données projet'!$A$113:$I$133,5,0)*VLOOKUP('Données projet'!$B$12,Paramètres!$A$1:$I$89,7,0))</f>
        <v>8.6000000000000007E-2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0.5</v>
      </c>
      <c r="CK88" s="21">
        <f>EXP(-LN(2)/35)*CK87+(1-EXP(-LN(2)/35))/(LN(2)/35)*CG88*CH88*VLOOKUP('Données projet'!$B$12,Paramètres!$A$1:$I$89,3,0)*0.475*44/12</f>
        <v>6.1006822748227973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5.7244962870014966</v>
      </c>
      <c r="CN88" s="22">
        <f t="shared" si="66"/>
        <v>11.825178561824295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1">
        <f t="shared" si="86"/>
        <v>17.93847248367711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67">
        <f t="shared" si="56"/>
        <v>397.73064624240408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</v>
      </c>
      <c r="N89" s="13">
        <f>IF('Données projet'!$A$36&gt;35,N88+M89-V88,IF(A89&lt;'Données projet'!$A$36,$K$205^A89,IF(A89='Données projet'!$A$36,'Données projet'!$B$36,N88+M89-V88)))</f>
        <v>237</v>
      </c>
      <c r="O89" s="13">
        <f>N89*VLOOKUP('Données projet'!$B$9,Paramètres!$A$1:$I$89,3,0)*VLOOKUP('Données projet'!$B$9,Paramètres!$A$1:$I$89,5,0)</f>
        <v>207.04320000000001</v>
      </c>
      <c r="P89" s="13">
        <f t="shared" si="87"/>
        <v>51.288918231806321</v>
      </c>
      <c r="Q89" s="20">
        <f t="shared" si="54"/>
        <v>449.92843925372944</v>
      </c>
      <c r="R89" s="59">
        <f t="shared" si="55"/>
        <v>743.26177258706275</v>
      </c>
      <c r="S89" s="59">
        <f ca="1">AVERAGE(OFFSET($R$3,0,0,'Données projet'!$E$9+1,1))-AVERAGE(OFFSET($H$3,0,0,'Données projet'!$E$9+1,1))</f>
        <v>265.44504059292035</v>
      </c>
      <c r="T89" s="59">
        <f t="shared" si="88"/>
        <v>272.02069798702723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15.075589141635188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3.0569352486282759</v>
      </c>
      <c r="AC89" s="22">
        <f t="shared" si="57"/>
        <v>18.132524390263463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71.716690190721977</v>
      </c>
      <c r="AO89" s="59">
        <f t="shared" si="90"/>
        <v>388.00050527441761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24.499651755973783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24.499651755973783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71.716690190721977</v>
      </c>
      <c r="BJ89" s="59">
        <f t="shared" si="92"/>
        <v>388.00050527441761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24.499651755973783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24.499651755973783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3.6</v>
      </c>
      <c r="BY89" s="12">
        <f>IF('Données projet'!$A$114&gt;35,BY88+BX89-CG88,IF(A89&lt;'Données projet'!$A$114,$BV$205^A89,IF(A89='Données projet'!$A$114,'Données projet'!$B$114,BY88+BX89-CG88)))</f>
        <v>235.60000000000011</v>
      </c>
      <c r="BZ89" s="13">
        <f>BY89*VLOOKUP('Données projet'!$B$12,Paramètres!$A$1:$I$89,3,0)*VLOOKUP('Données projet'!$B$12,Paramètres!$A$1:$I$89,5,0)</f>
        <v>154.36512000000008</v>
      </c>
      <c r="CA89" s="13">
        <f t="shared" si="93"/>
        <v>39.568912624848309</v>
      </c>
      <c r="CB89" s="20">
        <f t="shared" si="64"/>
        <v>337.76844015494424</v>
      </c>
      <c r="CC89" s="59">
        <f t="shared" si="65"/>
        <v>631.10177348827756</v>
      </c>
      <c r="CD89" s="59">
        <f ca="1">AVERAGE(OFFSET($CC$3,0,0,'Données projet'!$E$12+1,1))-AVERAGE(OFFSET($H$3,0,0,'Données projet'!$E$12+1,1))</f>
        <v>188.589895905567</v>
      </c>
      <c r="CE89" s="59">
        <f t="shared" si="94"/>
        <v>218.98894871653943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5.9810516164622864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4.0478301434159709</v>
      </c>
      <c r="CN89" s="22">
        <f t="shared" si="66"/>
        <v>10.028881759878256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1">
        <f t="shared" si="86"/>
        <v>18.122655666579583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67">
        <f t="shared" si="56"/>
        <v>399.32842195262583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</v>
      </c>
      <c r="N90" s="13">
        <f>IF('Données projet'!$A$36&gt;35,N89+M90-V89,IF(A90&lt;'Données projet'!$A$36,$K$205^A90,IF(A90='Données projet'!$A$36,'Données projet'!$B$36,N89+M90-V89)))</f>
        <v>240</v>
      </c>
      <c r="O90" s="13">
        <f>N90*VLOOKUP('Données projet'!$B$9,Paramètres!$A$1:$I$89,3,0)*VLOOKUP('Données projet'!$B$9,Paramètres!$A$1:$I$89,5,0)</f>
        <v>209.66400000000002</v>
      </c>
      <c r="P90" s="13">
        <f t="shared" si="87"/>
        <v>51.862154403304537</v>
      </c>
      <c r="Q90" s="20">
        <f t="shared" si="54"/>
        <v>455.49138558575538</v>
      </c>
      <c r="R90" s="59">
        <f t="shared" si="55"/>
        <v>748.8247189190887</v>
      </c>
      <c r="S90" s="59">
        <f ca="1">AVERAGE(OFFSET($R$3,0,0,'Données projet'!$E$9+1,1))-AVERAGE(OFFSET($H$3,0,0,'Données projet'!$E$9+1,1))</f>
        <v>265.44504059292035</v>
      </c>
      <c r="T90" s="59">
        <f t="shared" si="88"/>
        <v>272.02069798702723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14.779966033769147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2.1615796439532389</v>
      </c>
      <c r="AC90" s="22">
        <f t="shared" si="57"/>
        <v>16.941545677722388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71.716690190721977</v>
      </c>
      <c r="AO90" s="59">
        <f t="shared" si="90"/>
        <v>388.00050527441761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24.019228528351178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24.019228528351178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71.716690190721977</v>
      </c>
      <c r="BJ90" s="59">
        <f t="shared" si="92"/>
        <v>388.00050527441761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24.019228528351178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24.019228528351178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3.6</v>
      </c>
      <c r="BY90" s="12">
        <f>IF('Données projet'!$A$114&gt;35,BY89+BX90-CG89,IF(A90&lt;'Données projet'!$A$114,$BV$205^A90,IF(A90='Données projet'!$A$114,'Données projet'!$B$114,BY89+BX90-CG89)))</f>
        <v>239.2000000000001</v>
      </c>
      <c r="BZ90" s="13">
        <f>BY90*VLOOKUP('Données projet'!$B$12,Paramètres!$A$1:$I$89,3,0)*VLOOKUP('Données projet'!$B$12,Paramètres!$A$1:$I$89,5,0)</f>
        <v>156.72384000000008</v>
      </c>
      <c r="CA90" s="13">
        <f t="shared" si="93"/>
        <v>40.102680984620484</v>
      </c>
      <c r="CB90" s="20">
        <f t="shared" si="64"/>
        <v>342.80619071488081</v>
      </c>
      <c r="CC90" s="59">
        <f t="shared" si="65"/>
        <v>636.13952404821407</v>
      </c>
      <c r="CD90" s="59">
        <f ca="1">AVERAGE(OFFSET($CC$3,0,0,'Données projet'!$E$12+1,1))-AVERAGE(OFFSET($H$3,0,0,'Données projet'!$E$12+1,1))</f>
        <v>188.589895905567</v>
      </c>
      <c r="CE90" s="59">
        <f t="shared" si="94"/>
        <v>218.98894871653943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5.8637668423447291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2.8622481435007483</v>
      </c>
      <c r="CN90" s="22">
        <f t="shared" si="66"/>
        <v>8.7260149858454774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1">
        <f t="shared" si="86"/>
        <v>18.30659258412695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67">
        <f t="shared" si="56"/>
        <v>400.9257687506875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</v>
      </c>
      <c r="N91" s="13">
        <f>IF('Données projet'!$A$36&gt;35,N90+M91-V90,IF(A91&lt;'Données projet'!$A$36,$K$205^A91,IF(A91='Données projet'!$A$36,'Données projet'!$B$36,N90+M91-V90)))</f>
        <v>243</v>
      </c>
      <c r="O91" s="13">
        <f>N91*VLOOKUP('Données projet'!$B$9,Paramètres!$A$1:$I$89,3,0)*VLOOKUP('Données projet'!$B$9,Paramètres!$A$1:$I$89,5,0)</f>
        <v>212.28480000000002</v>
      </c>
      <c r="P91" s="13">
        <f t="shared" si="87"/>
        <v>52.434557099704193</v>
      </c>
      <c r="Q91" s="20">
        <f t="shared" si="54"/>
        <v>461.05288028198476</v>
      </c>
      <c r="R91" s="59">
        <f t="shared" si="55"/>
        <v>754.38621361531807</v>
      </c>
      <c r="S91" s="59">
        <f ca="1">AVERAGE(OFFSET($R$3,0,0,'Données projet'!$E$9+1,1))-AVERAGE(OFFSET($H$3,0,0,'Données projet'!$E$9+1,1))</f>
        <v>265.44504059292035</v>
      </c>
      <c r="T91" s="59">
        <f t="shared" si="88"/>
        <v>272.02069798702723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14.490139914736069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1.5284676243141382</v>
      </c>
      <c r="AC91" s="22">
        <f t="shared" si="57"/>
        <v>16.018607539050208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71.716690190721977</v>
      </c>
      <c r="AO91" s="59">
        <f t="shared" si="90"/>
        <v>388.00050527441761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23.548226107193017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23.548226107193017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71.716690190721977</v>
      </c>
      <c r="BJ91" s="59">
        <f t="shared" si="92"/>
        <v>388.00050527441761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23.548226107193017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23.548226107193017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3.6</v>
      </c>
      <c r="BY91" s="12">
        <f>IF('Données projet'!$A$114&gt;35,BY90+BX91-CG90,IF(A91&lt;'Données projet'!$A$114,$BV$205^A91,IF(A91='Données projet'!$A$114,'Données projet'!$B$114,BY90+BX91-CG90)))</f>
        <v>242.8000000000001</v>
      </c>
      <c r="BZ91" s="13">
        <f>BY91*VLOOKUP('Données projet'!$B$12,Paramètres!$A$1:$I$89,3,0)*VLOOKUP('Données projet'!$B$12,Paramètres!$A$1:$I$89,5,0)</f>
        <v>159.08256000000006</v>
      </c>
      <c r="CA91" s="13">
        <f t="shared" si="93"/>
        <v>40.635515049195902</v>
      </c>
      <c r="CB91" s="20">
        <f t="shared" si="64"/>
        <v>347.84231404401629</v>
      </c>
      <c r="CC91" s="59">
        <f t="shared" si="65"/>
        <v>641.17564737734961</v>
      </c>
      <c r="CD91" s="59">
        <f ca="1">AVERAGE(OFFSET($CC$3,0,0,'Données projet'!$E$12+1,1))-AVERAGE(OFFSET($H$3,0,0,'Données projet'!$E$12+1,1))</f>
        <v>188.589895905567</v>
      </c>
      <c r="CE91" s="59">
        <f t="shared" si="94"/>
        <v>218.98894871653943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5.7487819511109688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2.0239150717079855</v>
      </c>
      <c r="CN91" s="22">
        <f t="shared" si="66"/>
        <v>7.7726970228189547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1">
        <f t="shared" si="86"/>
        <v>18.490286358600777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67">
        <f t="shared" si="56"/>
        <v>402.52269207456277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</v>
      </c>
      <c r="N92" s="13">
        <f>IF('Données projet'!$A$36&gt;35,N91+M92-V91,IF(A92&lt;'Données projet'!$A$36,$K$205^A92,IF(A92='Données projet'!$A$36,'Données projet'!$B$36,N91+M92-V91)))</f>
        <v>246</v>
      </c>
      <c r="O92" s="13">
        <f>N92*VLOOKUP('Données projet'!$B$9,Paramètres!$A$1:$I$89,3,0)*VLOOKUP('Données projet'!$B$9,Paramètres!$A$1:$I$89,5,0)</f>
        <v>214.90560000000005</v>
      </c>
      <c r="P92" s="13">
        <f t="shared" si="87"/>
        <v>53.006137800892326</v>
      </c>
      <c r="Q92" s="20">
        <f t="shared" si="54"/>
        <v>466.61294333655422</v>
      </c>
      <c r="R92" s="59">
        <f t="shared" si="55"/>
        <v>759.94627666988754</v>
      </c>
      <c r="S92" s="59">
        <f ca="1">AVERAGE(OFFSET($R$3,0,0,'Données projet'!$E$9+1,1))-AVERAGE(OFFSET($H$3,0,0,'Données projet'!$E$9+1,1))</f>
        <v>265.44504059292035</v>
      </c>
      <c r="T92" s="59">
        <f t="shared" si="88"/>
        <v>272.02069798702723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14.205997109120752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1.0807898219766194</v>
      </c>
      <c r="AC92" s="22">
        <f t="shared" si="57"/>
        <v>15.286786931097371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71.716690190721977</v>
      </c>
      <c r="AO92" s="59">
        <f t="shared" si="90"/>
        <v>388.00050527441761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23.08645975623066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23.08645975623066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71.716690190721977</v>
      </c>
      <c r="BJ92" s="59">
        <f t="shared" si="92"/>
        <v>388.00050527441761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23.08645975623066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23.08645975623066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3.6</v>
      </c>
      <c r="BY92" s="12">
        <f>IF('Données projet'!$A$114&gt;35,BY91+BX92-CG91,IF(A92&lt;'Données projet'!$A$114,$BV$205^A92,IF(A92='Données projet'!$A$114,'Données projet'!$B$114,BY91+BX92-CG91)))</f>
        <v>246.40000000000009</v>
      </c>
      <c r="BZ92" s="13">
        <f>BY92*VLOOKUP('Données projet'!$B$12,Paramètres!$A$1:$I$89,3,0)*VLOOKUP('Données projet'!$B$12,Paramètres!$A$1:$I$89,5,0)</f>
        <v>161.44128000000006</v>
      </c>
      <c r="CA92" s="13">
        <f t="shared" si="93"/>
        <v>41.167430271655704</v>
      </c>
      <c r="CB92" s="20">
        <f t="shared" si="64"/>
        <v>352.87683705646708</v>
      </c>
      <c r="CC92" s="59">
        <f t="shared" si="65"/>
        <v>646.2101703898004</v>
      </c>
      <c r="CD92" s="59">
        <f ca="1">AVERAGE(OFFSET($CC$3,0,0,'Données projet'!$E$12+1,1))-AVERAGE(OFFSET($H$3,0,0,'Données projet'!$E$12+1,1))</f>
        <v>188.589895905567</v>
      </c>
      <c r="CE92" s="59">
        <f t="shared" si="94"/>
        <v>218.98894871653943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5.6360518434604439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1.4311240717503741</v>
      </c>
      <c r="CN92" s="22">
        <f t="shared" si="66"/>
        <v>7.067175915210818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1">
        <f t="shared" si="86"/>
        <v>18.673740038079401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67">
        <f t="shared" si="56"/>
        <v>404.11919723298803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249</v>
      </c>
      <c r="L93" s="12">
        <f>VLOOKUP(A93,'Données projet'!$A$35:$I$55,9,0)</f>
        <v>3</v>
      </c>
      <c r="M93" s="12">
        <f t="array" ref="M93">INDEX(L:L,MIN(IF(ISNUMBER(L93:L289),ROW(L93:L289),"")))</f>
        <v>3</v>
      </c>
      <c r="N93" s="13">
        <f>IF('Données projet'!$A$36&gt;35,N92+M93-V92,IF(A93&lt;'Données projet'!$A$36,$K$205^A93,IF(A93='Données projet'!$A$36,'Données projet'!$B$36,N92+M93-V92)))</f>
        <v>249</v>
      </c>
      <c r="O93" s="13">
        <f>N93*VLOOKUP('Données projet'!$B$9,Paramètres!$A$1:$I$89,3,0)*VLOOKUP('Données projet'!$B$9,Paramètres!$A$1:$I$89,5,0)</f>
        <v>217.52640000000005</v>
      </c>
      <c r="P93" s="13">
        <f t="shared" si="87"/>
        <v>53.576907690651254</v>
      </c>
      <c r="Q93" s="20">
        <f t="shared" si="54"/>
        <v>472.17159422788433</v>
      </c>
      <c r="R93" s="59">
        <f t="shared" si="55"/>
        <v>765.50492756121764</v>
      </c>
      <c r="S93" s="59">
        <f ca="1">AVERAGE(OFFSET($R$3,0,0,'Données projet'!$E$9+1,1))-AVERAGE(OFFSET($H$3,0,0,'Données projet'!$E$9+1,1))</f>
        <v>265.44504059292035</v>
      </c>
      <c r="T93" s="59">
        <f t="shared" si="88"/>
        <v>272.02069798702723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12</v>
      </c>
      <c r="W93" s="16">
        <f>IF(ISNA(VLOOKUP(A93,'Données projet'!$A$35:$I$55,5,0)),0%,VLOOKUP(A93,'Données projet'!$A$35:$I$55,5,0)*VLOOKUP('Données projet'!$B$9,Paramètres!$A$1:$I$89,7,0))</f>
        <v>0.215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0.3</v>
      </c>
      <c r="Z93" s="21">
        <f>EXP(-LN(2)/35)*Z92+(1-EXP(-LN(2)/35))/(LN(2)/35)*V93*W93*VLOOKUP('Données projet'!$B$9,Paramètres!$A$1:$I$89,3,0)*0.475*44/12</f>
        <v>16.419032593398313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3.7315882175144308</v>
      </c>
      <c r="AC93" s="22">
        <f t="shared" si="57"/>
        <v>20.150620810912745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71.716690190721977</v>
      </c>
      <c r="AO93" s="59">
        <f t="shared" si="90"/>
        <v>388.00050527441761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22.633748361761011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22.633748361761011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71.716690190721977</v>
      </c>
      <c r="BJ93" s="59">
        <f t="shared" si="92"/>
        <v>388.00050527441761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22.633748361761011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22.633748361761011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250</v>
      </c>
      <c r="BW93" s="12">
        <f>VLOOKUP(A93,'Données projet'!$A$113:$I$133,9,0)</f>
        <v>3.6</v>
      </c>
      <c r="BX93" s="12">
        <f t="array" ref="BX93">INDEX(BW:BW,MIN(IF(ISNUMBER(BW93:BW289),ROW(BW93:BW289),"")))</f>
        <v>3.6</v>
      </c>
      <c r="BY93" s="12">
        <f>IF('Données projet'!$A$114&gt;35,BY92+BX93-CG92,IF(A93&lt;'Données projet'!$A$114,$BV$205^A93,IF(A93='Données projet'!$A$114,'Données projet'!$B$114,BY92+BX93-CG92)))</f>
        <v>250.00000000000009</v>
      </c>
      <c r="BZ93" s="13">
        <f>BY93*VLOOKUP('Données projet'!$B$12,Paramètres!$A$1:$I$89,3,0)*VLOOKUP('Données projet'!$B$12,Paramètres!$A$1:$I$89,5,0)</f>
        <v>163.80000000000004</v>
      </c>
      <c r="CA93" s="13">
        <f t="shared" si="93"/>
        <v>41.698441627605334</v>
      </c>
      <c r="CB93" s="20">
        <f t="shared" si="64"/>
        <v>357.90978583474595</v>
      </c>
      <c r="CC93" s="59">
        <f t="shared" si="65"/>
        <v>651.24311916807926</v>
      </c>
      <c r="CD93" s="59">
        <f ca="1">AVERAGE(OFFSET($CC$3,0,0,'Données projet'!$E$12+1,1))-AVERAGE(OFFSET($H$3,0,0,'Données projet'!$E$12+1,1))</f>
        <v>188.589895905567</v>
      </c>
      <c r="CE93" s="59">
        <f t="shared" si="94"/>
        <v>218.98894871653943</v>
      </c>
      <c r="CF93" s="15" t="str">
        <f>IF(ISNA(VLOOKUP(A93,'Données projet'!$A$113:$I$133,3,0)),0,VLOOKUP(A93,'Données projet'!$A$113:$I$133,3,0))</f>
        <v>CR</v>
      </c>
      <c r="CG93" s="15">
        <f>IF(ISNA(VLOOKUP(A93,'Données projet'!$A$113:$I$133,4,0)),0,VLOOKUP(A93,'Données projet'!$A$113:$I$133,4,0))</f>
        <v>250</v>
      </c>
      <c r="CH93" s="16">
        <f>IF(ISNA(VLOOKUP(A93,'Données projet'!$A$113:$I$133,5,0)),0%,VLOOKUP(A93,'Données projet'!$A$113:$I$133,5,0)*VLOOKUP('Données projet'!$B$12,Paramètres!$A$1:$I$89,7,0))</f>
        <v>0.215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0.3</v>
      </c>
      <c r="CK93" s="21">
        <f>EXP(-LN(2)/35)*CK92+(1-EXP(-LN(2)/35))/(LN(2)/35)*CG93*CH93*VLOOKUP('Données projet'!$B$12,Paramètres!$A$1:$I$89,3,0)*0.475*44/12</f>
        <v>44.456882660474264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47.376870119562774</v>
      </c>
      <c r="CN93" s="22">
        <f t="shared" si="66"/>
        <v>91.833752780037031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1">
        <f t="shared" si="86"/>
        <v>18.85695659900588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67">
        <f t="shared" si="56"/>
        <v>405.715289409935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</v>
      </c>
      <c r="N94" s="13">
        <f>IF('Données projet'!$A$36&gt;35,N93+M94-V93,IF(A94&lt;'Données projet'!$A$36,$K$205^A94,IF(A94='Données projet'!$A$36,'Données projet'!$B$36,N93+M94-V93)))</f>
        <v>240</v>
      </c>
      <c r="O94" s="13">
        <f>N94*VLOOKUP('Données projet'!$B$9,Paramètres!$A$1:$I$89,3,0)*VLOOKUP('Données projet'!$B$9,Paramètres!$A$1:$I$89,5,0)</f>
        <v>209.66400000000002</v>
      </c>
      <c r="P94" s="13">
        <f t="shared" si="87"/>
        <v>51.862154403304537</v>
      </c>
      <c r="Q94" s="20">
        <f t="shared" si="54"/>
        <v>455.49138558575538</v>
      </c>
      <c r="R94" s="59">
        <f t="shared" si="55"/>
        <v>748.8247189190887</v>
      </c>
      <c r="S94" s="59">
        <f ca="1">AVERAGE(OFFSET($R$3,0,0,'Données projet'!$E$9+1,1))-AVERAGE(OFFSET($H$3,0,0,'Données projet'!$E$9+1,1))</f>
        <v>265.44504059292035</v>
      </c>
      <c r="T94" s="59">
        <f t="shared" si="88"/>
        <v>272.02069798702723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16.097065378862794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2.6386313332002755</v>
      </c>
      <c r="AC94" s="22">
        <f t="shared" si="57"/>
        <v>18.735696712063071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71.716690190721977</v>
      </c>
      <c r="AO94" s="59">
        <f t="shared" si="90"/>
        <v>388.00050527441761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22.189914361610224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22.189914361610224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71.716690190721977</v>
      </c>
      <c r="BJ94" s="59">
        <f t="shared" si="92"/>
        <v>388.00050527441761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22.189914361610224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22.189914361610224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8.5265128291212022E-14</v>
      </c>
      <c r="BZ94" s="13">
        <f>BY94*VLOOKUP('Données projet'!$B$12,Paramètres!$A$1:$I$89,3,0)*VLOOKUP('Données projet'!$B$12,Paramètres!$A$1:$I$89,5,0)</f>
        <v>5.5865712056402117E-14</v>
      </c>
      <c r="CA94" s="13">
        <f t="shared" si="93"/>
        <v>8.9811031843713517E-13</v>
      </c>
      <c r="CB94" s="20">
        <f t="shared" si="64"/>
        <v>1.6615082531095774E-12</v>
      </c>
      <c r="CC94" s="59">
        <f t="shared" si="65"/>
        <v>293.33333333333496</v>
      </c>
      <c r="CD94" s="59">
        <f ca="1">AVERAGE(OFFSET($CC$3,0,0,'Données projet'!$E$12+1,1))-AVERAGE(OFFSET($H$3,0,0,'Données projet'!$E$12+1,1))</f>
        <v>188.589895905567</v>
      </c>
      <c r="CE94" s="59">
        <f t="shared" si="94"/>
        <v>218.98894871653943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43.585110307523301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33.500506132937161</v>
      </c>
      <c r="CN94" s="22">
        <f t="shared" si="66"/>
        <v>77.085616440460456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1">
        <f t="shared" si="86"/>
        <v>19.03993894863974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67">
        <f t="shared" si="56"/>
        <v>407.31097366888059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</v>
      </c>
      <c r="N95" s="13">
        <f>IF('Données projet'!$A$36&gt;35,N94+M95-V94,IF(A95&lt;'Données projet'!$A$36,$K$205^A95,IF(A95='Données projet'!$A$36,'Données projet'!$B$36,N94+M95-V94)))</f>
        <v>243</v>
      </c>
      <c r="O95" s="13">
        <f>N95*VLOOKUP('Données projet'!$B$9,Paramètres!$A$1:$I$89,3,0)*VLOOKUP('Données projet'!$B$9,Paramètres!$A$1:$I$89,5,0)</f>
        <v>212.28480000000002</v>
      </c>
      <c r="P95" s="13">
        <f t="shared" si="87"/>
        <v>52.434557099704193</v>
      </c>
      <c r="Q95" s="20">
        <f t="shared" si="54"/>
        <v>461.05288028198476</v>
      </c>
      <c r="R95" s="59">
        <f t="shared" si="55"/>
        <v>754.38621361531807</v>
      </c>
      <c r="S95" s="59">
        <f ca="1">AVERAGE(OFFSET($R$3,0,0,'Données projet'!$E$9+1,1))-AVERAGE(OFFSET($H$3,0,0,'Données projet'!$E$9+1,1))</f>
        <v>265.44504059292035</v>
      </c>
      <c r="T95" s="59">
        <f t="shared" si="88"/>
        <v>272.02069798702723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15.781411745023705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1.8657941087572156</v>
      </c>
      <c r="AC95" s="22">
        <f t="shared" si="57"/>
        <v>17.647205853780921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71.716690190721977</v>
      </c>
      <c r="AO95" s="59">
        <f t="shared" si="90"/>
        <v>388.00050527441761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21.754783675490387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21.754783675490387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71.716690190721977</v>
      </c>
      <c r="BJ95" s="59">
        <f t="shared" si="92"/>
        <v>388.00050527441761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21.754783675490387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21.754783675490387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8.5265128291212022E-14</v>
      </c>
      <c r="BZ95" s="13">
        <f>BY95*VLOOKUP('Données projet'!$B$12,Paramètres!$A$1:$I$89,3,0)*VLOOKUP('Données projet'!$B$12,Paramètres!$A$1:$I$89,5,0)</f>
        <v>5.5865712056402117E-14</v>
      </c>
      <c r="CA95" s="13">
        <f t="shared" si="93"/>
        <v>8.9811031843713517E-13</v>
      </c>
      <c r="CB95" s="20">
        <f t="shared" si="64"/>
        <v>1.6615082531095774E-12</v>
      </c>
      <c r="CC95" s="59">
        <f t="shared" si="65"/>
        <v>293.33333333333496</v>
      </c>
      <c r="CD95" s="59">
        <f ca="1">AVERAGE(OFFSET($CC$3,0,0,'Données projet'!$E$12+1,1))-AVERAGE(OFFSET($H$3,0,0,'Données projet'!$E$12+1,1))</f>
        <v>188.589895905567</v>
      </c>
      <c r="CE95" s="59">
        <f t="shared" si="94"/>
        <v>218.98894871653943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42.730432878685079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23.688435059781391</v>
      </c>
      <c r="CN95" s="22">
        <f t="shared" si="66"/>
        <v>66.418867938466462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1">
        <f t="shared" si="86"/>
        <v>19.222689927399379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67">
        <f t="shared" si="56"/>
        <v>408.90625495688698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</v>
      </c>
      <c r="N96" s="13">
        <f>IF('Données projet'!$A$36&gt;35,N95+M96-V95,IF(A96&lt;'Données projet'!$A$36,$K$205^A96,IF(A96='Données projet'!$A$36,'Données projet'!$B$36,N95+M96-V95)))</f>
        <v>246</v>
      </c>
      <c r="O96" s="13">
        <f>N96*VLOOKUP('Données projet'!$B$9,Paramètres!$A$1:$I$89,3,0)*VLOOKUP('Données projet'!$B$9,Paramètres!$A$1:$I$89,5,0)</f>
        <v>214.90560000000005</v>
      </c>
      <c r="P96" s="13">
        <f t="shared" si="87"/>
        <v>53.006137800892326</v>
      </c>
      <c r="Q96" s="20">
        <f t="shared" si="54"/>
        <v>466.61294333655422</v>
      </c>
      <c r="R96" s="59">
        <f t="shared" si="55"/>
        <v>759.94627666988754</v>
      </c>
      <c r="S96" s="59">
        <f ca="1">AVERAGE(OFFSET($R$3,0,0,'Données projet'!$E$9+1,1))-AVERAGE(OFFSET($H$3,0,0,'Données projet'!$E$9+1,1))</f>
        <v>265.44504059292035</v>
      </c>
      <c r="T96" s="59">
        <f t="shared" si="88"/>
        <v>272.02069798702723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15.471947886414496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1.319315666600138</v>
      </c>
      <c r="AC96" s="22">
        <f t="shared" si="57"/>
        <v>16.791263553014634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71.716690190721977</v>
      </c>
      <c r="AO96" s="59">
        <f t="shared" si="90"/>
        <v>388.00050527441761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21.328185636721848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21.328185636721848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71.716690190721977</v>
      </c>
      <c r="BJ96" s="59">
        <f t="shared" si="92"/>
        <v>388.00050527441761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21.328185636721848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21.328185636721848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8.5265128291212022E-14</v>
      </c>
      <c r="BZ96" s="13">
        <f>BY96*VLOOKUP('Données projet'!$B$12,Paramètres!$A$1:$I$89,3,0)*VLOOKUP('Données projet'!$B$12,Paramètres!$A$1:$I$89,5,0)</f>
        <v>5.5865712056402117E-14</v>
      </c>
      <c r="CA96" s="13">
        <f t="shared" si="93"/>
        <v>8.9811031843713517E-13</v>
      </c>
      <c r="CB96" s="20">
        <f t="shared" si="64"/>
        <v>1.6615082531095774E-12</v>
      </c>
      <c r="CC96" s="59">
        <f t="shared" si="65"/>
        <v>293.33333333333496</v>
      </c>
      <c r="CD96" s="59">
        <f ca="1">AVERAGE(OFFSET($CC$3,0,0,'Données projet'!$E$12+1,1))-AVERAGE(OFFSET($H$3,0,0,'Données projet'!$E$12+1,1))</f>
        <v>188.589895905567</v>
      </c>
      <c r="CE96" s="59">
        <f t="shared" si="94"/>
        <v>218.98894871653943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41.892515152924616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16.750253066468581</v>
      </c>
      <c r="CN96" s="22">
        <f t="shared" si="66"/>
        <v>58.642768219393197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1">
        <f t="shared" si="86"/>
        <v>19.405212311100474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67">
        <f t="shared" si="56"/>
        <v>410.50113810849973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</v>
      </c>
      <c r="N97" s="13">
        <f>IF('Données projet'!$A$36&gt;35,N96+M97-V96,IF(A97&lt;'Données projet'!$A$36,$K$205^A97,IF(A97='Données projet'!$A$36,'Données projet'!$B$36,N96+M97-V96)))</f>
        <v>249</v>
      </c>
      <c r="O97" s="13">
        <f>N97*VLOOKUP('Données projet'!$B$9,Paramètres!$A$1:$I$89,3,0)*VLOOKUP('Données projet'!$B$9,Paramètres!$A$1:$I$89,5,0)</f>
        <v>217.52640000000005</v>
      </c>
      <c r="P97" s="13">
        <f t="shared" si="87"/>
        <v>53.576907690651254</v>
      </c>
      <c r="Q97" s="20">
        <f t="shared" si="54"/>
        <v>472.17159422788433</v>
      </c>
      <c r="R97" s="59">
        <f t="shared" si="55"/>
        <v>765.50492756121764</v>
      </c>
      <c r="S97" s="59">
        <f ca="1">AVERAGE(OFFSET($R$3,0,0,'Données projet'!$E$9+1,1))-AVERAGE(OFFSET($H$3,0,0,'Données projet'!$E$9+1,1))</f>
        <v>265.44504059292035</v>
      </c>
      <c r="T97" s="59">
        <f t="shared" si="88"/>
        <v>272.02069798702723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15.168552425318296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0.93289705437860793</v>
      </c>
      <c r="AC97" s="22">
        <f t="shared" si="57"/>
        <v>16.101449479696903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71.716690190721977</v>
      </c>
      <c r="AO97" s="59">
        <f t="shared" si="90"/>
        <v>388.00050527441761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20.909952925294448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20.909952925294448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71.716690190721977</v>
      </c>
      <c r="BJ97" s="59">
        <f t="shared" si="92"/>
        <v>388.00050527441761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20.909952925294448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20.909952925294448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8.5265128291212022E-14</v>
      </c>
      <c r="BZ97" s="13">
        <f>BY97*VLOOKUP('Données projet'!$B$12,Paramètres!$A$1:$I$89,3,0)*VLOOKUP('Données projet'!$B$12,Paramètres!$A$1:$I$89,5,0)</f>
        <v>5.5865712056402117E-14</v>
      </c>
      <c r="CA97" s="13">
        <f t="shared" si="93"/>
        <v>8.9811031843713517E-13</v>
      </c>
      <c r="CB97" s="20">
        <f t="shared" si="64"/>
        <v>1.6615082531095774E-12</v>
      </c>
      <c r="CC97" s="59">
        <f t="shared" si="65"/>
        <v>293.33333333333496</v>
      </c>
      <c r="CD97" s="59">
        <f ca="1">AVERAGE(OFFSET($CC$3,0,0,'Données projet'!$E$12+1,1))-AVERAGE(OFFSET($H$3,0,0,'Données projet'!$E$12+1,1))</f>
        <v>188.589895905567</v>
      </c>
      <c r="CE97" s="59">
        <f t="shared" si="94"/>
        <v>218.98894871653943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41.07102848268697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11.844217529890695</v>
      </c>
      <c r="CN97" s="22">
        <f t="shared" si="66"/>
        <v>52.915246012577668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1">
        <f t="shared" si="86"/>
        <v>19.58750881309674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67">
        <f t="shared" si="56"/>
        <v>412.09562784947656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252</v>
      </c>
      <c r="L98" s="12">
        <f>VLOOKUP(A98,'Données projet'!$A$35:$I$55,9,0)</f>
        <v>3</v>
      </c>
      <c r="M98" s="12">
        <f t="array" ref="M98">INDEX(L:L,MIN(IF(ISNUMBER(L98:L294),ROW(L98:L294),"")))</f>
        <v>3</v>
      </c>
      <c r="N98" s="13">
        <f>IF('Données projet'!$A$36&gt;35,N97+M98-V97,IF(A98&lt;'Données projet'!$A$36,$K$205^A98,IF(A98='Données projet'!$A$36,'Données projet'!$B$36,N97+M98-V97)))</f>
        <v>252</v>
      </c>
      <c r="O98" s="13">
        <f>N98*VLOOKUP('Données projet'!$B$9,Paramètres!$A$1:$I$89,3,0)*VLOOKUP('Données projet'!$B$9,Paramètres!$A$1:$I$89,5,0)</f>
        <v>220.14720000000003</v>
      </c>
      <c r="P98" s="13">
        <f t="shared" si="87"/>
        <v>54.146877667769687</v>
      </c>
      <c r="Q98" s="20">
        <f t="shared" si="54"/>
        <v>477.72885193803222</v>
      </c>
      <c r="R98" s="59">
        <f t="shared" si="55"/>
        <v>771.06218527136548</v>
      </c>
      <c r="S98" s="59">
        <f ca="1">AVERAGE(OFFSET($R$3,0,0,'Données projet'!$E$9+1,1))-AVERAGE(OFFSET($H$3,0,0,'Données projet'!$E$9+1,1))</f>
        <v>265.44504059292035</v>
      </c>
      <c r="T98" s="59">
        <f t="shared" si="88"/>
        <v>272.02069798702723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12</v>
      </c>
      <c r="W98" s="16">
        <f>IF(ISNA(VLOOKUP(A98,'Données projet'!$A$35:$I$55,5,0)),0%,VLOOKUP(A98,'Données projet'!$A$35:$I$55,5,0)*VLOOKUP('Données projet'!$B$9,Paramètres!$A$1:$I$89,7,0))</f>
        <v>0.215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0.3</v>
      </c>
      <c r="Z98" s="21">
        <f>EXP(-LN(2)/35)*Z97+(1-EXP(-LN(2)/35))/(LN(2)/35)*V98*W98*VLOOKUP('Données projet'!$B$9,Paramètres!$A$1:$I$89,3,0)*0.475*44/12</f>
        <v>17.362712786945995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3.6270122386574308</v>
      </c>
      <c r="AC98" s="22">
        <f t="shared" si="57"/>
        <v>20.989725025603427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71.716690190721977</v>
      </c>
      <c r="AO98" s="59">
        <f t="shared" si="90"/>
        <v>388.00050527441761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20.499921502241374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20.499921502241374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71.716690190721977</v>
      </c>
      <c r="BJ98" s="59">
        <f t="shared" si="92"/>
        <v>388.00050527441761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20.499921502241374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20.499921502241374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8.5265128291212022E-14</v>
      </c>
      <c r="BZ98" s="13">
        <f>BY98*VLOOKUP('Données projet'!$B$12,Paramètres!$A$1:$I$89,3,0)*VLOOKUP('Données projet'!$B$12,Paramètres!$A$1:$I$89,5,0)</f>
        <v>5.5865712056402117E-14</v>
      </c>
      <c r="CA98" s="13">
        <f t="shared" si="93"/>
        <v>8.9811031843713517E-13</v>
      </c>
      <c r="CB98" s="20">
        <f t="shared" si="64"/>
        <v>1.6615082531095774E-12</v>
      </c>
      <c r="CC98" s="59">
        <f t="shared" si="65"/>
        <v>293.33333333333496</v>
      </c>
      <c r="CD98" s="59">
        <f ca="1">AVERAGE(OFFSET($CC$3,0,0,'Données projet'!$E$12+1,1))-AVERAGE(OFFSET($H$3,0,0,'Données projet'!$E$12+1,1))</f>
        <v>188.589895905567</v>
      </c>
      <c r="CE98" s="59">
        <f t="shared" si="94"/>
        <v>218.98894871653943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40.265650664995285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8.3751265332342903</v>
      </c>
      <c r="CN98" s="22">
        <f t="shared" si="66"/>
        <v>48.640777198229571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1">
        <f t="shared" si="86"/>
        <v>19.769582086327762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67">
        <f t="shared" si="56"/>
        <v>413.68972880035386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</v>
      </c>
      <c r="N99" s="13">
        <f>IF('Données projet'!$A$36&gt;35,N98+M99-V98,IF(A99&lt;'Données projet'!$A$36,$K$205^A99,IF(A99='Données projet'!$A$36,'Données projet'!$B$36,N98+M99-V98)))</f>
        <v>243</v>
      </c>
      <c r="O99" s="13">
        <f>N99*VLOOKUP('Données projet'!$B$9,Paramètres!$A$1:$I$89,3,0)*VLOOKUP('Données projet'!$B$9,Paramètres!$A$1:$I$89,5,0)</f>
        <v>212.28480000000002</v>
      </c>
      <c r="P99" s="13">
        <f t="shared" si="87"/>
        <v>52.434557099704193</v>
      </c>
      <c r="Q99" s="20">
        <f t="shared" ref="Q99:Q130" si="107">(O99+P99)*0.475*44/12</f>
        <v>461.05288028198476</v>
      </c>
      <c r="R99" s="59">
        <f t="shared" si="55"/>
        <v>754.38621361531807</v>
      </c>
      <c r="S99" s="59">
        <f ca="1">AVERAGE(OFFSET($R$3,0,0,'Données projet'!$E$9+1,1))-AVERAGE(OFFSET($H$3,0,0,'Données projet'!$E$9+1,1))</f>
        <v>265.44504059292035</v>
      </c>
      <c r="T99" s="59">
        <f t="shared" si="88"/>
        <v>272.02069798702723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17.022240579403089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2.5646849494012698</v>
      </c>
      <c r="AC99" s="22">
        <f t="shared" si="57"/>
        <v>19.586925528804358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71.716690190721977</v>
      </c>
      <c r="AO99" s="59">
        <f t="shared" si="90"/>
        <v>388.00050527441761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20.097930545299899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20.097930545299899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71.716690190721977</v>
      </c>
      <c r="BJ99" s="59">
        <f t="shared" si="92"/>
        <v>388.00050527441761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20.097930545299899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20.097930545299899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8.5265128291212022E-14</v>
      </c>
      <c r="BZ99" s="13">
        <f>BY99*VLOOKUP('Données projet'!$B$12,Paramètres!$A$1:$I$89,3,0)*VLOOKUP('Données projet'!$B$12,Paramètres!$A$1:$I$89,5,0)</f>
        <v>5.5865712056402117E-14</v>
      </c>
      <c r="CA99" s="13">
        <f t="shared" si="93"/>
        <v>8.9811031843713517E-13</v>
      </c>
      <c r="CB99" s="20">
        <f t="shared" si="64"/>
        <v>1.6615082531095774E-12</v>
      </c>
      <c r="CC99" s="59">
        <f t="shared" si="65"/>
        <v>293.33333333333496</v>
      </c>
      <c r="CD99" s="59">
        <f ca="1">AVERAGE(OFFSET($CC$3,0,0,'Données projet'!$E$12+1,1))-AVERAGE(OFFSET($H$3,0,0,'Données projet'!$E$12+1,1))</f>
        <v>188.589895905567</v>
      </c>
      <c r="CE99" s="59">
        <f t="shared" si="94"/>
        <v>218.98894871653943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39.476065815076574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5.9221087649453477</v>
      </c>
      <c r="CN99" s="22">
        <f t="shared" si="66"/>
        <v>45.398174580021923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1">
        <f t="shared" si="86"/>
        <v>19.951434725279164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67">
        <f t="shared" si="56"/>
        <v>415.28344547986092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</v>
      </c>
      <c r="N100" s="13">
        <f>IF('Données projet'!$A$36&gt;35,N99+M100-V99,IF(A100&lt;'Données projet'!$A$36,$K$205^A100,IF(A100='Données projet'!$A$36,'Données projet'!$B$36,N99+M100-V99)))</f>
        <v>246</v>
      </c>
      <c r="O100" s="13">
        <f>N100*VLOOKUP('Données projet'!$B$9,Paramètres!$A$1:$I$89,3,0)*VLOOKUP('Données projet'!$B$9,Paramètres!$A$1:$I$89,5,0)</f>
        <v>214.90560000000005</v>
      </c>
      <c r="P100" s="13">
        <f t="shared" si="87"/>
        <v>53.006137800892326</v>
      </c>
      <c r="Q100" s="20">
        <f t="shared" si="107"/>
        <v>466.61294333655422</v>
      </c>
      <c r="R100" s="59">
        <f t="shared" si="55"/>
        <v>759.94627666988754</v>
      </c>
      <c r="S100" s="59">
        <f ca="1">AVERAGE(OFFSET($R$3,0,0,'Données projet'!$E$9+1,1))-AVERAGE(OFFSET($H$3,0,0,'Données projet'!$E$9+1,1))</f>
        <v>265.44504059292035</v>
      </c>
      <c r="T100" s="59">
        <f t="shared" si="88"/>
        <v>272.02069798702723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16.688444824182557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1.8135061193287154</v>
      </c>
      <c r="AC100" s="22">
        <f t="shared" si="57"/>
        <v>18.501950943511272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71.716690190721977</v>
      </c>
      <c r="AO100" s="59">
        <f t="shared" si="90"/>
        <v>388.00050527441761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19.703822385833771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19.703822385833771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71.716690190721977</v>
      </c>
      <c r="BJ100" s="59">
        <f t="shared" si="92"/>
        <v>388.00050527441761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19.703822385833771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19.703822385833771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8.5265128291212022E-14</v>
      </c>
      <c r="BZ100" s="13">
        <f>BY100*VLOOKUP('Données projet'!$B$12,Paramètres!$A$1:$I$89,3,0)*VLOOKUP('Données projet'!$B$12,Paramètres!$A$1:$I$89,5,0)</f>
        <v>5.5865712056402117E-14</v>
      </c>
      <c r="CA100" s="13">
        <f t="shared" si="93"/>
        <v>8.9811031843713517E-13</v>
      </c>
      <c r="CB100" s="20">
        <f t="shared" si="64"/>
        <v>1.6615082531095774E-12</v>
      </c>
      <c r="CC100" s="59">
        <f t="shared" si="65"/>
        <v>293.33333333333496</v>
      </c>
      <c r="CD100" s="59">
        <f ca="1">AVERAGE(OFFSET($CC$3,0,0,'Données projet'!$E$12+1,1))-AVERAGE(OFFSET($H$3,0,0,'Données projet'!$E$12+1,1))</f>
        <v>188.589895905567</v>
      </c>
      <c r="CE100" s="59">
        <f t="shared" si="94"/>
        <v>218.98894871653943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38.701964242465564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4.1875632666171452</v>
      </c>
      <c r="CN100" s="22">
        <f t="shared" si="66"/>
        <v>42.889527509082711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1">
        <f t="shared" si="86"/>
        <v>20.133069267859618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67">
        <f t="shared" si="56"/>
        <v>416.87678230818852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</v>
      </c>
      <c r="N101" s="13">
        <f>IF('Données projet'!$A$36&gt;35,N100+M101-V100,IF(A101&lt;'Données projet'!$A$36,$K$205^A101,IF(A101='Données projet'!$A$36,'Données projet'!$B$36,N100+M101-V100)))</f>
        <v>249</v>
      </c>
      <c r="O101" s="13">
        <f>N101*VLOOKUP('Données projet'!$B$9,Paramètres!$A$1:$I$89,3,0)*VLOOKUP('Données projet'!$B$9,Paramètres!$A$1:$I$89,5,0)</f>
        <v>217.52640000000005</v>
      </c>
      <c r="P101" s="13">
        <f t="shared" si="87"/>
        <v>53.576907690651254</v>
      </c>
      <c r="Q101" s="20">
        <f t="shared" si="107"/>
        <v>472.17159422788433</v>
      </c>
      <c r="R101" s="59">
        <f t="shared" si="55"/>
        <v>765.50492756121764</v>
      </c>
      <c r="S101" s="59">
        <f ca="1">AVERAGE(OFFSET($R$3,0,0,'Données projet'!$E$9+1,1))-AVERAGE(OFFSET($H$3,0,0,'Données projet'!$E$9+1,1))</f>
        <v>265.44504059292035</v>
      </c>
      <c r="T101" s="59">
        <f t="shared" si="88"/>
        <v>272.02069798702723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16.361194600126591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1.2823424747006349</v>
      </c>
      <c r="AC101" s="22">
        <f t="shared" si="57"/>
        <v>17.643537074827226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71.716690190721977</v>
      </c>
      <c r="AO101" s="59">
        <f t="shared" si="90"/>
        <v>388.00050527441761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19.317442446992533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19.317442446992533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71.716690190721977</v>
      </c>
      <c r="BJ101" s="59">
        <f t="shared" si="92"/>
        <v>388.00050527441761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19.317442446992533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19.317442446992533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8.5265128291212022E-14</v>
      </c>
      <c r="BZ101" s="13">
        <f>BY101*VLOOKUP('Données projet'!$B$12,Paramètres!$A$1:$I$89,3,0)*VLOOKUP('Données projet'!$B$12,Paramètres!$A$1:$I$89,5,0)</f>
        <v>5.5865712056402117E-14</v>
      </c>
      <c r="CA101" s="13">
        <f t="shared" si="93"/>
        <v>8.9811031843713517E-13</v>
      </c>
      <c r="CB101" s="20">
        <f t="shared" si="64"/>
        <v>1.6615082531095774E-12</v>
      </c>
      <c r="CC101" s="59">
        <f t="shared" si="65"/>
        <v>293.33333333333496</v>
      </c>
      <c r="CD101" s="59">
        <f ca="1">AVERAGE(OFFSET($CC$3,0,0,'Données projet'!$E$12+1,1))-AVERAGE(OFFSET($H$3,0,0,'Données projet'!$E$12+1,1))</f>
        <v>188.589895905567</v>
      </c>
      <c r="CE101" s="59">
        <f t="shared" si="94"/>
        <v>218.98894871653943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37.943042329538116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2.9610543824726738</v>
      </c>
      <c r="CN101" s="22">
        <f t="shared" si="66"/>
        <v>40.904096712010791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1">
        <f t="shared" si="86"/>
        <v>20.314488197199012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67">
        <f t="shared" si="56"/>
        <v>418.46974361012133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</v>
      </c>
      <c r="N102" s="13">
        <f>IF('Données projet'!$A$36&gt;35,N101+M102-V101,IF(A102&lt;'Données projet'!$A$36,$K$205^A102,IF(A102='Données projet'!$A$36,'Données projet'!$B$36,N101+M102-V101)))</f>
        <v>252</v>
      </c>
      <c r="O102" s="13">
        <f>N102*VLOOKUP('Données projet'!$B$9,Paramètres!$A$1:$I$89,3,0)*VLOOKUP('Données projet'!$B$9,Paramètres!$A$1:$I$89,5,0)</f>
        <v>220.14720000000003</v>
      </c>
      <c r="P102" s="13">
        <f t="shared" si="87"/>
        <v>54.146877667769687</v>
      </c>
      <c r="Q102" s="20">
        <f t="shared" si="107"/>
        <v>477.72885193803222</v>
      </c>
      <c r="R102" s="59">
        <f t="shared" si="55"/>
        <v>771.06218527136548</v>
      </c>
      <c r="S102" s="59">
        <f ca="1">AVERAGE(OFFSET($R$3,0,0,'Données projet'!$E$9+1,1))-AVERAGE(OFFSET($H$3,0,0,'Données projet'!$E$9+1,1))</f>
        <v>265.44504059292035</v>
      </c>
      <c r="T102" s="59">
        <f t="shared" si="88"/>
        <v>272.02069798702723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16.040361553361436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0.90675305966435771</v>
      </c>
      <c r="AC102" s="22">
        <f t="shared" si="57"/>
        <v>16.947114613025793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71.716690190721977</v>
      </c>
      <c r="AO102" s="59">
        <f t="shared" si="90"/>
        <v>388.00050527441761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18.938639183083481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18.938639183083481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71.716690190721977</v>
      </c>
      <c r="BJ102" s="59">
        <f t="shared" si="92"/>
        <v>388.00050527441761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18.938639183083481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18.938639183083481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8.5265128291212022E-14</v>
      </c>
      <c r="BZ102" s="13">
        <f>BY102*VLOOKUP('Données projet'!$B$12,Paramètres!$A$1:$I$89,3,0)*VLOOKUP('Données projet'!$B$12,Paramètres!$A$1:$I$89,5,0)</f>
        <v>5.5865712056402117E-14</v>
      </c>
      <c r="CA102" s="13">
        <f t="shared" si="93"/>
        <v>8.9811031843713517E-13</v>
      </c>
      <c r="CB102" s="20">
        <f t="shared" si="64"/>
        <v>1.6615082531095774E-12</v>
      </c>
      <c r="CC102" s="59">
        <f t="shared" si="65"/>
        <v>293.33333333333496</v>
      </c>
      <c r="CD102" s="59">
        <f ca="1">AVERAGE(OFFSET($CC$3,0,0,'Données projet'!$E$12+1,1))-AVERAGE(OFFSET($H$3,0,0,'Données projet'!$E$12+1,1))</f>
        <v>188.589895905567</v>
      </c>
      <c r="CE102" s="59">
        <f t="shared" si="94"/>
        <v>218.98894871653943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37.199002412426516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2.0937816333085726</v>
      </c>
      <c r="CN102" s="22">
        <f t="shared" si="66"/>
        <v>39.29278404573509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1">
        <f t="shared" si="86"/>
        <v>20.495693943372022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67">
        <f t="shared" si="56"/>
        <v>420.06233361803925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255</v>
      </c>
      <c r="L103" s="12">
        <f>VLOOKUP(A103,'Données projet'!$A$35:$I$55,9,0)</f>
        <v>3</v>
      </c>
      <c r="M103" s="12">
        <f t="array" ref="M103">INDEX(L:L,MIN(IF(ISNUMBER(L103:L299),ROW(L103:L299),"")))</f>
        <v>3</v>
      </c>
      <c r="N103" s="13">
        <f>IF('Données projet'!$A$36&gt;35,N102+M103-V102,IF(A103&lt;'Données projet'!$A$36,$K$205^A103,IF(A103='Données projet'!$A$36,'Données projet'!$B$36,N102+M103-V102)))</f>
        <v>255</v>
      </c>
      <c r="O103" s="13">
        <f>N103*VLOOKUP('Données projet'!$B$9,Paramètres!$A$1:$I$89,3,0)*VLOOKUP('Données projet'!$B$9,Paramètres!$A$1:$I$89,5,0)</f>
        <v>222.76800000000003</v>
      </c>
      <c r="P103" s="13">
        <f t="shared" si="87"/>
        <v>54.716058356609508</v>
      </c>
      <c r="Q103" s="20">
        <f t="shared" si="107"/>
        <v>483.28473497109491</v>
      </c>
      <c r="R103" s="59">
        <f t="shared" si="55"/>
        <v>776.61806830442822</v>
      </c>
      <c r="S103" s="59">
        <f ca="1">AVERAGE(OFFSET($R$3,0,0,'Données projet'!$E$9+1,1))-AVERAGE(OFFSET($H$3,0,0,'Données projet'!$E$9+1,1))</f>
        <v>265.44504059292035</v>
      </c>
      <c r="T103" s="59">
        <f t="shared" si="88"/>
        <v>272.02069798702723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255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0.2</v>
      </c>
      <c r="Z103" s="21">
        <f>EXP(-LN(2)/35)*Z102+(1-EXP(-LN(2)/35))/(LN(2)/35)*V103*W103*VLOOKUP('Données projet'!$B$9,Paramètres!$A$1:$I$89,3,0)*0.475*44/12</f>
        <v>89.851110924801176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42.678691979912948</v>
      </c>
      <c r="AC103" s="22">
        <f t="shared" si="57"/>
        <v>132.52980290471413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71.716690190721977</v>
      </c>
      <c r="AO103" s="59">
        <f t="shared" si="90"/>
        <v>388.00050527441761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18.567264020132505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18.567264020132505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71.716690190721977</v>
      </c>
      <c r="BJ103" s="59">
        <f t="shared" si="92"/>
        <v>388.00050527441761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18.567264020132505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18.567264020132505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8.5265128291212022E-14</v>
      </c>
      <c r="BZ103" s="13">
        <f>BY103*VLOOKUP('Données projet'!$B$12,Paramètres!$A$1:$I$89,3,0)*VLOOKUP('Données projet'!$B$12,Paramètres!$A$1:$I$89,5,0)</f>
        <v>5.5865712056402117E-14</v>
      </c>
      <c r="CA103" s="13">
        <f t="shared" si="93"/>
        <v>8.9811031843713517E-13</v>
      </c>
      <c r="CB103" s="20">
        <f t="shared" si="64"/>
        <v>1.6615082531095774E-12</v>
      </c>
      <c r="CC103" s="59">
        <f t="shared" si="65"/>
        <v>293.33333333333496</v>
      </c>
      <c r="CD103" s="59">
        <f ca="1">AVERAGE(OFFSET($CC$3,0,0,'Données projet'!$E$12+1,1))-AVERAGE(OFFSET($H$3,0,0,'Données projet'!$E$12+1,1))</f>
        <v>188.589895905567</v>
      </c>
      <c r="CE103" s="59">
        <f t="shared" si="94"/>
        <v>218.98894871653943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36.469552664269933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1.4805271912363369</v>
      </c>
      <c r="CN103" s="22">
        <f t="shared" si="66"/>
        <v>37.950079855506267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1">
        <f t="shared" si="86"/>
        <v>20.676688885050506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67">
        <f t="shared" si="56"/>
        <v>421.65455647479598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265.44504059292035</v>
      </c>
      <c r="T104" s="59">
        <f t="shared" si="88"/>
        <v>272.02069798702723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88.08918544333207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30.178392511168369</v>
      </c>
      <c r="AC104" s="22">
        <f t="shared" si="57"/>
        <v>118.26757795450044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71.716690190721977</v>
      </c>
      <c r="AO104" s="59">
        <f t="shared" si="90"/>
        <v>388.00050527441761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18.203171297610517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18.203171297610517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71.716690190721977</v>
      </c>
      <c r="BJ104" s="59">
        <f t="shared" si="92"/>
        <v>388.00050527441761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18.203171297610517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18.203171297610517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8.5265128291212022E-14</v>
      </c>
      <c r="BZ104" s="13">
        <f>BY104*VLOOKUP('Données projet'!$B$12,Paramètres!$A$1:$I$89,3,0)*VLOOKUP('Données projet'!$B$12,Paramètres!$A$1:$I$89,5,0)</f>
        <v>5.5865712056402117E-14</v>
      </c>
      <c r="CA104" s="13">
        <f t="shared" si="93"/>
        <v>8.9811031843713517E-13</v>
      </c>
      <c r="CB104" s="20">
        <f t="shared" si="64"/>
        <v>1.6615082531095774E-12</v>
      </c>
      <c r="CC104" s="59">
        <f t="shared" si="65"/>
        <v>293.33333333333496</v>
      </c>
      <c r="CD104" s="59">
        <f ca="1">AVERAGE(OFFSET($CC$3,0,0,'Données projet'!$E$12+1,1))-AVERAGE(OFFSET($H$3,0,0,'Données projet'!$E$12+1,1))</f>
        <v>188.589895905567</v>
      </c>
      <c r="CE104" s="59">
        <f t="shared" si="94"/>
        <v>218.98894871653943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35.75440698075429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1.0468908166542863</v>
      </c>
      <c r="CN104" s="22">
        <f t="shared" si="66"/>
        <v>36.801297797408573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1">
        <f t="shared" si="86"/>
        <v>20.857475351088922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67">
        <f t="shared" si="56"/>
        <v>423.24641623647949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265.44504059292035</v>
      </c>
      <c r="T105" s="59">
        <f t="shared" si="88"/>
        <v>272.02069798702723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86.361810245886147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21.339345989956477</v>
      </c>
      <c r="AC105" s="22">
        <f t="shared" si="57"/>
        <v>107.70115623584263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71.716690190721977</v>
      </c>
      <c r="AO105" s="59">
        <f t="shared" si="90"/>
        <v>388.00050527441761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17.846218211302553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17.846218211302553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71.716690190721977</v>
      </c>
      <c r="BJ105" s="59">
        <f t="shared" si="92"/>
        <v>388.00050527441761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17.846218211302553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17.846218211302553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8.5265128291212022E-14</v>
      </c>
      <c r="BZ105" s="13">
        <f>BY105*VLOOKUP('Données projet'!$B$12,Paramètres!$A$1:$I$89,3,0)*VLOOKUP('Données projet'!$B$12,Paramètres!$A$1:$I$89,5,0)</f>
        <v>5.5865712056402117E-14</v>
      </c>
      <c r="CA105" s="13">
        <f t="shared" si="93"/>
        <v>8.9811031843713517E-13</v>
      </c>
      <c r="CB105" s="20">
        <f t="shared" si="64"/>
        <v>1.6615082531095774E-12</v>
      </c>
      <c r="CC105" s="59">
        <f t="shared" si="65"/>
        <v>293.33333333333496</v>
      </c>
      <c r="CD105" s="59">
        <f ca="1">AVERAGE(OFFSET($CC$3,0,0,'Données projet'!$E$12+1,1))-AVERAGE(OFFSET($H$3,0,0,'Données projet'!$E$12+1,1))</f>
        <v>188.589895905567</v>
      </c>
      <c r="CE105" s="59">
        <f t="shared" si="94"/>
        <v>218.98894871653943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35.053284867896593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0.74026359561816846</v>
      </c>
      <c r="CN105" s="22">
        <f t="shared" si="66"/>
        <v>35.79354846351476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1">
        <f t="shared" si="86"/>
        <v>21.038055622045484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67">
        <f t="shared" si="56"/>
        <v>424.83791687506221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265.44504059292035</v>
      </c>
      <c r="T106" s="59">
        <f t="shared" si="88"/>
        <v>272.02069798702723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84.668307822467298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15.089196255584186</v>
      </c>
      <c r="AC106" s="22">
        <f t="shared" si="57"/>
        <v>99.757504078051483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71.716690190721977</v>
      </c>
      <c r="AO106" s="59">
        <f t="shared" si="90"/>
        <v>388.00050527441761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17.496264757297201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17.496264757297201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71.716690190721977</v>
      </c>
      <c r="BJ106" s="59">
        <f t="shared" si="92"/>
        <v>388.00050527441761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17.496264757297201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17.496264757297201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8.5265128291212022E-14</v>
      </c>
      <c r="BZ106" s="13">
        <f>BY106*VLOOKUP('Données projet'!$B$12,Paramètres!$A$1:$I$89,3,0)*VLOOKUP('Données projet'!$B$12,Paramètres!$A$1:$I$89,5,0)</f>
        <v>5.5865712056402117E-14</v>
      </c>
      <c r="CA106" s="13">
        <f t="shared" si="93"/>
        <v>8.9811031843713517E-13</v>
      </c>
      <c r="CB106" s="20">
        <f t="shared" si="64"/>
        <v>1.6615082531095774E-12</v>
      </c>
      <c r="CC106" s="59">
        <f t="shared" si="65"/>
        <v>293.33333333333496</v>
      </c>
      <c r="CD106" s="59">
        <f ca="1">AVERAGE(OFFSET($CC$3,0,0,'Données projet'!$E$12+1,1))-AVERAGE(OFFSET($H$3,0,0,'Données projet'!$E$12+1,1))</f>
        <v>188.589895905567</v>
      </c>
      <c r="CE106" s="59">
        <f t="shared" si="94"/>
        <v>218.98894871653943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34.365911332029775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0.52344540832714315</v>
      </c>
      <c r="CN106" s="22">
        <f t="shared" si="66"/>
        <v>34.889356740356916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1">
        <f t="shared" si="86"/>
        <v>21.21843193164279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67">
        <f t="shared" si="56"/>
        <v>426.42906228094421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265.44504059292035</v>
      </c>
      <c r="T107" s="59">
        <f t="shared" si="88"/>
        <v>272.02069798702723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83.008013948637199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10.669672994978241</v>
      </c>
      <c r="AC107" s="22">
        <f t="shared" si="57"/>
        <v>93.677686943615441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71.716690190721977</v>
      </c>
      <c r="AO107" s="59">
        <f t="shared" si="90"/>
        <v>388.00050527441761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17.153173677074363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17.153173677074363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71.716690190721977</v>
      </c>
      <c r="BJ107" s="59">
        <f t="shared" si="92"/>
        <v>388.00050527441761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17.153173677074363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17.153173677074363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8.5265128291212022E-14</v>
      </c>
      <c r="BZ107" s="13">
        <f>BY107*VLOOKUP('Données projet'!$B$12,Paramètres!$A$1:$I$89,3,0)*VLOOKUP('Données projet'!$B$12,Paramètres!$A$1:$I$89,5,0)</f>
        <v>5.5865712056402117E-14</v>
      </c>
      <c r="CA107" s="13">
        <f t="shared" si="93"/>
        <v>8.9811031843713517E-13</v>
      </c>
      <c r="CB107" s="20">
        <f t="shared" si="64"/>
        <v>1.6615082531095774E-12</v>
      </c>
      <c r="CC107" s="59">
        <f t="shared" si="65"/>
        <v>293.33333333333496</v>
      </c>
      <c r="CD107" s="59">
        <f ca="1">AVERAGE(OFFSET($CC$3,0,0,'Données projet'!$E$12+1,1))-AVERAGE(OFFSET($H$3,0,0,'Données projet'!$E$12+1,1))</f>
        <v>188.589895905567</v>
      </c>
      <c r="CE107" s="59">
        <f t="shared" si="94"/>
        <v>218.98894871653943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33.692016771944843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0.37013179780908423</v>
      </c>
      <c r="CN107" s="22">
        <f t="shared" si="66"/>
        <v>34.06214856975393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1">
        <f t="shared" si="86"/>
        <v>21.398606468170534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67">
        <f t="shared" si="56"/>
        <v>428.01985626539664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265.44504059292035</v>
      </c>
      <c r="T108" s="59">
        <f t="shared" si="88"/>
        <v>272.02069798702723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81.38027742499365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7.5445981277920948</v>
      </c>
      <c r="AC108" s="22">
        <f t="shared" si="57"/>
        <v>88.92487555278575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71.716690190721977</v>
      </c>
      <c r="AO108" s="59">
        <f t="shared" si="90"/>
        <v>388.00050527441761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16.816810403669802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16.816810403669802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71.716690190721977</v>
      </c>
      <c r="BJ108" s="59">
        <f t="shared" si="92"/>
        <v>388.00050527441761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16.816810403669802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16.816810403669802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8.5265128291212022E-14</v>
      </c>
      <c r="BZ108" s="13">
        <f>BY108*VLOOKUP('Données projet'!$B$12,Paramètres!$A$1:$I$89,3,0)*VLOOKUP('Données projet'!$B$12,Paramètres!$A$1:$I$89,5,0)</f>
        <v>5.5865712056402117E-14</v>
      </c>
      <c r="CA108" s="13">
        <f t="shared" si="93"/>
        <v>8.9811031843713517E-13</v>
      </c>
      <c r="CB108" s="20">
        <f t="shared" si="64"/>
        <v>1.6615082531095774E-12</v>
      </c>
      <c r="CC108" s="59">
        <f t="shared" si="65"/>
        <v>293.33333333333496</v>
      </c>
      <c r="CD108" s="59">
        <f ca="1">AVERAGE(OFFSET($CC$3,0,0,'Données projet'!$E$12+1,1))-AVERAGE(OFFSET($H$3,0,0,'Données projet'!$E$12+1,1))</f>
        <v>188.589895905567</v>
      </c>
      <c r="CE108" s="59">
        <f t="shared" si="94"/>
        <v>218.98894871653943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33.031336873148085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0.26172270416357157</v>
      </c>
      <c r="CN108" s="22">
        <f t="shared" si="66"/>
        <v>33.293059577311659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1">
        <f t="shared" si="86"/>
        <v>21.578581375833281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67">
        <f t="shared" si="56"/>
        <v>429.61030256290928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265.44504059292035</v>
      </c>
      <c r="T109" s="59">
        <f t="shared" si="88"/>
        <v>272.02069798702723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79.784459821757494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5.3348364974891211</v>
      </c>
      <c r="AC109" s="22">
        <f t="shared" si="57"/>
        <v>85.119296319246615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71.716690190721977</v>
      </c>
      <c r="AO109" s="59">
        <f t="shared" si="90"/>
        <v>388.00050527441761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16.487043008895366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16.487043008895366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71.716690190721977</v>
      </c>
      <c r="BJ109" s="59">
        <f t="shared" si="92"/>
        <v>388.00050527441761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16.487043008895366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16.487043008895366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8.5265128291212022E-14</v>
      </c>
      <c r="BZ109" s="13">
        <f>BY109*VLOOKUP('Données projet'!$B$12,Paramètres!$A$1:$I$89,3,0)*VLOOKUP('Données projet'!$B$12,Paramètres!$A$1:$I$89,5,0)</f>
        <v>5.5865712056402117E-14</v>
      </c>
      <c r="CA109" s="13">
        <f t="shared" si="93"/>
        <v>8.9811031843713517E-13</v>
      </c>
      <c r="CB109" s="20">
        <f t="shared" si="64"/>
        <v>1.6615082531095774E-12</v>
      </c>
      <c r="CC109" s="59">
        <f t="shared" si="65"/>
        <v>293.33333333333496</v>
      </c>
      <c r="CD109" s="59">
        <f ca="1">AVERAGE(OFFSET($CC$3,0,0,'Données projet'!$E$12+1,1))-AVERAGE(OFFSET($H$3,0,0,'Données projet'!$E$12+1,1))</f>
        <v>188.589895905567</v>
      </c>
      <c r="CE109" s="59">
        <f t="shared" si="94"/>
        <v>218.98894871653943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32.383612504191781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0.18506589890454211</v>
      </c>
      <c r="CN109" s="22">
        <f t="shared" si="66"/>
        <v>32.568678403096321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1">
        <f t="shared" si="86"/>
        <v>21.758358756045919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67">
        <f t="shared" si="56"/>
        <v>431.20040483344633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265.44504059292035</v>
      </c>
      <c r="T110" s="59">
        <f t="shared" si="88"/>
        <v>272.02069798702723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78.219935228368172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3.7722990638960479</v>
      </c>
      <c r="AC110" s="22">
        <f t="shared" si="57"/>
        <v>81.992234292264214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71.716690190721977</v>
      </c>
      <c r="AO110" s="59">
        <f t="shared" si="90"/>
        <v>388.00050527441761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16.163742151594207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16.163742151594207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71.716690190721977</v>
      </c>
      <c r="BJ110" s="59">
        <f t="shared" si="92"/>
        <v>388.00050527441761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16.163742151594207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16.163742151594207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8.5265128291212022E-14</v>
      </c>
      <c r="BZ110" s="13">
        <f>BY110*VLOOKUP('Données projet'!$B$12,Paramètres!$A$1:$I$89,3,0)*VLOOKUP('Données projet'!$B$12,Paramètres!$A$1:$I$89,5,0)</f>
        <v>5.5865712056402117E-14</v>
      </c>
      <c r="CA110" s="13">
        <f t="shared" si="93"/>
        <v>8.9811031843713517E-13</v>
      </c>
      <c r="CB110" s="20">
        <f t="shared" si="64"/>
        <v>1.6615082531095774E-12</v>
      </c>
      <c r="CC110" s="59">
        <f t="shared" si="65"/>
        <v>293.33333333333496</v>
      </c>
      <c r="CD110" s="59">
        <f ca="1">AVERAGE(OFFSET($CC$3,0,0,'Données projet'!$E$12+1,1))-AVERAGE(OFFSET($H$3,0,0,'Données projet'!$E$12+1,1))</f>
        <v>188.589895905567</v>
      </c>
      <c r="CE110" s="59">
        <f t="shared" si="94"/>
        <v>218.98894871653943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31.748589615037854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0.13086135208178579</v>
      </c>
      <c r="CN110" s="22">
        <f t="shared" si="66"/>
        <v>31.879450967119642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1">
        <f t="shared" si="86"/>
        <v>21.937940668679364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67">
        <f t="shared" si="56"/>
        <v>432.79016666461615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265.44504059292035</v>
      </c>
      <c r="T111" s="59">
        <f t="shared" si="88"/>
        <v>272.02069798702723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76.686090007989449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2.667418248744561</v>
      </c>
      <c r="AC111" s="22">
        <f t="shared" si="57"/>
        <v>79.353508256734017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71.716690190721977</v>
      </c>
      <c r="AO111" s="59">
        <f t="shared" si="90"/>
        <v>388.00050527441761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15.846781026910671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15.846781026910671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71.716690190721977</v>
      </c>
      <c r="BJ111" s="59">
        <f t="shared" si="92"/>
        <v>388.00050527441761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15.846781026910671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15.846781026910671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8.5265128291212022E-14</v>
      </c>
      <c r="BZ111" s="13">
        <f>BY111*VLOOKUP('Données projet'!$B$12,Paramètres!$A$1:$I$89,3,0)*VLOOKUP('Données projet'!$B$12,Paramètres!$A$1:$I$89,5,0)</f>
        <v>5.5865712056402117E-14</v>
      </c>
      <c r="CA111" s="13">
        <f t="shared" si="93"/>
        <v>8.9811031843713517E-13</v>
      </c>
      <c r="CB111" s="20">
        <f t="shared" si="64"/>
        <v>1.6615082531095774E-12</v>
      </c>
      <c r="CC111" s="59">
        <f t="shared" si="65"/>
        <v>293.33333333333496</v>
      </c>
      <c r="CD111" s="59">
        <f ca="1">AVERAGE(OFFSET($CC$3,0,0,'Données projet'!$E$12+1,1))-AVERAGE(OFFSET($H$3,0,0,'Données projet'!$E$12+1,1))</f>
        <v>188.589895905567</v>
      </c>
      <c r="CE111" s="59">
        <f t="shared" si="94"/>
        <v>218.98894871653943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31.12601913741452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9.2532949452271057E-2</v>
      </c>
      <c r="CN111" s="22">
        <f t="shared" si="66"/>
        <v>31.21855208686679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1">
        <f t="shared" si="86"/>
        <v>22.117329133258693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67">
        <f t="shared" si="56"/>
        <v>434.37959157375849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265.44504059292035</v>
      </c>
      <c r="T112" s="59">
        <f t="shared" si="88"/>
        <v>272.02069798702723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75.182322556829149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1.8861495319480241</v>
      </c>
      <c r="AC112" s="22">
        <f t="shared" si="57"/>
        <v>77.06847208877717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71.716690190721977</v>
      </c>
      <c r="AO112" s="59">
        <f t="shared" si="90"/>
        <v>388.00050527441761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15.536035316554981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15.536035316554981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71.716690190721977</v>
      </c>
      <c r="BJ112" s="59">
        <f t="shared" si="92"/>
        <v>388.00050527441761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15.536035316554981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15.536035316554981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8.5265128291212022E-14</v>
      </c>
      <c r="BZ112" s="13">
        <f>BY112*VLOOKUP('Données projet'!$B$12,Paramètres!$A$1:$I$89,3,0)*VLOOKUP('Données projet'!$B$12,Paramètres!$A$1:$I$89,5,0)</f>
        <v>5.5865712056402117E-14</v>
      </c>
      <c r="CA112" s="13">
        <f t="shared" si="93"/>
        <v>8.9811031843713517E-13</v>
      </c>
      <c r="CB112" s="20">
        <f t="shared" si="64"/>
        <v>1.6615082531095774E-12</v>
      </c>
      <c r="CC112" s="59">
        <f t="shared" si="65"/>
        <v>293.33333333333496</v>
      </c>
      <c r="CD112" s="59">
        <f ca="1">AVERAGE(OFFSET($CC$3,0,0,'Données projet'!$E$12+1,1))-AVERAGE(OFFSET($H$3,0,0,'Données projet'!$E$12+1,1))</f>
        <v>188.589895905567</v>
      </c>
      <c r="CE112" s="59">
        <f t="shared" si="94"/>
        <v>218.98894871653943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30.515656887126884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6.5430676040892893E-2</v>
      </c>
      <c r="CN112" s="22">
        <f t="shared" si="66"/>
        <v>30.581087563167777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1">
        <f t="shared" si="86"/>
        <v>22.296526130116188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67">
        <f t="shared" si="56"/>
        <v>435.96868300995197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265.44504059292035</v>
      </c>
      <c r="T113" s="59">
        <f t="shared" si="88"/>
        <v>272.02069798702723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73.708043068178512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1.3337091243722807</v>
      </c>
      <c r="AC113" s="22">
        <f t="shared" si="57"/>
        <v>75.041752192550788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71.716690190721977</v>
      </c>
      <c r="AO113" s="59">
        <f t="shared" si="90"/>
        <v>388.00050527441761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15.231383140043199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15.231383140043199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71.716690190721977</v>
      </c>
      <c r="BJ113" s="59">
        <f t="shared" si="92"/>
        <v>388.00050527441761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15.231383140043199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15.231383140043199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8.5265128291212022E-14</v>
      </c>
      <c r="BZ113" s="13">
        <f>BY113*VLOOKUP('Données projet'!$B$12,Paramètres!$A$1:$I$89,3,0)*VLOOKUP('Données projet'!$B$12,Paramètres!$A$1:$I$89,5,0)</f>
        <v>5.5865712056402117E-14</v>
      </c>
      <c r="CA113" s="13">
        <f t="shared" si="93"/>
        <v>8.9811031843713517E-13</v>
      </c>
      <c r="CB113" s="20">
        <f t="shared" si="64"/>
        <v>1.6615082531095774E-12</v>
      </c>
      <c r="CC113" s="59">
        <f t="shared" si="65"/>
        <v>293.33333333333496</v>
      </c>
      <c r="CD113" s="59">
        <f ca="1">AVERAGE(OFFSET($CC$3,0,0,'Données projet'!$E$12+1,1))-AVERAGE(OFFSET($H$3,0,0,'Données projet'!$E$12+1,1))</f>
        <v>188.589895905567</v>
      </c>
      <c r="CE113" s="59">
        <f t="shared" si="94"/>
        <v>218.98894871653943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29.917263468283174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4.6266474726135529E-2</v>
      </c>
      <c r="CN113" s="22">
        <f t="shared" si="66"/>
        <v>29.963529943009309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1">
        <f t="shared" si="86"/>
        <v>22.475533601501073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67">
        <f t="shared" si="56"/>
        <v>437.55744435594727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265.44504059292035</v>
      </c>
      <c r="T114" s="59">
        <f t="shared" si="88"/>
        <v>272.02069798702723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72.262673301078621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0.9430747659740123</v>
      </c>
      <c r="AC114" s="22">
        <f t="shared" si="57"/>
        <v>73.205748067052639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71.716690190721977</v>
      </c>
      <c r="AO114" s="59">
        <f t="shared" si="90"/>
        <v>388.00050527441761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14.932705006893334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14.932705006893334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71.716690190721977</v>
      </c>
      <c r="BJ114" s="59">
        <f t="shared" si="92"/>
        <v>388.00050527441761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14.932705006893334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14.932705006893334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8.5265128291212022E-14</v>
      </c>
      <c r="BZ114" s="13">
        <f>BY114*VLOOKUP('Données projet'!$B$12,Paramètres!$A$1:$I$89,3,0)*VLOOKUP('Données projet'!$B$12,Paramètres!$A$1:$I$89,5,0)</f>
        <v>5.5865712056402117E-14</v>
      </c>
      <c r="CA114" s="13">
        <f t="shared" si="93"/>
        <v>8.9811031843713517E-13</v>
      </c>
      <c r="CB114" s="20">
        <f t="shared" si="64"/>
        <v>1.6615082531095774E-12</v>
      </c>
      <c r="CC114" s="59">
        <f t="shared" si="65"/>
        <v>293.33333333333496</v>
      </c>
      <c r="CD114" s="59">
        <f ca="1">AVERAGE(OFFSET($CC$3,0,0,'Données projet'!$E$12+1,1))-AVERAGE(OFFSET($H$3,0,0,'Données projet'!$E$12+1,1))</f>
        <v>188.589895905567</v>
      </c>
      <c r="CE114" s="59">
        <f t="shared" si="94"/>
        <v>218.98894871653943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29.330604179399042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3.2715338020446447E-2</v>
      </c>
      <c r="CN114" s="22">
        <f t="shared" si="66"/>
        <v>29.363319517419487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1">
        <f t="shared" si="86"/>
        <v>22.654353452648337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67">
        <f t="shared" si="56"/>
        <v>439.1458789300288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265.44504059292035</v>
      </c>
      <c r="T115" s="59">
        <f t="shared" si="88"/>
        <v>272.02069798702723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70.845646353523051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0.66685456218614048</v>
      </c>
      <c r="AC115" s="22">
        <f t="shared" si="57"/>
        <v>71.512500915709197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71.716690190721977</v>
      </c>
      <c r="AO115" s="59">
        <f t="shared" si="90"/>
        <v>388.00050527441761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14.639883769758866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14.639883769758866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71.716690190721977</v>
      </c>
      <c r="BJ115" s="59">
        <f t="shared" si="92"/>
        <v>388.00050527441761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14.639883769758866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14.639883769758866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8.5265128291212022E-14</v>
      </c>
      <c r="BZ115" s="13">
        <f>BY115*VLOOKUP('Données projet'!$B$12,Paramètres!$A$1:$I$89,3,0)*VLOOKUP('Données projet'!$B$12,Paramètres!$A$1:$I$89,5,0)</f>
        <v>5.5865712056402117E-14</v>
      </c>
      <c r="CA115" s="13">
        <f t="shared" si="93"/>
        <v>8.9811031843713517E-13</v>
      </c>
      <c r="CB115" s="20">
        <f t="shared" si="64"/>
        <v>1.6615082531095774E-12</v>
      </c>
      <c r="CC115" s="59">
        <f t="shared" si="65"/>
        <v>293.33333333333496</v>
      </c>
      <c r="CD115" s="59">
        <f ca="1">AVERAGE(OFFSET($CC$3,0,0,'Données projet'!$E$12+1,1))-AVERAGE(OFFSET($H$3,0,0,'Données projet'!$E$12+1,1))</f>
        <v>188.589895905567</v>
      </c>
      <c r="CE115" s="59">
        <f t="shared" si="94"/>
        <v>218.98894871653943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28.755448921343095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2.3133237363067764E-2</v>
      </c>
      <c r="CN115" s="22">
        <f t="shared" si="66"/>
        <v>28.778582158706165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1">
        <f t="shared" si="86"/>
        <v>22.832987552808103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67">
        <f t="shared" si="56"/>
        <v>440.73398998780704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265.44504059292035</v>
      </c>
      <c r="T116" s="59">
        <f t="shared" si="88"/>
        <v>272.02069798702723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69.456406440107955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0.4715373829870062</v>
      </c>
      <c r="AC116" s="22">
        <f t="shared" si="57"/>
        <v>69.927943823094964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71.716690190721977</v>
      </c>
      <c r="AO116" s="59">
        <f t="shared" si="90"/>
        <v>388.00050527441761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14.352804578481285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14.352804578481285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71.716690190721977</v>
      </c>
      <c r="BJ116" s="59">
        <f t="shared" si="92"/>
        <v>388.00050527441761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14.352804578481285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14.352804578481285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8.5265128291212022E-14</v>
      </c>
      <c r="BZ116" s="13">
        <f>BY116*VLOOKUP('Données projet'!$B$12,Paramètres!$A$1:$I$89,3,0)*VLOOKUP('Données projet'!$B$12,Paramètres!$A$1:$I$89,5,0)</f>
        <v>5.5865712056402117E-14</v>
      </c>
      <c r="CA116" s="13">
        <f t="shared" si="93"/>
        <v>8.9811031843713517E-13</v>
      </c>
      <c r="CB116" s="20">
        <f t="shared" si="64"/>
        <v>1.6615082531095774E-12</v>
      </c>
      <c r="CC116" s="59">
        <f t="shared" si="65"/>
        <v>293.33333333333496</v>
      </c>
      <c r="CD116" s="59">
        <f ca="1">AVERAGE(OFFSET($CC$3,0,0,'Données projet'!$E$12+1,1))-AVERAGE(OFFSET($H$3,0,0,'Données projet'!$E$12+1,1))</f>
        <v>188.589895905567</v>
      </c>
      <c r="CE116" s="59">
        <f t="shared" si="94"/>
        <v>218.98894871653943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28.191572107087559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1.6357669010223223E-2</v>
      </c>
      <c r="CN116" s="22">
        <f t="shared" si="66"/>
        <v>28.207929776097782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1">
        <f t="shared" si="86"/>
        <v>23.011437736237557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67">
        <f t="shared" si="56"/>
        <v>442.32178072394663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265.44504059292035</v>
      </c>
      <c r="T117" s="59">
        <f t="shared" si="88"/>
        <v>272.02069798702723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68.094408674042242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0.33342728109307029</v>
      </c>
      <c r="AC117" s="22">
        <f t="shared" si="57"/>
        <v>68.427835955135308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71.716690190721977</v>
      </c>
      <c r="AO117" s="59">
        <f t="shared" si="90"/>
        <v>388.00050527441761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14.071354835043641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14.071354835043641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71.716690190721977</v>
      </c>
      <c r="BJ117" s="59">
        <f t="shared" si="92"/>
        <v>388.00050527441761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14.071354835043641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14.071354835043641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8.5265128291212022E-14</v>
      </c>
      <c r="BZ117" s="13">
        <f>BY117*VLOOKUP('Données projet'!$B$12,Paramètres!$A$1:$I$89,3,0)*VLOOKUP('Données projet'!$B$12,Paramètres!$A$1:$I$89,5,0)</f>
        <v>5.5865712056402117E-14</v>
      </c>
      <c r="CA117" s="13">
        <f t="shared" si="93"/>
        <v>8.9811031843713517E-13</v>
      </c>
      <c r="CB117" s="20">
        <f t="shared" si="64"/>
        <v>1.6615082531095774E-12</v>
      </c>
      <c r="CC117" s="59">
        <f t="shared" si="65"/>
        <v>293.33333333333496</v>
      </c>
      <c r="CD117" s="59">
        <f ca="1">AVERAGE(OFFSET($CC$3,0,0,'Données projet'!$E$12+1,1))-AVERAGE(OFFSET($H$3,0,0,'Données projet'!$E$12+1,1))</f>
        <v>188.589895905567</v>
      </c>
      <c r="CE117" s="59">
        <f t="shared" si="94"/>
        <v>218.98894871653943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27.638752573228675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1.1566618681533882E-2</v>
      </c>
      <c r="CN117" s="22">
        <f t="shared" si="66"/>
        <v>27.65031919191021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1">
        <f t="shared" si="86"/>
        <v>23.189705803157189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67">
        <f t="shared" si="56"/>
        <v>443.90925427383166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265.44504059292035</v>
      </c>
      <c r="T118" s="59">
        <f t="shared" si="88"/>
        <v>272.02069798702723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66.759118853432469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0.23576869149350316</v>
      </c>
      <c r="AC118" s="22">
        <f t="shared" si="57"/>
        <v>66.994887544925973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71.716690190721977</v>
      </c>
      <c r="AO118" s="59">
        <f t="shared" si="90"/>
        <v>388.00050527441761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13.795424149407415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13.795424149407415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71.716690190721977</v>
      </c>
      <c r="BJ118" s="59">
        <f t="shared" si="92"/>
        <v>388.00050527441761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13.795424149407415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13.795424149407415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8.5265128291212022E-14</v>
      </c>
      <c r="BZ118" s="13">
        <f>BY118*VLOOKUP('Données projet'!$B$12,Paramètres!$A$1:$I$89,3,0)*VLOOKUP('Données projet'!$B$12,Paramètres!$A$1:$I$89,5,0)</f>
        <v>5.5865712056402117E-14</v>
      </c>
      <c r="CA118" s="13">
        <f t="shared" si="93"/>
        <v>8.9811031843713517E-13</v>
      </c>
      <c r="CB118" s="20">
        <f t="shared" si="64"/>
        <v>1.6615082531095774E-12</v>
      </c>
      <c r="CC118" s="59">
        <f t="shared" si="65"/>
        <v>293.33333333333496</v>
      </c>
      <c r="CD118" s="59">
        <f ca="1">AVERAGE(OFFSET($CC$3,0,0,'Données projet'!$E$12+1,1))-AVERAGE(OFFSET($H$3,0,0,'Données projet'!$E$12+1,1))</f>
        <v>188.589895905567</v>
      </c>
      <c r="CE118" s="59">
        <f t="shared" si="94"/>
        <v>218.98894871653943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27.096773493242143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8.1788345051116117E-3</v>
      </c>
      <c r="CN118" s="22">
        <f t="shared" si="66"/>
        <v>27.104952327747256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1">
        <f t="shared" si="86"/>
        <v>23.367793520672667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67">
        <f t="shared" si="56"/>
        <v>445.49641371517112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265.44504059292035</v>
      </c>
      <c r="T119" s="59">
        <f t="shared" si="88"/>
        <v>272.02069798702723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65.450013251758492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0.16671364054653517</v>
      </c>
      <c r="AC119" s="22">
        <f t="shared" si="57"/>
        <v>65.616726892305024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71.716690190721977</v>
      </c>
      <c r="AO119" s="59">
        <f t="shared" si="90"/>
        <v>388.00050527441761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13.524904296215416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13.524904296215416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71.716690190721977</v>
      </c>
      <c r="BJ119" s="59">
        <f t="shared" si="92"/>
        <v>388.00050527441761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13.524904296215416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13.524904296215416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8.5265128291212022E-14</v>
      </c>
      <c r="BZ119" s="13">
        <f>BY119*VLOOKUP('Données projet'!$B$12,Paramètres!$A$1:$I$89,3,0)*VLOOKUP('Données projet'!$B$12,Paramètres!$A$1:$I$89,5,0)</f>
        <v>5.5865712056402117E-14</v>
      </c>
      <c r="CA119" s="13">
        <f t="shared" si="93"/>
        <v>8.9811031843713517E-13</v>
      </c>
      <c r="CB119" s="20">
        <f t="shared" si="64"/>
        <v>1.6615082531095774E-12</v>
      </c>
      <c r="CC119" s="59">
        <f t="shared" si="65"/>
        <v>293.33333333333496</v>
      </c>
      <c r="CD119" s="59">
        <f ca="1">AVERAGE(OFFSET($CC$3,0,0,'Données projet'!$E$12+1,1))-AVERAGE(OFFSET($H$3,0,0,'Données projet'!$E$12+1,1))</f>
        <v>188.589895905567</v>
      </c>
      <c r="CE119" s="59">
        <f t="shared" si="94"/>
        <v>218.98894871653943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26.56542229243955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5.7833093407669411E-3</v>
      </c>
      <c r="CN119" s="22">
        <f t="shared" si="66"/>
        <v>26.571205601780317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1">
        <f t="shared" si="86"/>
        <v>23.545702623664145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67">
        <f t="shared" si="56"/>
        <v>447.08326206954797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265.44504059292035</v>
      </c>
      <c r="T120" s="59">
        <f t="shared" si="88"/>
        <v>272.02069798702723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64.166578412457767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0.11788434574675159</v>
      </c>
      <c r="AC120" s="22">
        <f t="shared" si="57"/>
        <v>64.284462758204512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71.716690190721977</v>
      </c>
      <c r="AO120" s="59">
        <f t="shared" si="90"/>
        <v>388.00050527441761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13.259689172343695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13.259689172343695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71.716690190721977</v>
      </c>
      <c r="BJ120" s="59">
        <f t="shared" si="92"/>
        <v>388.00050527441761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13.259689172343695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13.259689172343695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8.5265128291212022E-14</v>
      </c>
      <c r="BZ120" s="13">
        <f>BY120*VLOOKUP('Données projet'!$B$12,Paramètres!$A$1:$I$89,3,0)*VLOOKUP('Données projet'!$B$12,Paramètres!$A$1:$I$89,5,0)</f>
        <v>5.5865712056402117E-14</v>
      </c>
      <c r="CA120" s="13">
        <f t="shared" si="93"/>
        <v>8.9811031843713517E-13</v>
      </c>
      <c r="CB120" s="20">
        <f t="shared" si="64"/>
        <v>1.6615082531095774E-12</v>
      </c>
      <c r="CC120" s="59">
        <f t="shared" si="65"/>
        <v>293.33333333333496</v>
      </c>
      <c r="CD120" s="59">
        <f ca="1">AVERAGE(OFFSET($CC$3,0,0,'Données projet'!$E$12+1,1))-AVERAGE(OFFSET($H$3,0,0,'Données projet'!$E$12+1,1))</f>
        <v>188.589895905567</v>
      </c>
      <c r="CE120" s="59">
        <f t="shared" si="94"/>
        <v>218.98894871653943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26.044490564592465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4.0894172525558058E-3</v>
      </c>
      <c r="CN120" s="22">
        <f t="shared" si="66"/>
        <v>26.04857998184502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1">
        <f t="shared" si="86"/>
        <v>23.72343481564414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67">
        <f t="shared" si="56"/>
        <v>448.66980230391312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265.44504059292035</v>
      </c>
      <c r="T121" s="59">
        <f t="shared" si="88"/>
        <v>272.02069798702723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62.908310947537771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8.3356820273267601E-2</v>
      </c>
      <c r="AC121" s="22">
        <f t="shared" si="57"/>
        <v>62.991667767811037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71.716690190721977</v>
      </c>
      <c r="AO121" s="59">
        <f t="shared" si="90"/>
        <v>388.00050527441761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12.999674755285845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12.999674755285845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71.716690190721977</v>
      </c>
      <c r="BJ121" s="59">
        <f t="shared" si="92"/>
        <v>388.00050527441761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12.999674755285845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12.999674755285845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8.5265128291212022E-14</v>
      </c>
      <c r="BZ121" s="13">
        <f>BY121*VLOOKUP('Données projet'!$B$12,Paramètres!$A$1:$I$89,3,0)*VLOOKUP('Données projet'!$B$12,Paramètres!$A$1:$I$89,5,0)</f>
        <v>5.5865712056402117E-14</v>
      </c>
      <c r="CA121" s="13">
        <f t="shared" si="93"/>
        <v>8.9811031843713517E-13</v>
      </c>
      <c r="CB121" s="20">
        <f t="shared" si="64"/>
        <v>1.6615082531095774E-12</v>
      </c>
      <c r="CC121" s="59">
        <f t="shared" si="65"/>
        <v>293.33333333333496</v>
      </c>
      <c r="CD121" s="59">
        <f ca="1">AVERAGE(OFFSET($CC$3,0,0,'Données projet'!$E$12+1,1))-AVERAGE(OFFSET($H$3,0,0,'Données projet'!$E$12+1,1))</f>
        <v>188.589895905567</v>
      </c>
      <c r="CE121" s="59">
        <f t="shared" si="94"/>
        <v>218.98894871653943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25.533773990191481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2.8916546703834705E-3</v>
      </c>
      <c r="CN121" s="22">
        <f t="shared" si="66"/>
        <v>25.536665644861863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1">
        <f t="shared" si="86"/>
        <v>23.900991769585712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67">
        <f t="shared" si="56"/>
        <v>450.25603733202803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265.44504059292035</v>
      </c>
      <c r="T122" s="59">
        <f t="shared" si="88"/>
        <v>272.02069798702723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61.674717340137484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5.8942172873375803E-2</v>
      </c>
      <c r="AC122" s="22">
        <f t="shared" si="57"/>
        <v>61.733659513010856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71.716690190721977</v>
      </c>
      <c r="AO122" s="59">
        <f t="shared" si="90"/>
        <v>388.00050527441761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12.744759062353365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12.744759062353365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71.716690190721977</v>
      </c>
      <c r="BJ122" s="59">
        <f t="shared" si="92"/>
        <v>388.00050527441761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12.744759062353365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12.744759062353365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8.5265128291212022E-14</v>
      </c>
      <c r="BZ122" s="13">
        <f>BY122*VLOOKUP('Données projet'!$B$12,Paramètres!$A$1:$I$89,3,0)*VLOOKUP('Données projet'!$B$12,Paramètres!$A$1:$I$89,5,0)</f>
        <v>5.5865712056402117E-14</v>
      </c>
      <c r="CA122" s="13">
        <f t="shared" si="93"/>
        <v>8.9811031843713517E-13</v>
      </c>
      <c r="CB122" s="20">
        <f t="shared" si="64"/>
        <v>1.6615082531095774E-12</v>
      </c>
      <c r="CC122" s="59">
        <f t="shared" si="65"/>
        <v>293.33333333333496</v>
      </c>
      <c r="CD122" s="59">
        <f ca="1">AVERAGE(OFFSET($CC$3,0,0,'Données projet'!$E$12+1,1))-AVERAGE(OFFSET($H$3,0,0,'Données projet'!$E$12+1,1))</f>
        <v>188.589895905567</v>
      </c>
      <c r="CE122" s="59">
        <f t="shared" si="94"/>
        <v>218.98894871653943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25.033072256308149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2.0447086262779029E-3</v>
      </c>
      <c r="CN122" s="22">
        <f t="shared" si="66"/>
        <v>25.035116964934428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1">
        <f t="shared" si="86"/>
        <v>24.078375128721721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67">
        <f t="shared" si="56"/>
        <v>451.84197001585653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265.44504059292035</v>
      </c>
      <c r="T123" s="59">
        <f t="shared" si="88"/>
        <v>272.02069798702723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60.465313750960512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4.1678410136633808E-2</v>
      </c>
      <c r="AC123" s="22">
        <f t="shared" si="57"/>
        <v>60.506992161097145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71.716690190721977</v>
      </c>
      <c r="AO123" s="59">
        <f t="shared" si="90"/>
        <v>388.00050527441761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12.494842110676071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12.494842110676071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71.716690190721977</v>
      </c>
      <c r="BJ123" s="59">
        <f t="shared" si="92"/>
        <v>388.00050527441761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12.494842110676071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12.494842110676071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8.5265128291212022E-14</v>
      </c>
      <c r="BZ123" s="13">
        <f>BY123*VLOOKUP('Données projet'!$B$12,Paramètres!$A$1:$I$89,3,0)*VLOOKUP('Données projet'!$B$12,Paramètres!$A$1:$I$89,5,0)</f>
        <v>5.5865712056402117E-14</v>
      </c>
      <c r="CA123" s="13">
        <f t="shared" si="93"/>
        <v>8.9811031843713517E-13</v>
      </c>
      <c r="CB123" s="20">
        <f t="shared" si="64"/>
        <v>1.6615082531095774E-12</v>
      </c>
      <c r="CC123" s="59">
        <f t="shared" si="65"/>
        <v>293.33333333333496</v>
      </c>
      <c r="CD123" s="59">
        <f ca="1">AVERAGE(OFFSET($CC$3,0,0,'Données projet'!$E$12+1,1))-AVERAGE(OFFSET($H$3,0,0,'Données projet'!$E$12+1,1))</f>
        <v>188.589895905567</v>
      </c>
      <c r="CE123" s="59">
        <f t="shared" si="94"/>
        <v>218.98894871653943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24.542188978028367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1.4458273351917353E-3</v>
      </c>
      <c r="CN123" s="22">
        <f t="shared" si="66"/>
        <v>24.54363480536356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1">
        <f t="shared" si="86"/>
        <v>24.255586507317027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67">
        <f t="shared" si="56"/>
        <v>453.42760316690999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265.44504059292035</v>
      </c>
      <c r="T124" s="59">
        <f t="shared" si="88"/>
        <v>272.02069798702723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59.279625828503946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2.9471086436687909E-2</v>
      </c>
      <c r="AC124" s="22">
        <f t="shared" si="57"/>
        <v>59.309096914940632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71.716690190721977</v>
      </c>
      <c r="AO124" s="59">
        <f t="shared" si="90"/>
        <v>388.00050527441761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12.249825877986879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12.249825877986879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71.716690190721977</v>
      </c>
      <c r="BJ124" s="59">
        <f t="shared" si="92"/>
        <v>388.00050527441761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12.249825877986879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12.249825877986879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8.5265128291212022E-14</v>
      </c>
      <c r="BZ124" s="13">
        <f>BY124*VLOOKUP('Données projet'!$B$12,Paramètres!$A$1:$I$89,3,0)*VLOOKUP('Données projet'!$B$12,Paramètres!$A$1:$I$89,5,0)</f>
        <v>5.5865712056402117E-14</v>
      </c>
      <c r="CA124" s="13">
        <f t="shared" si="93"/>
        <v>8.9811031843713517E-13</v>
      </c>
      <c r="CB124" s="20">
        <f t="shared" si="64"/>
        <v>1.6615082531095774E-12</v>
      </c>
      <c r="CC124" s="59">
        <f t="shared" si="65"/>
        <v>293.33333333333496</v>
      </c>
      <c r="CD124" s="59">
        <f ca="1">AVERAGE(OFFSET($CC$3,0,0,'Données projet'!$E$12+1,1))-AVERAGE(OFFSET($H$3,0,0,'Données projet'!$E$12+1,1))</f>
        <v>188.589895905567</v>
      </c>
      <c r="CE124" s="59">
        <f t="shared" si="94"/>
        <v>218.98894871653943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24.060931621426416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1.0223543131389515E-3</v>
      </c>
      <c r="CN124" s="22">
        <f t="shared" si="66"/>
        <v>24.061953975739556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1">
        <f t="shared" si="86"/>
        <v>24.432627491414117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67">
        <f t="shared" si="56"/>
        <v>455.01293954754578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265.44504059292035</v>
      </c>
      <c r="T125" s="59">
        <f t="shared" si="88"/>
        <v>272.02069798702723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58.117188523008529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2.0839205068316907E-2</v>
      </c>
      <c r="AC125" s="22">
        <f t="shared" si="57"/>
        <v>58.13802772807685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71.716690190721977</v>
      </c>
      <c r="AO125" s="59">
        <f t="shared" si="90"/>
        <v>388.00050527441761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12.009614264175577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12.009614264175577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71.716690190721977</v>
      </c>
      <c r="BJ125" s="59">
        <f t="shared" si="92"/>
        <v>388.00050527441761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12.009614264175577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12.009614264175577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8.5265128291212022E-14</v>
      </c>
      <c r="BZ125" s="13">
        <f>BY125*VLOOKUP('Données projet'!$B$12,Paramètres!$A$1:$I$89,3,0)*VLOOKUP('Données projet'!$B$12,Paramètres!$A$1:$I$89,5,0)</f>
        <v>5.5865712056402117E-14</v>
      </c>
      <c r="CA125" s="13">
        <f t="shared" si="93"/>
        <v>8.9811031843713517E-13</v>
      </c>
      <c r="CB125" s="20">
        <f t="shared" si="64"/>
        <v>1.6615082531095774E-12</v>
      </c>
      <c r="CC125" s="59">
        <f t="shared" si="65"/>
        <v>293.33333333333496</v>
      </c>
      <c r="CD125" s="59">
        <f ca="1">AVERAGE(OFFSET($CC$3,0,0,'Données projet'!$E$12+1,1))-AVERAGE(OFFSET($H$3,0,0,'Données projet'!$E$12+1,1))</f>
        <v>188.589895905567</v>
      </c>
      <c r="CE125" s="59">
        <f t="shared" si="94"/>
        <v>218.98894871653943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23.589111428049428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7.2291366759586763E-4</v>
      </c>
      <c r="CN125" s="22">
        <f t="shared" si="66"/>
        <v>23.589834341717022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1">
        <f t="shared" si="86"/>
        <v>24.609499639553714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67">
        <f t="shared" si="56"/>
        <v>456.59798187222225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265.44504059292035</v>
      </c>
      <c r="T126" s="59">
        <f t="shared" si="88"/>
        <v>272.02069798702723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56.977545904057131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1.4735543218343956E-2</v>
      </c>
      <c r="AC126" s="22">
        <f t="shared" si="57"/>
        <v>56.992281447275474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71.716690190721977</v>
      </c>
      <c r="AO126" s="59">
        <f t="shared" si="90"/>
        <v>388.00050527441761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11.774113053596498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11.774113053596498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71.716690190721977</v>
      </c>
      <c r="BJ126" s="59">
        <f t="shared" si="92"/>
        <v>388.00050527441761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11.774113053596498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11.774113053596498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8.5265128291212022E-14</v>
      </c>
      <c r="BZ126" s="13">
        <f>BY126*VLOOKUP('Données projet'!$B$12,Paramètres!$A$1:$I$89,3,0)*VLOOKUP('Données projet'!$B$12,Paramètres!$A$1:$I$89,5,0)</f>
        <v>5.5865712056402117E-14</v>
      </c>
      <c r="CA126" s="13">
        <f t="shared" si="93"/>
        <v>8.9811031843713517E-13</v>
      </c>
      <c r="CB126" s="20">
        <f t="shared" si="64"/>
        <v>1.6615082531095774E-12</v>
      </c>
      <c r="CC126" s="59">
        <f t="shared" si="65"/>
        <v>293.33333333333496</v>
      </c>
      <c r="CD126" s="59">
        <f ca="1">AVERAGE(OFFSET($CC$3,0,0,'Données projet'!$E$12+1,1))-AVERAGE(OFFSET($H$3,0,0,'Données projet'!$E$12+1,1))</f>
        <v>188.589895905567</v>
      </c>
      <c r="CE126" s="59">
        <f t="shared" si="94"/>
        <v>218.98894871653943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23.126543340882659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5.1117715656947573E-4</v>
      </c>
      <c r="CN126" s="22">
        <f t="shared" si="66"/>
        <v>23.127054518039227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1">
        <f t="shared" si="86"/>
        <v>24.786204483471373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67">
        <f t="shared" si="56"/>
        <v>458.18273280871216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265.44504059292035</v>
      </c>
      <c r="T127" s="59">
        <f t="shared" si="88"/>
        <v>272.02069798702723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55.860250981750013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1.0419602534158455E-2</v>
      </c>
      <c r="AC127" s="22">
        <f t="shared" si="57"/>
        <v>55.87067058428417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71.716690190721977</v>
      </c>
      <c r="AO127" s="59">
        <f t="shared" si="90"/>
        <v>388.00050527441761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11.543229878115319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11.543229878115319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71.716690190721977</v>
      </c>
      <c r="BJ127" s="59">
        <f t="shared" si="92"/>
        <v>388.00050527441761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11.543229878115319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11.543229878115319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8.5265128291212022E-14</v>
      </c>
      <c r="BZ127" s="13">
        <f>BY127*VLOOKUP('Données projet'!$B$12,Paramètres!$A$1:$I$89,3,0)*VLOOKUP('Données projet'!$B$12,Paramètres!$A$1:$I$89,5,0)</f>
        <v>5.5865712056402117E-14</v>
      </c>
      <c r="CA127" s="13">
        <f t="shared" si="93"/>
        <v>8.9811031843713517E-13</v>
      </c>
      <c r="CB127" s="20">
        <f t="shared" si="64"/>
        <v>1.6615082531095774E-12</v>
      </c>
      <c r="CC127" s="59">
        <f t="shared" si="65"/>
        <v>293.33333333333496</v>
      </c>
      <c r="CD127" s="59">
        <f ca="1">AVERAGE(OFFSET($CC$3,0,0,'Données projet'!$E$12+1,1))-AVERAGE(OFFSET($H$3,0,0,'Données projet'!$E$12+1,1))</f>
        <v>188.589895905567</v>
      </c>
      <c r="CE127" s="59">
        <f t="shared" si="94"/>
        <v>218.98894871653943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22.673045931766556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3.6145683379793382E-4</v>
      </c>
      <c r="CN127" s="22">
        <f t="shared" si="66"/>
        <v>22.673407388600353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1">
        <f t="shared" si="86"/>
        <v>24.96274352877078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67">
        <f t="shared" si="56"/>
        <v>459.7671949792753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265.44504059292035</v>
      </c>
      <c r="T128" s="59">
        <f t="shared" si="88"/>
        <v>272.02069798702723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54.764865531386725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7.3677716091719797E-3</v>
      </c>
      <c r="AC128" s="22">
        <f t="shared" si="57"/>
        <v>54.7722333029959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71.716690190721977</v>
      </c>
      <c r="AO128" s="59">
        <f t="shared" si="90"/>
        <v>388.00050527441761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11.316874180880495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11.316874180880495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71.716690190721977</v>
      </c>
      <c r="BJ128" s="59">
        <f t="shared" si="92"/>
        <v>388.00050527441761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11.316874180880495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11.316874180880495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8.5265128291212022E-14</v>
      </c>
      <c r="BZ128" s="13">
        <f>BY128*VLOOKUP('Données projet'!$B$12,Paramètres!$A$1:$I$89,3,0)*VLOOKUP('Données projet'!$B$12,Paramètres!$A$1:$I$89,5,0)</f>
        <v>5.5865712056402117E-14</v>
      </c>
      <c r="CA128" s="13">
        <f t="shared" si="93"/>
        <v>8.9811031843713517E-13</v>
      </c>
      <c r="CB128" s="20">
        <f t="shared" si="64"/>
        <v>1.6615082531095774E-12</v>
      </c>
      <c r="CC128" s="59">
        <f t="shared" si="65"/>
        <v>293.33333333333496</v>
      </c>
      <c r="CD128" s="59">
        <f ca="1">AVERAGE(OFFSET($CC$3,0,0,'Données projet'!$E$12+1,1))-AVERAGE(OFFSET($H$3,0,0,'Données projet'!$E$12+1,1))</f>
        <v>188.589895905567</v>
      </c>
      <c r="CE128" s="59">
        <f t="shared" si="94"/>
        <v>218.98894871653943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22.228441330237114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2.5558857828473786E-4</v>
      </c>
      <c r="CN128" s="22">
        <f t="shared" si="66"/>
        <v>22.228696918815398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1">
        <f t="shared" si="86"/>
        <v>25.139118255575003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67">
        <f t="shared" si="56"/>
        <v>461.35137096179267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265.44504059292035</v>
      </c>
      <c r="T129" s="59">
        <f t="shared" si="88"/>
        <v>272.02069798702723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53.690959921585907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5.2098012670792285E-3</v>
      </c>
      <c r="AC129" s="22">
        <f t="shared" si="57"/>
        <v>53.696169722852986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71.716690190721977</v>
      </c>
      <c r="AO129" s="59">
        <f t="shared" si="90"/>
        <v>388.00050527441761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11.094957180805103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11.094957180805103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71.716690190721977</v>
      </c>
      <c r="BJ129" s="59">
        <f t="shared" si="92"/>
        <v>388.00050527441761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11.094957180805103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11.094957180805103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8.5265128291212022E-14</v>
      </c>
      <c r="BZ129" s="13">
        <f>BY129*VLOOKUP('Données projet'!$B$12,Paramètres!$A$1:$I$89,3,0)*VLOOKUP('Données projet'!$B$12,Paramètres!$A$1:$I$89,5,0)</f>
        <v>5.5865712056402117E-14</v>
      </c>
      <c r="CA129" s="13">
        <f t="shared" si="93"/>
        <v>8.9811031843713517E-13</v>
      </c>
      <c r="CB129" s="20">
        <f t="shared" si="64"/>
        <v>1.6615082531095774E-12</v>
      </c>
      <c r="CC129" s="59">
        <f t="shared" si="65"/>
        <v>293.33333333333496</v>
      </c>
      <c r="CD129" s="59">
        <f ca="1">AVERAGE(OFFSET($CC$3,0,0,'Données projet'!$E$12+1,1))-AVERAGE(OFFSET($H$3,0,0,'Données projet'!$E$12+1,1))</f>
        <v>188.589895905567</v>
      </c>
      <c r="CE129" s="59">
        <f t="shared" si="94"/>
        <v>218.98894871653943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21.792555153761633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1.8072841689896691E-4</v>
      </c>
      <c r="CN129" s="22">
        <f t="shared" si="66"/>
        <v>21.792735882178533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1">
        <f t="shared" si="86"/>
        <v>25.31533011915646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67">
        <f t="shared" si="56"/>
        <v>462.93526329086365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265.44504059292035</v>
      </c>
      <c r="T130" s="59">
        <f t="shared" si="88"/>
        <v>272.02069798702723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52.638112945775539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3.6838858045859903E-3</v>
      </c>
      <c r="AC130" s="22">
        <f t="shared" si="57"/>
        <v>52.641796831580123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71.716690190721977</v>
      </c>
      <c r="AO130" s="59">
        <f t="shared" si="90"/>
        <v>388.00050527441761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10.877391837745185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10.877391837745185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71.716690190721977</v>
      </c>
      <c r="BJ130" s="59">
        <f t="shared" si="92"/>
        <v>388.00050527441761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10.877391837745185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10.877391837745185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8.5265128291212022E-14</v>
      </c>
      <c r="BZ130" s="13">
        <f>BY130*VLOOKUP('Données projet'!$B$12,Paramètres!$A$1:$I$89,3,0)*VLOOKUP('Données projet'!$B$12,Paramètres!$A$1:$I$89,5,0)</f>
        <v>5.5865712056402117E-14</v>
      </c>
      <c r="CA130" s="13">
        <f t="shared" si="93"/>
        <v>8.9811031843713517E-13</v>
      </c>
      <c r="CB130" s="20">
        <f t="shared" si="64"/>
        <v>1.6615082531095774E-12</v>
      </c>
      <c r="CC130" s="59">
        <f t="shared" si="65"/>
        <v>293.33333333333496</v>
      </c>
      <c r="CD130" s="59">
        <f ca="1">AVERAGE(OFFSET($CC$3,0,0,'Données projet'!$E$12+1,1))-AVERAGE(OFFSET($H$3,0,0,'Données projet'!$E$12+1,1))</f>
        <v>188.589895905567</v>
      </c>
      <c r="CE130" s="59">
        <f t="shared" si="94"/>
        <v>218.98894871653943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21.365216439342522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1.2779428914236893E-4</v>
      </c>
      <c r="CN130" s="22">
        <f t="shared" si="66"/>
        <v>21.365344233631664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1">
        <f t="shared" si="86"/>
        <v>25.491380550546399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67">
        <f t="shared" si="56"/>
        <v>464.5188744588678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265.44504059292035</v>
      </c>
      <c r="T131" s="59">
        <f t="shared" si="88"/>
        <v>272.02069798702723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51.605911656987566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2.6049006335396147E-3</v>
      </c>
      <c r="AC131" s="22">
        <f t="shared" si="57"/>
        <v>51.608516557621108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71.716690190721977</v>
      </c>
      <c r="AO131" s="59">
        <f t="shared" si="90"/>
        <v>388.00050527441761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10.664092818360915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10.664092818360915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71.716690190721977</v>
      </c>
      <c r="BJ131" s="59">
        <f t="shared" si="92"/>
        <v>388.00050527441761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10.664092818360915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10.664092818360915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8.5265128291212022E-14</v>
      </c>
      <c r="BZ131" s="13">
        <f>BY131*VLOOKUP('Données projet'!$B$12,Paramètres!$A$1:$I$89,3,0)*VLOOKUP('Données projet'!$B$12,Paramètres!$A$1:$I$89,5,0)</f>
        <v>5.5865712056402117E-14</v>
      </c>
      <c r="CA131" s="13">
        <f t="shared" si="93"/>
        <v>8.9811031843713517E-13</v>
      </c>
      <c r="CB131" s="20">
        <f t="shared" si="64"/>
        <v>1.6615082531095774E-12</v>
      </c>
      <c r="CC131" s="59">
        <f t="shared" si="65"/>
        <v>293.33333333333496</v>
      </c>
      <c r="CD131" s="59">
        <f ca="1">AVERAGE(OFFSET($CC$3,0,0,'Données projet'!$E$12+1,1))-AVERAGE(OFFSET($H$3,0,0,'Données projet'!$E$12+1,1))</f>
        <v>188.589895905567</v>
      </c>
      <c r="CE131" s="59">
        <f t="shared" si="94"/>
        <v>218.98894871653943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20.94625757646229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9.0364208449483454E-5</v>
      </c>
      <c r="CN131" s="22">
        <f t="shared" si="66"/>
        <v>20.946347940670741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1">
        <f t="shared" si="86"/>
        <v>25.667270957125002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67">
        <f t="shared" ref="H132:H195" si="110">(B132+E132+F132)*44/12+(C132+D132)*0.475*44/12</f>
        <v>466.1022069169922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265.44504059292035</v>
      </c>
      <c r="T132" s="59">
        <f t="shared" si="88"/>
        <v>272.02069798702723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50.593951205892104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1.8419429022929956E-3</v>
      </c>
      <c r="AC132" s="22">
        <f t="shared" ref="AC132:AC153" si="111">SUM(Z132:AB132)</f>
        <v>50.595793148794399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71.716690190721977</v>
      </c>
      <c r="AO132" s="59">
        <f t="shared" si="90"/>
        <v>388.00050527441761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10.454976462647215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10.454976462647215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71.716690190721977</v>
      </c>
      <c r="BJ132" s="59">
        <f t="shared" si="92"/>
        <v>388.00050527441761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10.454976462647215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10.454976462647215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8.5265128291212022E-14</v>
      </c>
      <c r="BZ132" s="13">
        <f>BY132*VLOOKUP('Données projet'!$B$12,Paramètres!$A$1:$I$89,3,0)*VLOOKUP('Données projet'!$B$12,Paramètres!$A$1:$I$89,5,0)</f>
        <v>5.5865712056402117E-14</v>
      </c>
      <c r="CA132" s="13">
        <f t="shared" si="93"/>
        <v>8.9811031843713517E-13</v>
      </c>
      <c r="CB132" s="20">
        <f t="shared" ref="CB132:CB153" si="118">(BZ132+CA132)*0.475*44/12</f>
        <v>1.6615082531095774E-12</v>
      </c>
      <c r="CC132" s="59">
        <f t="shared" ref="CC132:CC195" si="119">CB132+(BT132+BU132)*44/12</f>
        <v>293.33333333333496</v>
      </c>
      <c r="CD132" s="59">
        <f ca="1">AVERAGE(OFFSET($CC$3,0,0,'Données projet'!$E$12+1,1))-AVERAGE(OFFSET($H$3,0,0,'Données projet'!$E$12+1,1))</f>
        <v>188.589895905567</v>
      </c>
      <c r="CE132" s="59">
        <f t="shared" si="94"/>
        <v>218.98894871653943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20.535514241343467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6.3897144571184466E-5</v>
      </c>
      <c r="CN132" s="22">
        <f t="shared" ref="CN132:CN153" si="120">SUM(CK132:CM132)</f>
        <v>20.535578138488038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1">
        <f t="shared" ref="D133:D196" si="140">IFERROR(EXP(-1.0587+0.8836*LN(C133)+0.284),0)</f>
        <v>25.843002723192335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67">
        <f t="shared" si="110"/>
        <v>467.68526307622614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265.44504059292035</v>
      </c>
      <c r="T133" s="59">
        <f t="shared" ref="T133:T196" si="142">$T$3</f>
        <v>272.02069798702723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49.601834682007699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1.3024503167698076E-3</v>
      </c>
      <c r="AC133" s="22">
        <f t="shared" si="111"/>
        <v>49.60313713232447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71.716690190721977</v>
      </c>
      <c r="AO133" s="59">
        <f t="shared" ref="AO133:AO196" si="144">$AO$3</f>
        <v>388.00050527441761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10.249960751120678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10.249960751120678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71.716690190721977</v>
      </c>
      <c r="BJ133" s="59">
        <f t="shared" ref="BJ133:BJ196" si="146">$BJ$3</f>
        <v>388.00050527441761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10.249960751120678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10.249960751120678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8.5265128291212022E-14</v>
      </c>
      <c r="BZ133" s="13">
        <f>BY133*VLOOKUP('Données projet'!$B$12,Paramètres!$A$1:$I$89,3,0)*VLOOKUP('Données projet'!$B$12,Paramètres!$A$1:$I$89,5,0)</f>
        <v>5.5865712056402117E-14</v>
      </c>
      <c r="CA133" s="13">
        <f t="shared" ref="CA133:CA153" si="147">EXP(-1.0587+0.8836*LN(BZ133)+0.284)</f>
        <v>8.9811031843713517E-13</v>
      </c>
      <c r="CB133" s="20">
        <f t="shared" si="118"/>
        <v>1.6615082531095774E-12</v>
      </c>
      <c r="CC133" s="59">
        <f t="shared" si="119"/>
        <v>293.33333333333496</v>
      </c>
      <c r="CD133" s="59">
        <f ca="1">AVERAGE(OFFSET($CC$3,0,0,'Données projet'!$E$12+1,1))-AVERAGE(OFFSET($H$3,0,0,'Données projet'!$E$12+1,1))</f>
        <v>188.589895905567</v>
      </c>
      <c r="CE133" s="59">
        <f t="shared" ref="CE133:CE196" si="148">$CE$3</f>
        <v>218.98894871653943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20.132825332497625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4.5182104224741727E-5</v>
      </c>
      <c r="CN133" s="22">
        <f t="shared" si="120"/>
        <v>20.132870514601848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1">
        <f t="shared" si="140"/>
        <v>26.018577210521507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67">
        <f t="shared" si="110"/>
        <v>469.26804530832442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265.44504059292035</v>
      </c>
      <c r="T134" s="59">
        <f t="shared" si="142"/>
        <v>272.02069798702723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48.629172958025336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9.209714511464979E-4</v>
      </c>
      <c r="AC134" s="22">
        <f t="shared" si="111"/>
        <v>48.63009392947648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71.716690190721977</v>
      </c>
      <c r="AO134" s="59">
        <f t="shared" si="144"/>
        <v>388.00050527441761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10.048965272649941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10.048965272649941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71.716690190721977</v>
      </c>
      <c r="BJ134" s="59">
        <f t="shared" si="146"/>
        <v>388.00050527441761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10.048965272649941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10.048965272649941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8.5265128291212022E-14</v>
      </c>
      <c r="BZ134" s="13">
        <f>BY134*VLOOKUP('Données projet'!$B$12,Paramètres!$A$1:$I$89,3,0)*VLOOKUP('Données projet'!$B$12,Paramètres!$A$1:$I$89,5,0)</f>
        <v>5.5865712056402117E-14</v>
      </c>
      <c r="CA134" s="13">
        <f t="shared" si="147"/>
        <v>8.9811031843713517E-13</v>
      </c>
      <c r="CB134" s="20">
        <f t="shared" si="118"/>
        <v>1.6615082531095774E-12</v>
      </c>
      <c r="CC134" s="59">
        <f t="shared" si="119"/>
        <v>293.33333333333496</v>
      </c>
      <c r="CD134" s="59">
        <f ca="1">AVERAGE(OFFSET($CC$3,0,0,'Données projet'!$E$12+1,1))-AVERAGE(OFFSET($H$3,0,0,'Données projet'!$E$12+1,1))</f>
        <v>188.589895905567</v>
      </c>
      <c r="CE134" s="59">
        <f t="shared" si="148"/>
        <v>218.98894871653943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19.738032907538269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3.1948572285592233E-5</v>
      </c>
      <c r="CN134" s="22">
        <f t="shared" si="120"/>
        <v>19.738064856110555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1">
        <f t="shared" si="140"/>
        <v>26.193995758894371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67">
        <f t="shared" si="110"/>
        <v>470.85055594674054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265.44504059292035</v>
      </c>
      <c r="T135" s="59">
        <f t="shared" si="142"/>
        <v>272.02069798702723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47.675584537185195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6.5122515838490389E-4</v>
      </c>
      <c r="AC135" s="22">
        <f t="shared" si="111"/>
        <v>47.67623576234358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71.716690190721977</v>
      </c>
      <c r="AO135" s="59">
        <f t="shared" si="144"/>
        <v>388.00050527441761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9.8519111929168766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9.8519111929168766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71.716690190721977</v>
      </c>
      <c r="BJ135" s="59">
        <f t="shared" si="146"/>
        <v>388.00050527441761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9.8519111929168766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9.8519111929168766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8.5265128291212022E-14</v>
      </c>
      <c r="BZ135" s="13">
        <f>BY135*VLOOKUP('Données projet'!$B$12,Paramètres!$A$1:$I$89,3,0)*VLOOKUP('Données projet'!$B$12,Paramètres!$A$1:$I$89,5,0)</f>
        <v>5.5865712056402117E-14</v>
      </c>
      <c r="CA135" s="13">
        <f t="shared" si="147"/>
        <v>8.9811031843713517E-13</v>
      </c>
      <c r="CB135" s="20">
        <f t="shared" si="118"/>
        <v>1.6615082531095774E-12</v>
      </c>
      <c r="CC135" s="59">
        <f t="shared" si="119"/>
        <v>293.33333333333496</v>
      </c>
      <c r="CD135" s="59">
        <f ca="1">AVERAGE(OFFSET($CC$3,0,0,'Données projet'!$E$12+1,1))-AVERAGE(OFFSET($H$3,0,0,'Données projet'!$E$12+1,1))</f>
        <v>188.589895905567</v>
      </c>
      <c r="CE135" s="59">
        <f t="shared" si="148"/>
        <v>218.98894871653943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19.350982121232764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2.2591052112370864E-5</v>
      </c>
      <c r="CN135" s="22">
        <f t="shared" si="120"/>
        <v>19.351004712284876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1">
        <f t="shared" si="140"/>
        <v>26.369259686620403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67">
        <f t="shared" si="110"/>
        <v>472.43279728753004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265.44504059292035</v>
      </c>
      <c r="T136" s="59">
        <f t="shared" si="142"/>
        <v>272.02069798702723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46.740695403646228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4.60485725573249E-4</v>
      </c>
      <c r="AC136" s="22">
        <f t="shared" si="111"/>
        <v>46.741155889371804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71.716690190721977</v>
      </c>
      <c r="AO136" s="59">
        <f t="shared" si="144"/>
        <v>388.00050527441761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9.6587212234962578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9.6587212234962578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71.716690190721977</v>
      </c>
      <c r="BJ136" s="59">
        <f t="shared" si="146"/>
        <v>388.00050527441761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9.6587212234962578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9.6587212234962578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8.5265128291212022E-14</v>
      </c>
      <c r="BZ136" s="13">
        <f>BY136*VLOOKUP('Données projet'!$B$12,Paramètres!$A$1:$I$89,3,0)*VLOOKUP('Données projet'!$B$12,Paramètres!$A$1:$I$89,5,0)</f>
        <v>5.5865712056402117E-14</v>
      </c>
      <c r="CA136" s="13">
        <f t="shared" si="147"/>
        <v>8.9811031843713517E-13</v>
      </c>
      <c r="CB136" s="20">
        <f t="shared" si="118"/>
        <v>1.6615082531095774E-12</v>
      </c>
      <c r="CC136" s="59">
        <f t="shared" si="119"/>
        <v>293.33333333333496</v>
      </c>
      <c r="CD136" s="59">
        <f ca="1">AVERAGE(OFFSET($CC$3,0,0,'Données projet'!$E$12+1,1))-AVERAGE(OFFSET($H$3,0,0,'Données projet'!$E$12+1,1))</f>
        <v>188.589895905567</v>
      </c>
      <c r="CE136" s="59">
        <f t="shared" si="148"/>
        <v>218.98894871653943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18.97152116476904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1.5974286142796117E-5</v>
      </c>
      <c r="CN136" s="22">
        <f t="shared" si="120"/>
        <v>18.971537139055183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1">
        <f t="shared" si="140"/>
        <v>26.544370291039762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67">
        <f t="shared" si="110"/>
        <v>474.01477159022704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265.44504059292035</v>
      </c>
      <c r="T137" s="59">
        <f t="shared" si="142"/>
        <v>272.02069798702723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45.824138875789892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3.25612579192452E-4</v>
      </c>
      <c r="AC137" s="22">
        <f t="shared" si="111"/>
        <v>45.824464488369081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71.716690190721977</v>
      </c>
      <c r="AO137" s="59">
        <f t="shared" si="144"/>
        <v>388.00050527441761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9.4693195915417316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9.4693195915417316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71.716690190721977</v>
      </c>
      <c r="BJ137" s="59">
        <f t="shared" si="146"/>
        <v>388.00050527441761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9.4693195915417316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9.4693195915417316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8.5265128291212022E-14</v>
      </c>
      <c r="BZ137" s="13">
        <f>BY137*VLOOKUP('Données projet'!$B$12,Paramètres!$A$1:$I$89,3,0)*VLOOKUP('Données projet'!$B$12,Paramètres!$A$1:$I$89,5,0)</f>
        <v>5.5865712056402117E-14</v>
      </c>
      <c r="CA137" s="13">
        <f t="shared" si="147"/>
        <v>8.9811031843713517E-13</v>
      </c>
      <c r="CB137" s="20">
        <f t="shared" si="118"/>
        <v>1.6615082531095774E-12</v>
      </c>
      <c r="CC137" s="59">
        <f t="shared" si="119"/>
        <v>293.33333333333496</v>
      </c>
      <c r="CD137" s="59">
        <f ca="1">AVERAGE(OFFSET($CC$3,0,0,'Données projet'!$E$12+1,1))-AVERAGE(OFFSET($H$3,0,0,'Données projet'!$E$12+1,1))</f>
        <v>188.589895905567</v>
      </c>
      <c r="CE137" s="59">
        <f t="shared" si="148"/>
        <v>218.98894871653943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18.59950120621324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1.1295526056185432E-5</v>
      </c>
      <c r="CN137" s="22">
        <f t="shared" si="120"/>
        <v>18.599512501739298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1">
        <f t="shared" si="140"/>
        <v>26.719328849010672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67">
        <f t="shared" si="110"/>
        <v>475.59648107869305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265.44504059292035</v>
      </c>
      <c r="T138" s="59">
        <f t="shared" si="142"/>
        <v>272.02069798702723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44.925555462400538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2.3024286278662456E-4</v>
      </c>
      <c r="AC138" s="22">
        <f t="shared" si="111"/>
        <v>44.925785705263323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71.716690190721977</v>
      </c>
      <c r="AO138" s="59">
        <f t="shared" si="144"/>
        <v>388.00050527441761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9.2836320100662455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9.2836320100662455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71.716690190721977</v>
      </c>
      <c r="BJ138" s="59">
        <f t="shared" si="146"/>
        <v>388.00050527441761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9.2836320100662455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9.2836320100662455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8.5265128291212022E-14</v>
      </c>
      <c r="BZ138" s="13">
        <f>BY138*VLOOKUP('Données projet'!$B$12,Paramètres!$A$1:$I$89,3,0)*VLOOKUP('Données projet'!$B$12,Paramètres!$A$1:$I$89,5,0)</f>
        <v>5.5865712056402117E-14</v>
      </c>
      <c r="CA138" s="13">
        <f t="shared" si="147"/>
        <v>8.9811031843713517E-13</v>
      </c>
      <c r="CB138" s="20">
        <f t="shared" si="118"/>
        <v>1.6615082531095774E-12</v>
      </c>
      <c r="CC138" s="59">
        <f t="shared" si="119"/>
        <v>293.33333333333496</v>
      </c>
      <c r="CD138" s="59">
        <f ca="1">AVERAGE(OFFSET($CC$3,0,0,'Données projet'!$E$12+1,1))-AVERAGE(OFFSET($H$3,0,0,'Données projet'!$E$12+1,1))</f>
        <v>188.589895905567</v>
      </c>
      <c r="CE138" s="59">
        <f t="shared" si="148"/>
        <v>218.98894871653943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18.234776332134949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7.9871430713980583E-6</v>
      </c>
      <c r="CN138" s="22">
        <f t="shared" si="120"/>
        <v>18.23478431927802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1">
        <f t="shared" si="140"/>
        <v>26.894136617382109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67">
        <f t="shared" si="110"/>
        <v>477.17792794193997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265.44504059292035</v>
      </c>
      <c r="T139" s="59">
        <f t="shared" si="142"/>
        <v>272.02069798702723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44.044592721665985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1.6280628959622603E-4</v>
      </c>
      <c r="AC139" s="22">
        <f t="shared" si="111"/>
        <v>44.04475552795558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71.716690190721977</v>
      </c>
      <c r="AO139" s="59">
        <f t="shared" si="144"/>
        <v>388.00050527441761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9.1015856488052513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9.1015856488052513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71.716690190721977</v>
      </c>
      <c r="BJ139" s="59">
        <f t="shared" si="146"/>
        <v>388.00050527441761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9.1015856488052513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9.1015856488052513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8.5265128291212022E-14</v>
      </c>
      <c r="BZ139" s="13">
        <f>BY139*VLOOKUP('Données projet'!$B$12,Paramètres!$A$1:$I$89,3,0)*VLOOKUP('Données projet'!$B$12,Paramètres!$A$1:$I$89,5,0)</f>
        <v>5.5865712056402117E-14</v>
      </c>
      <c r="CA139" s="13">
        <f t="shared" si="147"/>
        <v>8.9811031843713517E-13</v>
      </c>
      <c r="CB139" s="20">
        <f t="shared" si="118"/>
        <v>1.6615082531095774E-12</v>
      </c>
      <c r="CC139" s="59">
        <f t="shared" si="119"/>
        <v>293.33333333333496</v>
      </c>
      <c r="CD139" s="59">
        <f ca="1">AVERAGE(OFFSET($CC$3,0,0,'Données projet'!$E$12+1,1))-AVERAGE(OFFSET($H$3,0,0,'Données projet'!$E$12+1,1))</f>
        <v>188.589895905567</v>
      </c>
      <c r="CE139" s="59">
        <f t="shared" si="148"/>
        <v>218.98894871653943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17.877203490377127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5.6477630280927159E-6</v>
      </c>
      <c r="CN139" s="22">
        <f t="shared" si="120"/>
        <v>17.877209138140156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1">
        <f t="shared" si="140"/>
        <v>27.068794833452092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67">
        <f t="shared" si="110"/>
        <v>478.75911433492848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265.44504059292035</v>
      </c>
      <c r="T140" s="59">
        <f t="shared" si="142"/>
        <v>272.02069798702723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43.180905122943024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1.1512143139331229E-4</v>
      </c>
      <c r="AC140" s="22">
        <f t="shared" si="111"/>
        <v>43.181020244374416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71.716690190721977</v>
      </c>
      <c r="AO140" s="59">
        <f t="shared" si="144"/>
        <v>388.00050527441761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8.9231091056512692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8.9231091056512692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71.716690190721977</v>
      </c>
      <c r="BJ140" s="59">
        <f t="shared" si="146"/>
        <v>388.00050527441761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8.9231091056512692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8.9231091056512692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8.5265128291212022E-14</v>
      </c>
      <c r="BZ140" s="13">
        <f>BY140*VLOOKUP('Données projet'!$B$12,Paramètres!$A$1:$I$89,3,0)*VLOOKUP('Données projet'!$B$12,Paramètres!$A$1:$I$89,5,0)</f>
        <v>5.5865712056402117E-14</v>
      </c>
      <c r="CA140" s="13">
        <f t="shared" si="147"/>
        <v>8.9811031843713517E-13</v>
      </c>
      <c r="CB140" s="20">
        <f t="shared" si="118"/>
        <v>1.6615082531095774E-12</v>
      </c>
      <c r="CC140" s="59">
        <f t="shared" si="119"/>
        <v>293.33333333333496</v>
      </c>
      <c r="CD140" s="59">
        <f ca="1">AVERAGE(OFFSET($CC$3,0,0,'Données projet'!$E$12+1,1))-AVERAGE(OFFSET($H$3,0,0,'Données projet'!$E$12+1,1))</f>
        <v>188.589895905567</v>
      </c>
      <c r="CE140" s="59">
        <f t="shared" si="148"/>
        <v>218.98894871653943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17.526642433948279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3.9935715356990291E-6</v>
      </c>
      <c r="CN140" s="22">
        <f t="shared" si="120"/>
        <v>17.526646427519815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1">
        <f t="shared" si="140"/>
        <v>27.243304715412286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67">
        <f t="shared" si="110"/>
        <v>480.34004237934255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265.44504059292035</v>
      </c>
      <c r="T141" s="59">
        <f t="shared" si="142"/>
        <v>272.02069798702723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42.334153911233599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8.1403144798113027E-5</v>
      </c>
      <c r="AC141" s="22">
        <f t="shared" si="111"/>
        <v>42.334235314378397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71.716690190721977</v>
      </c>
      <c r="AO141" s="59">
        <f t="shared" si="144"/>
        <v>388.00050527441761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8.7481323786485934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8.7481323786485934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71.716690190721977</v>
      </c>
      <c r="BJ141" s="59">
        <f t="shared" si="146"/>
        <v>388.00050527441761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8.7481323786485934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8.7481323786485934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8.5265128291212022E-14</v>
      </c>
      <c r="BZ141" s="13">
        <f>BY141*VLOOKUP('Données projet'!$B$12,Paramètres!$A$1:$I$89,3,0)*VLOOKUP('Données projet'!$B$12,Paramètres!$A$1:$I$89,5,0)</f>
        <v>5.5865712056402117E-14</v>
      </c>
      <c r="CA141" s="13">
        <f t="shared" si="147"/>
        <v>8.9811031843713517E-13</v>
      </c>
      <c r="CB141" s="20">
        <f t="shared" si="118"/>
        <v>1.6615082531095774E-12</v>
      </c>
      <c r="CC141" s="59">
        <f t="shared" si="119"/>
        <v>293.33333333333496</v>
      </c>
      <c r="CD141" s="59">
        <f ca="1">AVERAGE(OFFSET($CC$3,0,0,'Données projet'!$E$12+1,1))-AVERAGE(OFFSET($H$3,0,0,'Données projet'!$E$12+1,1))</f>
        <v>188.589895905567</v>
      </c>
      <c r="CE141" s="59">
        <f t="shared" si="148"/>
        <v>218.98894871653943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17.18295566601487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2.8238815140463579E-6</v>
      </c>
      <c r="CN141" s="22">
        <f t="shared" si="120"/>
        <v>17.182958489896382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1">
        <f t="shared" si="140"/>
        <v>27.417667462779246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67">
        <f t="shared" si="110"/>
        <v>481.92071416433993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265.44504059292035</v>
      </c>
      <c r="T142" s="59">
        <f t="shared" si="142"/>
        <v>272.02069798702723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41.504006974318557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5.7560715696656159E-5</v>
      </c>
      <c r="AC142" s="22">
        <f t="shared" si="111"/>
        <v>41.504064535034253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71.716690190721977</v>
      </c>
      <c r="AO142" s="59">
        <f t="shared" si="144"/>
        <v>388.00050527441761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8.5765868385371764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8.5765868385371764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71.716690190721977</v>
      </c>
      <c r="BJ142" s="59">
        <f t="shared" si="146"/>
        <v>388.00050527441761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8.5765868385371764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8.5765868385371764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8.5265128291212022E-14</v>
      </c>
      <c r="BZ142" s="13">
        <f>BY142*VLOOKUP('Données projet'!$B$12,Paramètres!$A$1:$I$89,3,0)*VLOOKUP('Données projet'!$B$12,Paramètres!$A$1:$I$89,5,0)</f>
        <v>5.5865712056402117E-14</v>
      </c>
      <c r="CA142" s="13">
        <f t="shared" si="147"/>
        <v>8.9811031843713517E-13</v>
      </c>
      <c r="CB142" s="20">
        <f t="shared" si="118"/>
        <v>1.6615082531095774E-12</v>
      </c>
      <c r="CC142" s="59">
        <f t="shared" si="119"/>
        <v>293.33333333333496</v>
      </c>
      <c r="CD142" s="59">
        <f ca="1">AVERAGE(OFFSET($CC$3,0,0,'Données projet'!$E$12+1,1))-AVERAGE(OFFSET($H$3,0,0,'Données projet'!$E$12+1,1))</f>
        <v>188.589895905567</v>
      </c>
      <c r="CE142" s="59">
        <f t="shared" si="148"/>
        <v>218.98894871653943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16.846008385972404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1.9967857678495146E-6</v>
      </c>
      <c r="CN142" s="22">
        <f t="shared" si="120"/>
        <v>16.846010382758173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1">
        <f t="shared" si="140"/>
        <v>27.591884256812975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67">
        <f t="shared" si="110"/>
        <v>483.50113174728205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265.44504059292035</v>
      </c>
      <c r="T143" s="59">
        <f t="shared" si="142"/>
        <v>272.02069798702723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40.690138712496783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4.070157239905652E-5</v>
      </c>
      <c r="AC143" s="22">
        <f t="shared" si="111"/>
        <v>40.690179414069185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71.716690190721977</v>
      </c>
      <c r="AO143" s="59">
        <f t="shared" si="144"/>
        <v>388.00050527441761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8.4084052018348956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8.4084052018348956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71.716690190721977</v>
      </c>
      <c r="BJ143" s="59">
        <f t="shared" si="146"/>
        <v>388.00050527441761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8.4084052018348956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8.4084052018348956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8.5265128291212022E-14</v>
      </c>
      <c r="BZ143" s="13">
        <f>BY143*VLOOKUP('Données projet'!$B$12,Paramètres!$A$1:$I$89,3,0)*VLOOKUP('Données projet'!$B$12,Paramètres!$A$1:$I$89,5,0)</f>
        <v>5.5865712056402117E-14</v>
      </c>
      <c r="CA143" s="13">
        <f t="shared" si="147"/>
        <v>8.9811031843713517E-13</v>
      </c>
      <c r="CB143" s="20">
        <f t="shared" si="118"/>
        <v>1.6615082531095774E-12</v>
      </c>
      <c r="CC143" s="59">
        <f t="shared" si="119"/>
        <v>293.33333333333496</v>
      </c>
      <c r="CD143" s="59">
        <f ca="1">AVERAGE(OFFSET($CC$3,0,0,'Données projet'!$E$12+1,1))-AVERAGE(OFFSET($H$3,0,0,'Données projet'!$E$12+1,1))</f>
        <v>188.589895905567</v>
      </c>
      <c r="CE143" s="59">
        <f t="shared" si="148"/>
        <v>218.98894871653943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16.515668436574025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1.411940757023179E-6</v>
      </c>
      <c r="CN143" s="22">
        <f t="shared" si="120"/>
        <v>16.515669848514783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1">
        <f t="shared" si="140"/>
        <v>27.765956260923254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67">
        <f t="shared" si="110"/>
        <v>485.08129715444073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265.44504059292035</v>
      </c>
      <c r="T144" s="59">
        <f t="shared" si="142"/>
        <v>272.02069798702723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39.892229910878712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2.8780357848328083E-5</v>
      </c>
      <c r="AC144" s="22">
        <f t="shared" si="111"/>
        <v>39.892258691236563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71.716690190721977</v>
      </c>
      <c r="AO144" s="59">
        <f t="shared" si="144"/>
        <v>388.00050527441761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8.2435215044476777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8.2435215044476777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71.716690190721977</v>
      </c>
      <c r="BJ144" s="59">
        <f t="shared" si="146"/>
        <v>388.00050527441761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8.2435215044476777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8.2435215044476777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8.5265128291212022E-14</v>
      </c>
      <c r="BZ144" s="13">
        <f>BY144*VLOOKUP('Données projet'!$B$12,Paramètres!$A$1:$I$89,3,0)*VLOOKUP('Données projet'!$B$12,Paramètres!$A$1:$I$89,5,0)</f>
        <v>5.5865712056402117E-14</v>
      </c>
      <c r="CA144" s="13">
        <f t="shared" si="147"/>
        <v>8.9811031843713517E-13</v>
      </c>
      <c r="CB144" s="20">
        <f t="shared" si="118"/>
        <v>1.6615082531095774E-12</v>
      </c>
      <c r="CC144" s="59">
        <f t="shared" si="119"/>
        <v>293.33333333333496</v>
      </c>
      <c r="CD144" s="59">
        <f ca="1">AVERAGE(OFFSET($CC$3,0,0,'Données projet'!$E$12+1,1))-AVERAGE(OFFSET($H$3,0,0,'Données projet'!$E$12+1,1))</f>
        <v>188.589895905567</v>
      </c>
      <c r="CE144" s="59">
        <f t="shared" si="148"/>
        <v>218.98894871653943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16.191806252095873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9.9839288392475728E-7</v>
      </c>
      <c r="CN144" s="22">
        <f t="shared" si="120"/>
        <v>16.191807250488758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1">
        <f t="shared" si="140"/>
        <v>27.939884621063818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67">
        <f t="shared" si="110"/>
        <v>486.66121238168557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265.44504059292035</v>
      </c>
      <c r="T145" s="59">
        <f t="shared" si="142"/>
        <v>272.02069798702723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39.109967614184058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2.0350786199528264E-5</v>
      </c>
      <c r="AC145" s="22">
        <f t="shared" si="111"/>
        <v>39.109987964970259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71.716690190721977</v>
      </c>
      <c r="AO145" s="59">
        <f t="shared" si="144"/>
        <v>388.00050527441761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8.081871075797098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8.081871075797098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71.716690190721977</v>
      </c>
      <c r="BJ145" s="59">
        <f t="shared" si="146"/>
        <v>388.00050527441761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8.081871075797098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8.081871075797098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8.5265128291212022E-14</v>
      </c>
      <c r="BZ145" s="13">
        <f>BY145*VLOOKUP('Données projet'!$B$12,Paramètres!$A$1:$I$89,3,0)*VLOOKUP('Données projet'!$B$12,Paramètres!$A$1:$I$89,5,0)</f>
        <v>5.5865712056402117E-14</v>
      </c>
      <c r="CA145" s="13">
        <f t="shared" si="147"/>
        <v>8.9811031843713517E-13</v>
      </c>
      <c r="CB145" s="20">
        <f t="shared" si="118"/>
        <v>1.6615082531095774E-12</v>
      </c>
      <c r="CC145" s="59">
        <f t="shared" si="119"/>
        <v>293.33333333333496</v>
      </c>
      <c r="CD145" s="59">
        <f ca="1">AVERAGE(OFFSET($CC$3,0,0,'Données projet'!$E$12+1,1))-AVERAGE(OFFSET($H$3,0,0,'Données projet'!$E$12+1,1))</f>
        <v>188.589895905567</v>
      </c>
      <c r="CE145" s="59">
        <f t="shared" si="148"/>
        <v>218.98894871653943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15.874294807518909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7.0597037851158949E-7</v>
      </c>
      <c r="CN145" s="22">
        <f t="shared" si="120"/>
        <v>15.874295513489288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1">
        <f t="shared" si="140"/>
        <v>28.113670466115568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67">
        <f t="shared" si="110"/>
        <v>488.24087939515073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265.44504059292035</v>
      </c>
      <c r="T146" s="59">
        <f t="shared" si="142"/>
        <v>272.02069798702723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38.343045003994696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1.4390178924164043E-5</v>
      </c>
      <c r="AC146" s="22">
        <f t="shared" si="111"/>
        <v>38.343059394173622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71.716690190721977</v>
      </c>
      <c r="AO146" s="59">
        <f t="shared" si="144"/>
        <v>388.00050527441761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7.9233905134553302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7.9233905134553302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71.716690190721977</v>
      </c>
      <c r="BJ146" s="59">
        <f t="shared" si="146"/>
        <v>388.00050527441761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7.9233905134553302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7.9233905134553302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8.5265128291212022E-14</v>
      </c>
      <c r="BZ146" s="13">
        <f>BY146*VLOOKUP('Données projet'!$B$12,Paramètres!$A$1:$I$89,3,0)*VLOOKUP('Données projet'!$B$12,Paramètres!$A$1:$I$89,5,0)</f>
        <v>5.5865712056402117E-14</v>
      </c>
      <c r="CA146" s="13">
        <f t="shared" si="147"/>
        <v>8.9811031843713517E-13</v>
      </c>
      <c r="CB146" s="20">
        <f t="shared" si="118"/>
        <v>1.6615082531095774E-12</v>
      </c>
      <c r="CC146" s="59">
        <f t="shared" si="119"/>
        <v>293.33333333333496</v>
      </c>
      <c r="CD146" s="59">
        <f ca="1">AVERAGE(OFFSET($CC$3,0,0,'Données projet'!$E$12+1,1))-AVERAGE(OFFSET($H$3,0,0,'Données projet'!$E$12+1,1))</f>
        <v>188.589895905567</v>
      </c>
      <c r="CE146" s="59">
        <f t="shared" si="148"/>
        <v>218.98894871653943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15.563009568707242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4.9919644196237864E-7</v>
      </c>
      <c r="CN146" s="22">
        <f t="shared" si="120"/>
        <v>15.563010067903685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1">
        <f t="shared" si="140"/>
        <v>28.287314908258214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67">
        <f t="shared" si="110"/>
        <v>489.82030013188245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265.44504059292035</v>
      </c>
      <c r="T147" s="59">
        <f t="shared" si="142"/>
        <v>272.02069798702723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37.591161278414546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1.0175393099764133E-5</v>
      </c>
      <c r="AC147" s="22">
        <f t="shared" si="111"/>
        <v>37.591171453807647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71.716690190721977</v>
      </c>
      <c r="AO147" s="59">
        <f t="shared" si="144"/>
        <v>388.00050527441761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7.7680176582774862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7.7680176582774862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71.716690190721977</v>
      </c>
      <c r="BJ147" s="59">
        <f t="shared" si="146"/>
        <v>388.00050527441761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7.7680176582774862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7.7680176582774862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8.5265128291212022E-14</v>
      </c>
      <c r="BZ147" s="13">
        <f>BY147*VLOOKUP('Données projet'!$B$12,Paramètres!$A$1:$I$89,3,0)*VLOOKUP('Données projet'!$B$12,Paramètres!$A$1:$I$89,5,0)</f>
        <v>5.5865712056402117E-14</v>
      </c>
      <c r="CA147" s="13">
        <f t="shared" si="147"/>
        <v>8.9811031843713517E-13</v>
      </c>
      <c r="CB147" s="20">
        <f t="shared" si="118"/>
        <v>1.6615082531095774E-12</v>
      </c>
      <c r="CC147" s="59">
        <f t="shared" si="119"/>
        <v>293.33333333333496</v>
      </c>
      <c r="CD147" s="59">
        <f ca="1">AVERAGE(OFFSET($CC$3,0,0,'Données projet'!$E$12+1,1))-AVERAGE(OFFSET($H$3,0,0,'Données projet'!$E$12+1,1))</f>
        <v>188.589895905567</v>
      </c>
      <c r="CE147" s="59">
        <f t="shared" si="148"/>
        <v>218.98894871653943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15.257828443563424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3.5298518925579474E-7</v>
      </c>
      <c r="CN147" s="22">
        <f t="shared" si="120"/>
        <v>15.257828796548614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1">
        <f t="shared" si="140"/>
        <v>28.460819043331849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67">
        <f t="shared" si="110"/>
        <v>491.39947650046901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265.44504059292035</v>
      </c>
      <c r="T148" s="59">
        <f t="shared" si="142"/>
        <v>272.02069798702723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36.854021534089227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7.1950894620820233E-6</v>
      </c>
      <c r="AC148" s="22">
        <f t="shared" si="111"/>
        <v>36.854028729178687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71.716690190721977</v>
      </c>
      <c r="AO148" s="59">
        <f t="shared" si="144"/>
        <v>388.00050527441761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7.6156915700215952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7.6156915700215952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71.716690190721977</v>
      </c>
      <c r="BJ148" s="59">
        <f t="shared" si="146"/>
        <v>388.00050527441761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7.6156915700215952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7.6156915700215952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8.5265128291212022E-14</v>
      </c>
      <c r="BZ148" s="13">
        <f>BY148*VLOOKUP('Données projet'!$B$12,Paramètres!$A$1:$I$89,3,0)*VLOOKUP('Données projet'!$B$12,Paramètres!$A$1:$I$89,5,0)</f>
        <v>5.5865712056402117E-14</v>
      </c>
      <c r="CA148" s="13">
        <f t="shared" si="147"/>
        <v>8.9811031843713517E-13</v>
      </c>
      <c r="CB148" s="20">
        <f t="shared" si="118"/>
        <v>1.6615082531095774E-12</v>
      </c>
      <c r="CC148" s="59">
        <f t="shared" si="119"/>
        <v>293.33333333333496</v>
      </c>
      <c r="CD148" s="59">
        <f ca="1">AVERAGE(OFFSET($CC$3,0,0,'Données projet'!$E$12+1,1))-AVERAGE(OFFSET($H$3,0,0,'Données projet'!$E$12+1,1))</f>
        <v>188.589895905567</v>
      </c>
      <c r="CE148" s="59">
        <f t="shared" si="148"/>
        <v>218.98894871653943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14.958631734141569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2.4959822098118932E-7</v>
      </c>
      <c r="CN148" s="22">
        <f t="shared" si="120"/>
        <v>14.958631983739791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1">
        <f t="shared" si="140"/>
        <v>28.634183951187829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67">
        <f t="shared" si="110"/>
        <v>492.97841038165154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265.44504059292035</v>
      </c>
      <c r="T149" s="59">
        <f t="shared" si="142"/>
        <v>272.02069798702723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36.131336650539282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5.0876965498820676E-6</v>
      </c>
      <c r="AC149" s="22">
        <f t="shared" si="111"/>
        <v>36.131341738235832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71.716690190721977</v>
      </c>
      <c r="AO149" s="59">
        <f t="shared" si="144"/>
        <v>388.00050527441761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7.4663525034466627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7.4663525034466627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71.716690190721977</v>
      </c>
      <c r="BJ149" s="59">
        <f t="shared" si="146"/>
        <v>388.00050527441761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7.4663525034466627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7.4663525034466627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8.5265128291212022E-14</v>
      </c>
      <c r="BZ149" s="13">
        <f>BY149*VLOOKUP('Données projet'!$B$12,Paramètres!$A$1:$I$89,3,0)*VLOOKUP('Données projet'!$B$12,Paramètres!$A$1:$I$89,5,0)</f>
        <v>5.5865712056402117E-14</v>
      </c>
      <c r="CA149" s="13">
        <f t="shared" si="147"/>
        <v>8.9811031843713517E-13</v>
      </c>
      <c r="CB149" s="20">
        <f t="shared" si="118"/>
        <v>1.6615082531095774E-12</v>
      </c>
      <c r="CC149" s="59">
        <f t="shared" si="119"/>
        <v>293.33333333333496</v>
      </c>
      <c r="CD149" s="59">
        <f ca="1">AVERAGE(OFFSET($CC$3,0,0,'Données projet'!$E$12+1,1))-AVERAGE(OFFSET($H$3,0,0,'Données projet'!$E$12+1,1))</f>
        <v>188.589895905567</v>
      </c>
      <c r="CE149" s="59">
        <f t="shared" si="148"/>
        <v>218.98894871653943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14.665302089699503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1.7649259462789737E-7</v>
      </c>
      <c r="CN149" s="22">
        <f t="shared" si="120"/>
        <v>14.665302266192098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1">
        <f t="shared" si="140"/>
        <v>28.807410696029962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67">
        <f t="shared" si="110"/>
        <v>494.55710362891824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265.44504059292035</v>
      </c>
      <c r="T150" s="59">
        <f t="shared" si="142"/>
        <v>272.02069798702723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35.422823176761497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3.5975447310410121E-6</v>
      </c>
      <c r="AC150" s="22">
        <f t="shared" si="111"/>
        <v>35.42282677430623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71.716690190721977</v>
      </c>
      <c r="AO150" s="59">
        <f t="shared" si="144"/>
        <v>388.00050527441761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7.3199418848794284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7.3199418848794284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71.716690190721977</v>
      </c>
      <c r="BJ150" s="59">
        <f t="shared" si="146"/>
        <v>388.00050527441761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7.3199418848794284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7.3199418848794284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8.5265128291212022E-14</v>
      </c>
      <c r="BZ150" s="13">
        <f>BY150*VLOOKUP('Données projet'!$B$12,Paramètres!$A$1:$I$89,3,0)*VLOOKUP('Données projet'!$B$12,Paramètres!$A$1:$I$89,5,0)</f>
        <v>5.5865712056402117E-14</v>
      </c>
      <c r="CA150" s="13">
        <f t="shared" si="147"/>
        <v>8.9811031843713517E-13</v>
      </c>
      <c r="CB150" s="20">
        <f t="shared" si="118"/>
        <v>1.6615082531095774E-12</v>
      </c>
      <c r="CC150" s="59">
        <f t="shared" si="119"/>
        <v>293.33333333333496</v>
      </c>
      <c r="CD150" s="59">
        <f ca="1">AVERAGE(OFFSET($CC$3,0,0,'Données projet'!$E$12+1,1))-AVERAGE(OFFSET($H$3,0,0,'Données projet'!$E$12+1,1))</f>
        <v>188.589895905567</v>
      </c>
      <c r="CE150" s="59">
        <f t="shared" si="148"/>
        <v>218.98894871653943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14.37772446067153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1.2479911049059466E-7</v>
      </c>
      <c r="CN150" s="22">
        <f t="shared" si="120"/>
        <v>14.37772458547064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1">
        <f t="shared" si="140"/>
        <v>28.980500326746164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67">
        <f t="shared" si="110"/>
        <v>496.13555806908232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265.44504059292035</v>
      </c>
      <c r="T151" s="59">
        <f t="shared" si="142"/>
        <v>272.02069798702723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34.728203220053949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2.5438482749410342E-6</v>
      </c>
      <c r="AC151" s="22">
        <f t="shared" si="111"/>
        <v>34.728205763902224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71.716690190721977</v>
      </c>
      <c r="AO151" s="59">
        <f t="shared" si="144"/>
        <v>388.00050527441761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7.1764022892406381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7.1764022892406381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71.716690190721977</v>
      </c>
      <c r="BJ151" s="59">
        <f t="shared" si="146"/>
        <v>388.00050527441761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7.1764022892406381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7.1764022892406381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8.5265128291212022E-14</v>
      </c>
      <c r="BZ151" s="13">
        <f>BY151*VLOOKUP('Données projet'!$B$12,Paramètres!$A$1:$I$89,3,0)*VLOOKUP('Données projet'!$B$12,Paramètres!$A$1:$I$89,5,0)</f>
        <v>5.5865712056402117E-14</v>
      </c>
      <c r="CA151" s="13">
        <f t="shared" si="147"/>
        <v>8.9811031843713517E-13</v>
      </c>
      <c r="CB151" s="20">
        <f t="shared" si="118"/>
        <v>1.6615082531095774E-12</v>
      </c>
      <c r="CC151" s="59">
        <f t="shared" si="119"/>
        <v>293.33333333333496</v>
      </c>
      <c r="CD151" s="59">
        <f ca="1">AVERAGE(OFFSET($CC$3,0,0,'Données projet'!$E$12+1,1))-AVERAGE(OFFSET($H$3,0,0,'Données projet'!$E$12+1,1))</f>
        <v>188.589895905567</v>
      </c>
      <c r="CE151" s="59">
        <f t="shared" si="148"/>
        <v>218.98894871653943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14.095786053543762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8.8246297313948686E-8</v>
      </c>
      <c r="CN151" s="22">
        <f t="shared" si="120"/>
        <v>14.095786141790059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1">
        <f t="shared" si="140"/>
        <v>29.153453877230778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67">
        <f t="shared" si="110"/>
        <v>497.71377550284296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265.44504059292035</v>
      </c>
      <c r="T152" s="59">
        <f t="shared" si="142"/>
        <v>272.02069798702723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34.047204337021093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1.7987723655205065E-6</v>
      </c>
      <c r="AC152" s="22">
        <f t="shared" si="111"/>
        <v>34.047206135793459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71.716690190721977</v>
      </c>
      <c r="AO152" s="59">
        <f t="shared" si="144"/>
        <v>388.00050527441761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7.035677417521816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7.035677417521816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71.716690190721977</v>
      </c>
      <c r="BJ152" s="59">
        <f t="shared" si="146"/>
        <v>388.00050527441761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7.035677417521816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7.035677417521816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8.5265128291212022E-14</v>
      </c>
      <c r="BZ152" s="13">
        <f>BY152*VLOOKUP('Données projet'!$B$12,Paramètres!$A$1:$I$89,3,0)*VLOOKUP('Données projet'!$B$12,Paramètres!$A$1:$I$89,5,0)</f>
        <v>5.5865712056402117E-14</v>
      </c>
      <c r="CA152" s="13">
        <f t="shared" si="147"/>
        <v>8.9811031843713517E-13</v>
      </c>
      <c r="CB152" s="20">
        <f t="shared" si="118"/>
        <v>1.6615082531095774E-12</v>
      </c>
      <c r="CC152" s="59">
        <f t="shared" si="119"/>
        <v>293.33333333333496</v>
      </c>
      <c r="CD152" s="59">
        <f ca="1">AVERAGE(OFFSET($CC$3,0,0,'Données projet'!$E$12+1,1))-AVERAGE(OFFSET($H$3,0,0,'Données projet'!$E$12+1,1))</f>
        <v>188.589895905567</v>
      </c>
      <c r="CE152" s="59">
        <f t="shared" si="148"/>
        <v>218.98894871653943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13.81937628661432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6.239955524529733E-8</v>
      </c>
      <c r="CN152" s="22">
        <f t="shared" si="120"/>
        <v>13.819376349013876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1">
        <f t="shared" si="140"/>
        <v>29.326272366698181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67">
        <f t="shared" si="110"/>
        <v>499.29175770533203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265.44504059292035</v>
      </c>
      <c r="T153" s="59">
        <f t="shared" si="142"/>
        <v>272.02069798702723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33.379559426716206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1.2719241374705173E-6</v>
      </c>
      <c r="AC153" s="22">
        <f t="shared" si="111"/>
        <v>33.37956069864034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71.716690190721977</v>
      </c>
      <c r="AO153" s="59">
        <f t="shared" si="144"/>
        <v>388.00050527441761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6.8977120747037031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6.8977120747037031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71.716690190721977</v>
      </c>
      <c r="BJ153" s="59">
        <f t="shared" si="146"/>
        <v>388.00050527441761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6.8977120747037031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6.8977120747037031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8.5265128291212022E-14</v>
      </c>
      <c r="BZ153" s="13">
        <f>BY153*VLOOKUP('Données projet'!$B$12,Paramètres!$A$1:$I$89,3,0)*VLOOKUP('Données projet'!$B$12,Paramètres!$A$1:$I$89,5,0)</f>
        <v>5.5865712056402117E-14</v>
      </c>
      <c r="CA153" s="13">
        <f t="shared" si="147"/>
        <v>8.9811031843713517E-13</v>
      </c>
      <c r="CB153" s="20">
        <f t="shared" si="118"/>
        <v>1.6615082531095774E-12</v>
      </c>
      <c r="CC153" s="59">
        <f t="shared" si="119"/>
        <v>293.33333333333496</v>
      </c>
      <c r="CD153" s="59">
        <f ca="1">AVERAGE(OFFSET($CC$3,0,0,'Données projet'!$E$12+1,1))-AVERAGE(OFFSET($H$3,0,0,'Données projet'!$E$12+1,1))</f>
        <v>188.589895905567</v>
      </c>
      <c r="CE153" s="59">
        <f t="shared" si="148"/>
        <v>218.98894871653943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13.548386746621055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4.4123148656974343E-8</v>
      </c>
      <c r="CN153" s="22">
        <f t="shared" si="120"/>
        <v>13.548386790744203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1">
        <f t="shared" si="140"/>
        <v>29.498956799987411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67">
        <f t="shared" si="110"/>
        <v>500.86950642664414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265.44504059292035</v>
      </c>
      <c r="T154" s="59">
        <f t="shared" si="142"/>
        <v>272.02069798702723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32.725006625879217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8.9938618276025334E-7</v>
      </c>
      <c r="AC154" s="22">
        <f t="shared" ref="AC154:AC203" si="163">SUM(Z154:AB154)</f>
        <v>32.725007525265397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71.716690190721977</v>
      </c>
      <c r="AO154" s="59">
        <f t="shared" si="144"/>
        <v>388.00050527441761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6.7624521481077036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6.7624521481077036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71.716690190721977</v>
      </c>
      <c r="BJ154" s="59">
        <f t="shared" si="146"/>
        <v>388.00050527441761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6.7624521481077036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6.7624521481077036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8.5265128291212022E-14</v>
      </c>
      <c r="BZ154" s="13">
        <f>BY154*VLOOKUP('Données projet'!$B$12,Paramètres!$A$1:$I$89,3,0)*VLOOKUP('Données projet'!$B$12,Paramètres!$A$1:$I$89,5,0)</f>
        <v>5.5865712056402117E-14</v>
      </c>
      <c r="CA154" s="13">
        <f t="shared" ref="CA154:CA203" si="170">EXP(-1.0587+0.8836*LN(BZ154)+0.284)</f>
        <v>8.9811031843713517E-13</v>
      </c>
      <c r="CB154" s="20">
        <f t="shared" ref="CB154:CB203" si="171">(BZ154+CA154)*0.475*44/12</f>
        <v>1.6615082531095774E-12</v>
      </c>
      <c r="CC154" s="59">
        <f t="shared" si="119"/>
        <v>293.33333333333496</v>
      </c>
      <c r="CD154" s="59">
        <f ca="1">AVERAGE(OFFSET($CC$3,0,0,'Données projet'!$E$12+1,1))-AVERAGE(OFFSET($H$3,0,0,'Données projet'!$E$12+1,1))</f>
        <v>188.589895905567</v>
      </c>
      <c r="CE154" s="59">
        <f t="shared" si="148"/>
        <v>218.98894871653943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13.282711146219759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3.1199777622648665E-8</v>
      </c>
      <c r="CN154" s="22">
        <f t="shared" ref="CN154:CN203" si="172">SUM(CK154:CM154)</f>
        <v>13.282711177419536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1">
        <f t="shared" si="140"/>
        <v>29.671508167859105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67">
        <f t="shared" si="110"/>
        <v>502.44702339235391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265.44504059292035</v>
      </c>
      <c r="T155" s="59">
        <f t="shared" si="142"/>
        <v>272.02069798702723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32.083289206228855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6.3596206873525877E-7</v>
      </c>
      <c r="AC155" s="22">
        <f t="shared" si="163"/>
        <v>32.083289842190922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71.716690190721977</v>
      </c>
      <c r="AO155" s="59">
        <f t="shared" si="144"/>
        <v>388.00050527441761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6.6298445861718429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6.6298445861718429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71.716690190721977</v>
      </c>
      <c r="BJ155" s="59">
        <f t="shared" si="146"/>
        <v>388.00050527441761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6.6298445861718429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6.6298445861718429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8.5265128291212022E-14</v>
      </c>
      <c r="BZ155" s="13">
        <f>BY155*VLOOKUP('Données projet'!$B$12,Paramètres!$A$1:$I$89,3,0)*VLOOKUP('Données projet'!$B$12,Paramètres!$A$1:$I$89,5,0)</f>
        <v>5.5865712056402117E-14</v>
      </c>
      <c r="CA155" s="13">
        <f t="shared" si="170"/>
        <v>8.9811031843713517E-13</v>
      </c>
      <c r="CB155" s="20">
        <f t="shared" si="171"/>
        <v>1.6615082531095774E-12</v>
      </c>
      <c r="CC155" s="59">
        <f t="shared" si="119"/>
        <v>293.33333333333496</v>
      </c>
      <c r="CD155" s="59">
        <f ca="1">AVERAGE(OFFSET($CC$3,0,0,'Données projet'!$E$12+1,1))-AVERAGE(OFFSET($H$3,0,0,'Données projet'!$E$12+1,1))</f>
        <v>188.589895905567</v>
      </c>
      <c r="CE155" s="59">
        <f t="shared" si="148"/>
        <v>218.98894871653943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13.022245282296216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2.2061574328487171E-8</v>
      </c>
      <c r="CN155" s="22">
        <f t="shared" si="172"/>
        <v>13.02224530435779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1">
        <f t="shared" si="140"/>
        <v>29.843927447283722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67">
        <f t="shared" si="110"/>
        <v>504.02431030401851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265.44504059292035</v>
      </c>
      <c r="T156" s="59">
        <f t="shared" si="142"/>
        <v>272.02069798702723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31.454155473768857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4.4969309138012672E-7</v>
      </c>
      <c r="AC156" s="22">
        <f t="shared" si="163"/>
        <v>31.454155923461947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71.716690190721977</v>
      </c>
      <c r="AO156" s="59">
        <f t="shared" si="144"/>
        <v>388.00050527441761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6.4998373776429181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6.4998373776429181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71.716690190721977</v>
      </c>
      <c r="BJ156" s="59">
        <f t="shared" si="146"/>
        <v>388.00050527441761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6.4998373776429181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6.4998373776429181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8.5265128291212022E-14</v>
      </c>
      <c r="BZ156" s="13">
        <f>BY156*VLOOKUP('Données projet'!$B$12,Paramètres!$A$1:$I$89,3,0)*VLOOKUP('Données projet'!$B$12,Paramètres!$A$1:$I$89,5,0)</f>
        <v>5.5865712056402117E-14</v>
      </c>
      <c r="CA156" s="13">
        <f t="shared" si="170"/>
        <v>8.9811031843713517E-13</v>
      </c>
      <c r="CB156" s="20">
        <f t="shared" si="171"/>
        <v>1.6615082531095774E-12</v>
      </c>
      <c r="CC156" s="59">
        <f t="shared" si="119"/>
        <v>293.33333333333496</v>
      </c>
      <c r="CD156" s="59">
        <f ca="1">AVERAGE(OFFSET($CC$3,0,0,'Données projet'!$E$12+1,1))-AVERAGE(OFFSET($H$3,0,0,'Données projet'!$E$12+1,1))</f>
        <v>188.589895905567</v>
      </c>
      <c r="CE156" s="59">
        <f t="shared" si="148"/>
        <v>218.98894871653943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12.766886995095724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1.5599888811324333E-8</v>
      </c>
      <c r="CN156" s="22">
        <f t="shared" si="172"/>
        <v>12.766887010695614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1">
        <f t="shared" si="140"/>
        <v>30.016215601722468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67">
        <f t="shared" si="110"/>
        <v>505.60136883966601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265.44504059292035</v>
      </c>
      <c r="T157" s="59">
        <f t="shared" si="142"/>
        <v>272.02069798702723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30.837358670068713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3.1798103436762938E-7</v>
      </c>
      <c r="AC157" s="22">
        <f t="shared" si="163"/>
        <v>30.837358988049747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71.716690190721977</v>
      </c>
      <c r="AO157" s="59">
        <f t="shared" si="144"/>
        <v>388.00050527441761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6.3723795311766782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6.3723795311766782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71.716690190721977</v>
      </c>
      <c r="BJ157" s="59">
        <f t="shared" si="146"/>
        <v>388.00050527441761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6.3723795311766782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6.3723795311766782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8.5265128291212022E-14</v>
      </c>
      <c r="BZ157" s="13">
        <f>BY157*VLOOKUP('Données projet'!$B$12,Paramètres!$A$1:$I$89,3,0)*VLOOKUP('Données projet'!$B$12,Paramètres!$A$1:$I$89,5,0)</f>
        <v>5.5865712056402117E-14</v>
      </c>
      <c r="CA157" s="13">
        <f t="shared" si="170"/>
        <v>8.9811031843713517E-13</v>
      </c>
      <c r="CB157" s="20">
        <f t="shared" si="171"/>
        <v>1.6615082531095774E-12</v>
      </c>
      <c r="CC157" s="59">
        <f t="shared" si="119"/>
        <v>293.33333333333496</v>
      </c>
      <c r="CD157" s="59">
        <f ca="1">AVERAGE(OFFSET($CC$3,0,0,'Données projet'!$E$12+1,1))-AVERAGE(OFFSET($H$3,0,0,'Données projet'!$E$12+1,1))</f>
        <v>188.589895905567</v>
      </c>
      <c r="CE157" s="59">
        <f t="shared" si="148"/>
        <v>218.98894871653943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12.516536128154058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1.1030787164243586E-8</v>
      </c>
      <c r="CN157" s="22">
        <f t="shared" si="172"/>
        <v>12.516536139184845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1">
        <f t="shared" si="140"/>
        <v>30.188373581400619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67">
        <f t="shared" si="110"/>
        <v>507.17820065427208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265.44504059292035</v>
      </c>
      <c r="T158" s="59">
        <f t="shared" si="142"/>
        <v>272.02069798702723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30.232656875480227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2.2484654569006336E-7</v>
      </c>
      <c r="AC158" s="22">
        <f t="shared" si="163"/>
        <v>30.232657100326772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71.716690190721977</v>
      </c>
      <c r="AO158" s="59">
        <f t="shared" si="144"/>
        <v>388.00050527441761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6.2474210553380312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6.2474210553380312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71.716690190721977</v>
      </c>
      <c r="BJ158" s="59">
        <f t="shared" si="146"/>
        <v>388.00050527441761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6.2474210553380312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6.2474210553380312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8.5265128291212022E-14</v>
      </c>
      <c r="BZ158" s="13">
        <f>BY158*VLOOKUP('Données projet'!$B$12,Paramètres!$A$1:$I$89,3,0)*VLOOKUP('Données projet'!$B$12,Paramètres!$A$1:$I$89,5,0)</f>
        <v>5.5865712056402117E-14</v>
      </c>
      <c r="CA158" s="13">
        <f t="shared" si="170"/>
        <v>8.9811031843713517E-13</v>
      </c>
      <c r="CB158" s="20">
        <f t="shared" si="171"/>
        <v>1.6615082531095774E-12</v>
      </c>
      <c r="CC158" s="59">
        <f t="shared" si="119"/>
        <v>293.33333333333496</v>
      </c>
      <c r="CD158" s="59">
        <f ca="1">AVERAGE(OFFSET($CC$3,0,0,'Données projet'!$E$12+1,1))-AVERAGE(OFFSET($H$3,0,0,'Données projet'!$E$12+1,1))</f>
        <v>188.589895905567</v>
      </c>
      <c r="CE158" s="59">
        <f t="shared" si="148"/>
        <v>218.98894871653943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12.271094489014168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7.7999444056621663E-9</v>
      </c>
      <c r="CN158" s="22">
        <f t="shared" si="172"/>
        <v>12.271094496814111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1">
        <f t="shared" si="140"/>
        <v>30.360402323573442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67">
        <f t="shared" si="110"/>
        <v>508.75480738022304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265.44504059292035</v>
      </c>
      <c r="T159" s="59">
        <f t="shared" si="142"/>
        <v>272.02069798702723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29.639812914251944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1.5899051718381469E-7</v>
      </c>
      <c r="AC159" s="22">
        <f t="shared" si="163"/>
        <v>29.639813073242461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71.716690190721977</v>
      </c>
      <c r="AO159" s="59">
        <f t="shared" si="144"/>
        <v>388.00050527441761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6.1249129389934351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6.1249129389934351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71.716690190721977</v>
      </c>
      <c r="BJ159" s="59">
        <f t="shared" si="146"/>
        <v>388.00050527441761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6.1249129389934351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6.1249129389934351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8.5265128291212022E-14</v>
      </c>
      <c r="BZ159" s="13">
        <f>BY159*VLOOKUP('Données projet'!$B$12,Paramètres!$A$1:$I$89,3,0)*VLOOKUP('Données projet'!$B$12,Paramètres!$A$1:$I$89,5,0)</f>
        <v>5.5865712056402117E-14</v>
      </c>
      <c r="CA159" s="13">
        <f t="shared" si="170"/>
        <v>8.9811031843713517E-13</v>
      </c>
      <c r="CB159" s="20">
        <f t="shared" si="171"/>
        <v>1.6615082531095774E-12</v>
      </c>
      <c r="CC159" s="59">
        <f t="shared" si="119"/>
        <v>293.33333333333496</v>
      </c>
      <c r="CD159" s="59">
        <f ca="1">AVERAGE(OFFSET($CC$3,0,0,'Données projet'!$E$12+1,1))-AVERAGE(OFFSET($H$3,0,0,'Données projet'!$E$12+1,1))</f>
        <v>188.589895905567</v>
      </c>
      <c r="CE159" s="59">
        <f t="shared" si="148"/>
        <v>218.98894871653943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12.030465810713192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5.5153935821217929E-9</v>
      </c>
      <c r="CN159" s="22">
        <f t="shared" si="172"/>
        <v>12.030465816228586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1">
        <f t="shared" si="140"/>
        <v>30.532302752785306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67">
        <f t="shared" si="110"/>
        <v>510.33119062776711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265.44504059292035</v>
      </c>
      <c r="T160" s="59">
        <f t="shared" si="142"/>
        <v>272.02069798702723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29.058594261504236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1.1242327284503168E-7</v>
      </c>
      <c r="AC160" s="22">
        <f t="shared" si="163"/>
        <v>29.058594373927509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71.716690190721977</v>
      </c>
      <c r="AO160" s="59">
        <f t="shared" si="144"/>
        <v>388.00050527441761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6.0048071320877847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6.0048071320877847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71.716690190721977</v>
      </c>
      <c r="BJ160" s="59">
        <f t="shared" si="146"/>
        <v>388.00050527441761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6.0048071320877847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6.0048071320877847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8.5265128291212022E-14</v>
      </c>
      <c r="BZ160" s="13">
        <f>BY160*VLOOKUP('Données projet'!$B$12,Paramètres!$A$1:$I$89,3,0)*VLOOKUP('Données projet'!$B$12,Paramètres!$A$1:$I$89,5,0)</f>
        <v>5.5865712056402117E-14</v>
      </c>
      <c r="CA160" s="13">
        <f t="shared" si="170"/>
        <v>8.9811031843713517E-13</v>
      </c>
      <c r="CB160" s="20">
        <f t="shared" si="171"/>
        <v>1.6615082531095774E-12</v>
      </c>
      <c r="CC160" s="59">
        <f t="shared" si="119"/>
        <v>293.33333333333496</v>
      </c>
      <c r="CD160" s="59">
        <f ca="1">AVERAGE(OFFSET($CC$3,0,0,'Données projet'!$E$12+1,1))-AVERAGE(OFFSET($H$3,0,0,'Données projet'!$E$12+1,1))</f>
        <v>188.589895905567</v>
      </c>
      <c r="CE160" s="59">
        <f t="shared" si="148"/>
        <v>218.98894871653943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11.794555714024698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3.8999722028310831E-9</v>
      </c>
      <c r="CN160" s="22">
        <f t="shared" si="172"/>
        <v>11.79455571792467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1">
        <f t="shared" si="140"/>
        <v>30.704075781121787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67">
        <f t="shared" si="110"/>
        <v>511.90735198545303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265.44504059292035</v>
      </c>
      <c r="T161" s="59">
        <f t="shared" si="142"/>
        <v>272.02069798702723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28.48877295202854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7.9495258591907346E-8</v>
      </c>
      <c r="AC161" s="22">
        <f t="shared" si="163"/>
        <v>28.488773031523799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71.716690190721977</v>
      </c>
      <c r="AO161" s="59">
        <f t="shared" si="144"/>
        <v>388.00050527441761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5.8870565267982453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5.8870565267982453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71.716690190721977</v>
      </c>
      <c r="BJ161" s="59">
        <f t="shared" si="146"/>
        <v>388.00050527441761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5.8870565267982453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5.8870565267982453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8.5265128291212022E-14</v>
      </c>
      <c r="BZ161" s="13">
        <f>BY161*VLOOKUP('Données projet'!$B$12,Paramètres!$A$1:$I$89,3,0)*VLOOKUP('Données projet'!$B$12,Paramètres!$A$1:$I$89,5,0)</f>
        <v>5.5865712056402117E-14</v>
      </c>
      <c r="CA161" s="13">
        <f t="shared" si="170"/>
        <v>8.9811031843713517E-13</v>
      </c>
      <c r="CB161" s="20">
        <f t="shared" si="171"/>
        <v>1.6615082531095774E-12</v>
      </c>
      <c r="CC161" s="59">
        <f t="shared" si="119"/>
        <v>293.33333333333496</v>
      </c>
      <c r="CD161" s="59">
        <f ca="1">AVERAGE(OFFSET($CC$3,0,0,'Données projet'!$E$12+1,1))-AVERAGE(OFFSET($H$3,0,0,'Données projet'!$E$12+1,1))</f>
        <v>188.589895905567</v>
      </c>
      <c r="CE161" s="59">
        <f t="shared" si="148"/>
        <v>218.98894871653943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11.563271670441313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2.7576967910608964E-9</v>
      </c>
      <c r="CN161" s="22">
        <f t="shared" si="172"/>
        <v>11.56327167319901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1">
        <f t="shared" si="140"/>
        <v>30.875722308455476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67">
        <f t="shared" si="110"/>
        <v>513.48329302055924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265.44504059292035</v>
      </c>
      <c r="T162" s="59">
        <f t="shared" si="142"/>
        <v>272.02069798702723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27.930125490874982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5.621163642251584E-8</v>
      </c>
      <c r="AC162" s="22">
        <f t="shared" si="163"/>
        <v>27.930125547086618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71.716690190721977</v>
      </c>
      <c r="AO162" s="59">
        <f t="shared" si="144"/>
        <v>388.00050527441761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5.7716149390576561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5.7716149390576561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71.716690190721977</v>
      </c>
      <c r="BJ162" s="59">
        <f t="shared" si="146"/>
        <v>388.00050527441761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5.7716149390576561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5.7716149390576561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8.5265128291212022E-14</v>
      </c>
      <c r="BZ162" s="13">
        <f>BY162*VLOOKUP('Données projet'!$B$12,Paramètres!$A$1:$I$89,3,0)*VLOOKUP('Données projet'!$B$12,Paramètres!$A$1:$I$89,5,0)</f>
        <v>5.5865712056402117E-14</v>
      </c>
      <c r="CA162" s="13">
        <f t="shared" si="170"/>
        <v>8.9811031843713517E-13</v>
      </c>
      <c r="CB162" s="20">
        <f t="shared" si="171"/>
        <v>1.6615082531095774E-12</v>
      </c>
      <c r="CC162" s="59">
        <f t="shared" si="119"/>
        <v>293.33333333333496</v>
      </c>
      <c r="CD162" s="59">
        <f ca="1">AVERAGE(OFFSET($CC$3,0,0,'Données projet'!$E$12+1,1))-AVERAGE(OFFSET($H$3,0,0,'Données projet'!$E$12+1,1))</f>
        <v>188.589895905567</v>
      </c>
      <c r="CE162" s="59">
        <f t="shared" si="148"/>
        <v>218.98894871653943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11.336522965883262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1.9499861014155416E-9</v>
      </c>
      <c r="CN162" s="22">
        <f t="shared" si="172"/>
        <v>11.336522967833249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1">
        <f t="shared" si="140"/>
        <v>31.047243222685147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67">
        <f t="shared" si="110"/>
        <v>515.05901527950925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265.44504059292035</v>
      </c>
      <c r="T163" s="59">
        <f t="shared" si="142"/>
        <v>272.02069798702723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27.382432765693338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3.9747629295953673E-8</v>
      </c>
      <c r="AC163" s="22">
        <f t="shared" si="163"/>
        <v>27.382432805440967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71.716690190721977</v>
      </c>
      <c r="AO163" s="59">
        <f t="shared" si="144"/>
        <v>388.00050527441761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5.6584370904402439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5.6584370904402439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71.716690190721977</v>
      </c>
      <c r="BJ163" s="59">
        <f t="shared" si="146"/>
        <v>388.00050527441761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5.6584370904402439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5.6584370904402439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8.5265128291212022E-14</v>
      </c>
      <c r="BZ163" s="13">
        <f>BY163*VLOOKUP('Données projet'!$B$12,Paramètres!$A$1:$I$89,3,0)*VLOOKUP('Données projet'!$B$12,Paramètres!$A$1:$I$89,5,0)</f>
        <v>5.5865712056402117E-14</v>
      </c>
      <c r="CA163" s="13">
        <f t="shared" si="170"/>
        <v>8.9811031843713517E-13</v>
      </c>
      <c r="CB163" s="20">
        <f t="shared" si="171"/>
        <v>1.6615082531095774E-12</v>
      </c>
      <c r="CC163" s="59">
        <f t="shared" si="119"/>
        <v>293.33333333333496</v>
      </c>
      <c r="CD163" s="59">
        <f ca="1">AVERAGE(OFFSET($CC$3,0,0,'Données projet'!$E$12+1,1))-AVERAGE(OFFSET($H$3,0,0,'Données projet'!$E$12+1,1))</f>
        <v>188.589895905567</v>
      </c>
      <c r="CE163" s="59">
        <f t="shared" si="148"/>
        <v>218.98894871653943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11.114220665118541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1.3788483955304482E-9</v>
      </c>
      <c r="CN163" s="22">
        <f t="shared" si="172"/>
        <v>11.11422066649739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1">
        <f t="shared" si="140"/>
        <v>31.218639399968879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67">
        <f t="shared" si="110"/>
        <v>516.6345202882784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265.44504059292035</v>
      </c>
      <c r="T164" s="59">
        <f t="shared" si="142"/>
        <v>272.02069798702723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26.845479960792929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2.810581821125792E-8</v>
      </c>
      <c r="AC164" s="22">
        <f t="shared" si="163"/>
        <v>26.845479988898749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71.716690190721977</v>
      </c>
      <c r="AO164" s="59">
        <f t="shared" si="144"/>
        <v>388.00050527441761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5.5474785904025481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5.5474785904025481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71.716690190721977</v>
      </c>
      <c r="BJ164" s="59">
        <f t="shared" si="146"/>
        <v>388.00050527441761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5.5474785904025481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5.5474785904025481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8.5265128291212022E-14</v>
      </c>
      <c r="BZ164" s="13">
        <f>BY164*VLOOKUP('Données projet'!$B$12,Paramètres!$A$1:$I$89,3,0)*VLOOKUP('Données projet'!$B$12,Paramètres!$A$1:$I$89,5,0)</f>
        <v>5.5865712056402117E-14</v>
      </c>
      <c r="CA164" s="13">
        <f t="shared" si="170"/>
        <v>8.9811031843713517E-13</v>
      </c>
      <c r="CB164" s="20">
        <f t="shared" si="171"/>
        <v>1.6615082531095774E-12</v>
      </c>
      <c r="CC164" s="59">
        <f t="shared" si="119"/>
        <v>293.33333333333496</v>
      </c>
      <c r="CD164" s="59">
        <f ca="1">AVERAGE(OFFSET($CC$3,0,0,'Données projet'!$E$12+1,1))-AVERAGE(OFFSET($H$3,0,0,'Données projet'!$E$12+1,1))</f>
        <v>188.589895905567</v>
      </c>
      <c r="CE164" s="59">
        <f t="shared" si="148"/>
        <v>218.98894871653943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10.8962775768808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9.7499305070777078E-10</v>
      </c>
      <c r="CN164" s="22">
        <f t="shared" si="172"/>
        <v>10.896277577855793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1">
        <f t="shared" si="140"/>
        <v>31.389911704951448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67">
        <f t="shared" si="110"/>
        <v>518.20980955278969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265.44504059292035</v>
      </c>
      <c r="T165" s="59">
        <f t="shared" si="142"/>
        <v>272.02069798702723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26.319056472887745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1.9873814647976836E-8</v>
      </c>
      <c r="AC165" s="22">
        <f t="shared" si="163"/>
        <v>26.319056492761561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71.716690190721977</v>
      </c>
      <c r="AO165" s="59">
        <f t="shared" si="144"/>
        <v>388.00050527441761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5.4386959188725887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5.4386959188725887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71.716690190721977</v>
      </c>
      <c r="BJ165" s="59">
        <f t="shared" si="146"/>
        <v>388.00050527441761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5.4386959188725887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5.4386959188725887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8.5265128291212022E-14</v>
      </c>
      <c r="BZ165" s="13">
        <f>BY165*VLOOKUP('Données projet'!$B$12,Paramètres!$A$1:$I$89,3,0)*VLOOKUP('Données projet'!$B$12,Paramètres!$A$1:$I$89,5,0)</f>
        <v>5.5865712056402117E-14</v>
      </c>
      <c r="CA165" s="13">
        <f t="shared" si="170"/>
        <v>8.9811031843713517E-13</v>
      </c>
      <c r="CB165" s="20">
        <f t="shared" si="171"/>
        <v>1.6615082531095774E-12</v>
      </c>
      <c r="CC165" s="59">
        <f t="shared" si="119"/>
        <v>293.33333333333496</v>
      </c>
      <c r="CD165" s="59">
        <f ca="1">AVERAGE(OFFSET($CC$3,0,0,'Données projet'!$E$12+1,1))-AVERAGE(OFFSET($H$3,0,0,'Données projet'!$E$12+1,1))</f>
        <v>188.589895905567</v>
      </c>
      <c r="CE165" s="59">
        <f t="shared" si="148"/>
        <v>218.98894871653943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10.682608219671245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6.8942419776522411E-10</v>
      </c>
      <c r="CN165" s="22">
        <f t="shared" si="172"/>
        <v>10.682608220360668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1">
        <f t="shared" si="140"/>
        <v>31.561060990985393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67">
        <f t="shared" si="110"/>
        <v>519.78488455929892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265.44504059292035</v>
      </c>
      <c r="T166" s="59">
        <f t="shared" si="142"/>
        <v>272.02069798702723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25.802955828493758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1.405290910562896E-8</v>
      </c>
      <c r="AC166" s="22">
        <f t="shared" si="163"/>
        <v>25.802955842546666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71.716690190721977</v>
      </c>
      <c r="AO166" s="59">
        <f t="shared" si="144"/>
        <v>388.00050527441761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5.332046409180454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5.332046409180454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71.716690190721977</v>
      </c>
      <c r="BJ166" s="59">
        <f t="shared" si="146"/>
        <v>388.00050527441761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5.332046409180454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5.332046409180454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8.5265128291212022E-14</v>
      </c>
      <c r="BZ166" s="13">
        <f>BY166*VLOOKUP('Données projet'!$B$12,Paramètres!$A$1:$I$89,3,0)*VLOOKUP('Données projet'!$B$12,Paramètres!$A$1:$I$89,5,0)</f>
        <v>5.5865712056402117E-14</v>
      </c>
      <c r="CA166" s="13">
        <f t="shared" si="170"/>
        <v>8.9811031843713517E-13</v>
      </c>
      <c r="CB166" s="20">
        <f t="shared" si="171"/>
        <v>1.6615082531095774E-12</v>
      </c>
      <c r="CC166" s="59">
        <f t="shared" si="119"/>
        <v>293.33333333333496</v>
      </c>
      <c r="CD166" s="59">
        <f ca="1">AVERAGE(OFFSET($CC$3,0,0,'Données projet'!$E$12+1,1))-AVERAGE(OFFSET($H$3,0,0,'Données projet'!$E$12+1,1))</f>
        <v>188.589895905567</v>
      </c>
      <c r="CE166" s="59">
        <f t="shared" si="148"/>
        <v>218.98894871653943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10.473128788231129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4.8749652535388539E-10</v>
      </c>
      <c r="CN166" s="22">
        <f t="shared" si="172"/>
        <v>10.473128788718626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1">
        <f t="shared" si="140"/>
        <v>31.732088100347205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67">
        <f t="shared" si="110"/>
        <v>521.35974677477066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265.44504059292035</v>
      </c>
      <c r="T167" s="59">
        <f t="shared" si="142"/>
        <v>272.02069798702723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25.296975602946027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9.9369073239884182E-9</v>
      </c>
      <c r="AC167" s="22">
        <f t="shared" si="163"/>
        <v>25.296975612882935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71.716690190721977</v>
      </c>
      <c r="AO167" s="59">
        <f t="shared" si="144"/>
        <v>388.00050527441761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5.227488231323604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5.227488231323604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71.716690190721977</v>
      </c>
      <c r="BJ167" s="59">
        <f t="shared" si="146"/>
        <v>388.00050527441761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5.227488231323604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5.227488231323604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8.5265128291212022E-14</v>
      </c>
      <c r="BZ167" s="13">
        <f>BY167*VLOOKUP('Données projet'!$B$12,Paramètres!$A$1:$I$89,3,0)*VLOOKUP('Données projet'!$B$12,Paramètres!$A$1:$I$89,5,0)</f>
        <v>5.5865712056402117E-14</v>
      </c>
      <c r="CA167" s="13">
        <f t="shared" si="170"/>
        <v>8.9811031843713517E-13</v>
      </c>
      <c r="CB167" s="20">
        <f t="shared" si="171"/>
        <v>1.6615082531095774E-12</v>
      </c>
      <c r="CC167" s="59">
        <f t="shared" si="119"/>
        <v>293.33333333333496</v>
      </c>
      <c r="CD167" s="59">
        <f ca="1">AVERAGE(OFFSET($CC$3,0,0,'Données projet'!$E$12+1,1))-AVERAGE(OFFSET($H$3,0,0,'Données projet'!$E$12+1,1))</f>
        <v>188.589895905567</v>
      </c>
      <c r="CE167" s="59">
        <f t="shared" si="148"/>
        <v>218.98894871653943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10.267757120671718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3.4471209888261205E-10</v>
      </c>
      <c r="CN167" s="22">
        <f t="shared" si="172"/>
        <v>10.26775712101643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1">
        <f t="shared" si="140"/>
        <v>31.902993864447446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67">
        <f t="shared" si="110"/>
        <v>522.93439764724519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265.44504059292035</v>
      </c>
      <c r="T168" s="59">
        <f t="shared" si="142"/>
        <v>272.02069798702723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24.800917341003824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7.02645455281448E-9</v>
      </c>
      <c r="AC168" s="22">
        <f t="shared" si="163"/>
        <v>24.800917348030278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71.716690190721977</v>
      </c>
      <c r="AO168" s="59">
        <f t="shared" si="144"/>
        <v>388.00050527441761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5.1249803755603356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5.1249803755603356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71.716690190721977</v>
      </c>
      <c r="BJ168" s="59">
        <f t="shared" si="146"/>
        <v>388.00050527441761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5.1249803755603356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5.1249803755603356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8.5265128291212022E-14</v>
      </c>
      <c r="BZ168" s="13">
        <f>BY168*VLOOKUP('Données projet'!$B$12,Paramètres!$A$1:$I$89,3,0)*VLOOKUP('Données projet'!$B$12,Paramètres!$A$1:$I$89,5,0)</f>
        <v>5.5865712056402117E-14</v>
      </c>
      <c r="CA168" s="13">
        <f t="shared" si="170"/>
        <v>8.9811031843713517E-13</v>
      </c>
      <c r="CB168" s="20">
        <f t="shared" si="171"/>
        <v>1.6615082531095774E-12</v>
      </c>
      <c r="CC168" s="59">
        <f t="shared" si="119"/>
        <v>293.33333333333496</v>
      </c>
      <c r="CD168" s="59">
        <f ca="1">AVERAGE(OFFSET($CC$3,0,0,'Données projet'!$E$12+1,1))-AVERAGE(OFFSET($H$3,0,0,'Données projet'!$E$12+1,1))</f>
        <v>188.589895905567</v>
      </c>
      <c r="CE168" s="59">
        <f t="shared" si="148"/>
        <v>218.98894871653943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10.066412666248798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2.437482626769427E-10</v>
      </c>
      <c r="CN168" s="22">
        <f t="shared" si="172"/>
        <v>10.066412666492546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1">
        <f t="shared" si="140"/>
        <v>32.073779104036042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67">
        <f t="shared" si="110"/>
        <v>524.50883860619535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265.44504059292035</v>
      </c>
      <c r="T169" s="59">
        <f t="shared" si="142"/>
        <v>272.02069798702723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24.314586479012643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4.9684536619942091E-9</v>
      </c>
      <c r="AC169" s="22">
        <f t="shared" si="163"/>
        <v>24.314586483981095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71.716690190721977</v>
      </c>
      <c r="AO169" s="59">
        <f t="shared" si="144"/>
        <v>388.00050527441761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5.0244826363249668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5.0244826363249668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71.716690190721977</v>
      </c>
      <c r="BJ169" s="59">
        <f t="shared" si="146"/>
        <v>388.00050527441761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5.0244826363249668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5.0244826363249668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8.5265128291212022E-14</v>
      </c>
      <c r="BZ169" s="13">
        <f>BY169*VLOOKUP('Données projet'!$B$12,Paramètres!$A$1:$I$89,3,0)*VLOOKUP('Données projet'!$B$12,Paramètres!$A$1:$I$89,5,0)</f>
        <v>5.5865712056402117E-14</v>
      </c>
      <c r="CA169" s="13">
        <f t="shared" si="170"/>
        <v>8.9811031843713517E-13</v>
      </c>
      <c r="CB169" s="20">
        <f t="shared" si="171"/>
        <v>1.6615082531095774E-12</v>
      </c>
      <c r="CC169" s="59">
        <f t="shared" si="119"/>
        <v>293.33333333333496</v>
      </c>
      <c r="CD169" s="59">
        <f ca="1">AVERAGE(OFFSET($CC$3,0,0,'Données projet'!$E$12+1,1))-AVERAGE(OFFSET($H$3,0,0,'Données projet'!$E$12+1,1))</f>
        <v>188.589895905567</v>
      </c>
      <c r="CE169" s="59">
        <f t="shared" si="148"/>
        <v>218.98894871653943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9.8690164537691203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1.7235604944130603E-10</v>
      </c>
      <c r="CN169" s="22">
        <f t="shared" si="172"/>
        <v>9.8690164539414766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1">
        <f t="shared" si="140"/>
        <v>32.244444629402366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67">
        <f t="shared" si="110"/>
        <v>526.08307106287509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265.44504059292035</v>
      </c>
      <c r="T170" s="59">
        <f t="shared" si="142"/>
        <v>272.02069798702723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23.837792268592572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3.51322727640724E-9</v>
      </c>
      <c r="AC170" s="22">
        <f t="shared" si="163"/>
        <v>23.837792272105801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71.716690190721977</v>
      </c>
      <c r="AO170" s="59">
        <f t="shared" si="144"/>
        <v>388.00050527441761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4.9259555964584347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4.9259555964584347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71.716690190721977</v>
      </c>
      <c r="BJ170" s="59">
        <f t="shared" si="146"/>
        <v>388.00050527441761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4.9259555964584347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4.9259555964584347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8.5265128291212022E-14</v>
      </c>
      <c r="BZ170" s="13">
        <f>BY170*VLOOKUP('Données projet'!$B$12,Paramètres!$A$1:$I$89,3,0)*VLOOKUP('Données projet'!$B$12,Paramètres!$A$1:$I$89,5,0)</f>
        <v>5.5865712056402117E-14</v>
      </c>
      <c r="CA170" s="13">
        <f t="shared" si="170"/>
        <v>8.9811031843713517E-13</v>
      </c>
      <c r="CB170" s="20">
        <f t="shared" si="171"/>
        <v>1.6615082531095774E-12</v>
      </c>
      <c r="CC170" s="59">
        <f t="shared" si="119"/>
        <v>293.33333333333496</v>
      </c>
      <c r="CD170" s="59">
        <f ca="1">AVERAGE(OFFSET($CC$3,0,0,'Données projet'!$E$12+1,1))-AVERAGE(OFFSET($H$3,0,0,'Données projet'!$E$12+1,1))</f>
        <v>188.589895905567</v>
      </c>
      <c r="CE170" s="59">
        <f t="shared" si="148"/>
        <v>218.98894871653943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9.675491060616368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1.2187413133847135E-10</v>
      </c>
      <c r="CN170" s="22">
        <f t="shared" si="172"/>
        <v>9.6754910607382421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1">
        <f t="shared" si="140"/>
        <v>32.41499124057033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67">
        <f t="shared" si="110"/>
        <v>527.65709641065928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265.44504059292035</v>
      </c>
      <c r="T171" s="59">
        <f t="shared" si="142"/>
        <v>272.02069798702723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23.370347701823089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2.4842268309971046E-9</v>
      </c>
      <c r="AC171" s="22">
        <f t="shared" si="163"/>
        <v>23.370347704307317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71.716690190721977</v>
      </c>
      <c r="AO171" s="59">
        <f t="shared" si="144"/>
        <v>388.00050527441761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4.8293606117481254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4.8293606117481254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71.716690190721977</v>
      </c>
      <c r="BJ171" s="59">
        <f t="shared" si="146"/>
        <v>388.00050527441761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4.8293606117481254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4.8293606117481254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8.5265128291212022E-14</v>
      </c>
      <c r="BZ171" s="13">
        <f>BY171*VLOOKUP('Données projet'!$B$12,Paramètres!$A$1:$I$89,3,0)*VLOOKUP('Données projet'!$B$12,Paramètres!$A$1:$I$89,5,0)</f>
        <v>5.5865712056402117E-14</v>
      </c>
      <c r="CA171" s="13">
        <f t="shared" si="170"/>
        <v>8.9811031843713517E-13</v>
      </c>
      <c r="CB171" s="20">
        <f t="shared" si="171"/>
        <v>1.6615082531095774E-12</v>
      </c>
      <c r="CC171" s="59">
        <f t="shared" si="119"/>
        <v>293.33333333333496</v>
      </c>
      <c r="CD171" s="59">
        <f ca="1">AVERAGE(OFFSET($CC$3,0,0,'Données projet'!$E$12+1,1))-AVERAGE(OFFSET($H$3,0,0,'Données projet'!$E$12+1,1))</f>
        <v>188.589895905567</v>
      </c>
      <c r="CE171" s="59">
        <f t="shared" si="148"/>
        <v>218.98894871653943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9.4857605823845059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8.6178024720653013E-11</v>
      </c>
      <c r="CN171" s="22">
        <f t="shared" si="172"/>
        <v>9.4857605824706841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1">
        <f t="shared" si="140"/>
        <v>32.585419727488741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67">
        <f t="shared" si="110"/>
        <v>529.23091602537556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265.44504059292035</v>
      </c>
      <c r="T172" s="59">
        <f t="shared" si="142"/>
        <v>272.02069798702723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22.912069437894921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1.75661363820362E-9</v>
      </c>
      <c r="AC172" s="22">
        <f t="shared" si="163"/>
        <v>22.912069439651535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71.716690190721977</v>
      </c>
      <c r="AO172" s="59">
        <f t="shared" si="144"/>
        <v>388.00050527441761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4.7346597957708623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4.7346597957708623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71.716690190721977</v>
      </c>
      <c r="BJ172" s="59">
        <f t="shared" si="146"/>
        <v>388.00050527441761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4.7346597957708623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4.7346597957708623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8.5265128291212022E-14</v>
      </c>
      <c r="BZ172" s="13">
        <f>BY172*VLOOKUP('Données projet'!$B$12,Paramètres!$A$1:$I$89,3,0)*VLOOKUP('Données projet'!$B$12,Paramètres!$A$1:$I$89,5,0)</f>
        <v>5.5865712056402117E-14</v>
      </c>
      <c r="CA172" s="13">
        <f t="shared" si="170"/>
        <v>8.9811031843713517E-13</v>
      </c>
      <c r="CB172" s="20">
        <f t="shared" si="171"/>
        <v>1.6615082531095774E-12</v>
      </c>
      <c r="CC172" s="59">
        <f t="shared" si="119"/>
        <v>293.33333333333496</v>
      </c>
      <c r="CD172" s="59">
        <f ca="1">AVERAGE(OFFSET($CC$3,0,0,'Données projet'!$E$12+1,1))-AVERAGE(OFFSET($H$3,0,0,'Données projet'!$E$12+1,1))</f>
        <v>188.589895905567</v>
      </c>
      <c r="CE172" s="59">
        <f t="shared" si="148"/>
        <v>218.98894871653943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9.299750603106606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6.0937065669235674E-11</v>
      </c>
      <c r="CN172" s="22">
        <f t="shared" si="172"/>
        <v>9.2997506031675439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1">
        <f t="shared" si="140"/>
        <v>32.755730870217128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67">
        <f t="shared" si="110"/>
        <v>530.80453126562747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265.44504059292035</v>
      </c>
      <c r="T173" s="59">
        <f t="shared" si="142"/>
        <v>272.02069798702723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22.462777731200244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1.2421134154985523E-9</v>
      </c>
      <c r="AC173" s="22">
        <f t="shared" si="163"/>
        <v>22.462777732442358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71.716690190721977</v>
      </c>
      <c r="AO173" s="59">
        <f t="shared" si="144"/>
        <v>388.00050527441761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4.6418160050331192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4.6418160050331192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71.716690190721977</v>
      </c>
      <c r="BJ173" s="59">
        <f t="shared" si="146"/>
        <v>388.00050527441761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4.6418160050331192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4.6418160050331192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8.5265128291212022E-14</v>
      </c>
      <c r="BZ173" s="13">
        <f>BY173*VLOOKUP('Données projet'!$B$12,Paramètres!$A$1:$I$89,3,0)*VLOOKUP('Données projet'!$B$12,Paramètres!$A$1:$I$89,5,0)</f>
        <v>5.5865712056402117E-14</v>
      </c>
      <c r="CA173" s="13">
        <f t="shared" si="170"/>
        <v>8.9811031843713517E-13</v>
      </c>
      <c r="CB173" s="20">
        <f t="shared" si="171"/>
        <v>1.6615082531095774E-12</v>
      </c>
      <c r="CC173" s="59">
        <f t="shared" si="119"/>
        <v>293.33333333333496</v>
      </c>
      <c r="CD173" s="59">
        <f ca="1">AVERAGE(OFFSET($CC$3,0,0,'Données projet'!$E$12+1,1))-AVERAGE(OFFSET($H$3,0,0,'Données projet'!$E$12+1,1))</f>
        <v>188.589895905567</v>
      </c>
      <c r="CE173" s="59">
        <f t="shared" si="148"/>
        <v>218.98894871653943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9.1173881660674621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4.3089012360326507E-11</v>
      </c>
      <c r="CN173" s="22">
        <f t="shared" si="172"/>
        <v>9.1173881661105511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1">
        <f t="shared" si="140"/>
        <v>32.925925439106763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67">
        <f t="shared" si="110"/>
        <v>532.37794347311024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265.44504059292035</v>
      </c>
      <c r="T174" s="59">
        <f t="shared" si="142"/>
        <v>272.02069798702723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22.022296360832968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8.7830681910181E-10</v>
      </c>
      <c r="AC174" s="22">
        <f t="shared" si="163"/>
        <v>22.022296361711273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71.716690190721977</v>
      </c>
      <c r="AO174" s="59">
        <f t="shared" si="144"/>
        <v>388.00050527441761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4.5507928244026221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4.5507928244026221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71.716690190721977</v>
      </c>
      <c r="BJ174" s="59">
        <f t="shared" si="146"/>
        <v>388.00050527441761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4.5507928244026221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4.5507928244026221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8.5265128291212022E-14</v>
      </c>
      <c r="BZ174" s="13">
        <f>BY174*VLOOKUP('Données projet'!$B$12,Paramètres!$A$1:$I$89,3,0)*VLOOKUP('Données projet'!$B$12,Paramètres!$A$1:$I$89,5,0)</f>
        <v>5.5865712056402117E-14</v>
      </c>
      <c r="CA174" s="13">
        <f t="shared" si="170"/>
        <v>8.9811031843713517E-13</v>
      </c>
      <c r="CB174" s="20">
        <f t="shared" si="171"/>
        <v>1.6615082531095774E-12</v>
      </c>
      <c r="CC174" s="59">
        <f t="shared" si="119"/>
        <v>293.33333333333496</v>
      </c>
      <c r="CD174" s="59">
        <f ca="1">AVERAGE(OFFSET($CC$3,0,0,'Données projet'!$E$12+1,1))-AVERAGE(OFFSET($H$3,0,0,'Données projet'!$E$12+1,1))</f>
        <v>188.589895905567</v>
      </c>
      <c r="CE174" s="59">
        <f t="shared" si="148"/>
        <v>218.98894871653943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8.9386017451885511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3.0468532834617837E-11</v>
      </c>
      <c r="CN174" s="22">
        <f t="shared" si="172"/>
        <v>8.9386017452190192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1">
        <f t="shared" si="140"/>
        <v>33.096004194977731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67">
        <f t="shared" si="110"/>
        <v>533.95115397291886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265.44504059292035</v>
      </c>
      <c r="T175" s="59">
        <f t="shared" si="142"/>
        <v>272.02069798702723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21.590452561471487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6.2105670774927614E-10</v>
      </c>
      <c r="AC175" s="22">
        <f t="shared" si="163"/>
        <v>21.590452562092544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71.716690190721977</v>
      </c>
      <c r="AO175" s="59">
        <f t="shared" si="144"/>
        <v>388.00050527441761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4.4615545528256311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4.4615545528256311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71.716690190721977</v>
      </c>
      <c r="BJ175" s="59">
        <f t="shared" si="146"/>
        <v>388.00050527441761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4.4615545528256311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4.4615545528256311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8.5265128291212022E-14</v>
      </c>
      <c r="BZ175" s="13">
        <f>BY175*VLOOKUP('Données projet'!$B$12,Paramètres!$A$1:$I$89,3,0)*VLOOKUP('Données projet'!$B$12,Paramètres!$A$1:$I$89,5,0)</f>
        <v>5.5865712056402117E-14</v>
      </c>
      <c r="CA175" s="13">
        <f t="shared" si="170"/>
        <v>8.9811031843713517E-13</v>
      </c>
      <c r="CB175" s="20">
        <f t="shared" si="171"/>
        <v>1.6615082531095774E-12</v>
      </c>
      <c r="CC175" s="59">
        <f t="shared" si="119"/>
        <v>293.33333333333496</v>
      </c>
      <c r="CD175" s="59">
        <f ca="1">AVERAGE(OFFSET($CC$3,0,0,'Données projet'!$E$12+1,1))-AVERAGE(OFFSET($H$3,0,0,'Données projet'!$E$12+1,1))</f>
        <v>188.589895905567</v>
      </c>
      <c r="CE175" s="59">
        <f t="shared" si="148"/>
        <v>218.98894871653943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8.763321216974127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2.1544506180163253E-11</v>
      </c>
      <c r="CN175" s="22">
        <f t="shared" si="172"/>
        <v>8.7633212169956707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1">
        <f t="shared" si="140"/>
        <v>33.265967889291609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67">
        <f t="shared" si="110"/>
        <v>535.52416407384874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265.44504059292035</v>
      </c>
      <c r="T176" s="59">
        <f t="shared" si="142"/>
        <v>272.02069798702723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21.167076955616775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4.39153409550905E-10</v>
      </c>
      <c r="AC176" s="22">
        <f t="shared" si="163"/>
        <v>21.167076956055929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71.716690190721977</v>
      </c>
      <c r="AO176" s="59">
        <f t="shared" si="144"/>
        <v>388.00050527441761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4.374066189324294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4.374066189324294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71.716690190721977</v>
      </c>
      <c r="BJ176" s="59">
        <f t="shared" si="146"/>
        <v>388.00050527441761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4.374066189324294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4.374066189324294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8.5265128291212022E-14</v>
      </c>
      <c r="BZ176" s="13">
        <f>BY176*VLOOKUP('Données projet'!$B$12,Paramètres!$A$1:$I$89,3,0)*VLOOKUP('Données projet'!$B$12,Paramètres!$A$1:$I$89,5,0)</f>
        <v>5.5865712056402117E-14</v>
      </c>
      <c r="CA176" s="13">
        <f t="shared" si="170"/>
        <v>8.9811031843713517E-13</v>
      </c>
      <c r="CB176" s="20">
        <f t="shared" si="171"/>
        <v>1.6615082531095774E-12</v>
      </c>
      <c r="CC176" s="59">
        <f t="shared" si="119"/>
        <v>293.33333333333496</v>
      </c>
      <c r="CD176" s="59">
        <f ca="1">AVERAGE(OFFSET($CC$3,0,0,'Données projet'!$E$12+1,1))-AVERAGE(OFFSET($H$3,0,0,'Données projet'!$E$12+1,1))</f>
        <v>188.589895905567</v>
      </c>
      <c r="CE176" s="59">
        <f t="shared" si="148"/>
        <v>218.98894871653943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8.5914778330074224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1.5234266417308919E-11</v>
      </c>
      <c r="CN176" s="22">
        <f t="shared" si="172"/>
        <v>8.5914778330226564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1">
        <f t="shared" si="140"/>
        <v>33.435817264319738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67">
        <f t="shared" si="110"/>
        <v>537.0969750686894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265.44504059292035</v>
      </c>
      <c r="T177" s="59">
        <f t="shared" si="142"/>
        <v>272.02069798702723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20.752003487159254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3.1052835387463807E-10</v>
      </c>
      <c r="AC177" s="22">
        <f t="shared" si="163"/>
        <v>20.752003487469782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71.716690190721977</v>
      </c>
      <c r="AO177" s="59">
        <f t="shared" si="144"/>
        <v>388.00050527441761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4.2882934192685855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4.2882934192685855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71.716690190721977</v>
      </c>
      <c r="BJ177" s="59">
        <f t="shared" si="146"/>
        <v>388.00050527441761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4.2882934192685855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4.2882934192685855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8.5265128291212022E-14</v>
      </c>
      <c r="BZ177" s="13">
        <f>BY177*VLOOKUP('Données projet'!$B$12,Paramètres!$A$1:$I$89,3,0)*VLOOKUP('Données projet'!$B$12,Paramètres!$A$1:$I$89,5,0)</f>
        <v>5.5865712056402117E-14</v>
      </c>
      <c r="CA177" s="13">
        <f t="shared" si="170"/>
        <v>8.9811031843713517E-13</v>
      </c>
      <c r="CB177" s="20">
        <f t="shared" si="171"/>
        <v>1.6615082531095774E-12</v>
      </c>
      <c r="CC177" s="59">
        <f t="shared" si="119"/>
        <v>293.33333333333496</v>
      </c>
      <c r="CD177" s="59">
        <f ca="1">AVERAGE(OFFSET($CC$3,0,0,'Données projet'!$E$12+1,1))-AVERAGE(OFFSET($H$3,0,0,'Données projet'!$E$12+1,1))</f>
        <v>188.589895905567</v>
      </c>
      <c r="CE177" s="59">
        <f t="shared" si="148"/>
        <v>218.98894871653943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8.4230041929861894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1.0772253090081627E-11</v>
      </c>
      <c r="CN177" s="22">
        <f t="shared" si="172"/>
        <v>8.4230041929969612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1">
        <f t="shared" si="140"/>
        <v>33.605553053307958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67">
        <f t="shared" si="110"/>
        <v>538.66958823451057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265.44504059292035</v>
      </c>
      <c r="T178" s="59">
        <f t="shared" si="142"/>
        <v>272.02069798702723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20.345069356248366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2.195767047754525E-10</v>
      </c>
      <c r="AC178" s="22">
        <f t="shared" si="163"/>
        <v>20.345069356467942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71.716690190721977</v>
      </c>
      <c r="AO178" s="59">
        <f t="shared" si="144"/>
        <v>388.00050527441761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4.2042026009174451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4.2042026009174451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71.716690190721977</v>
      </c>
      <c r="BJ178" s="59">
        <f t="shared" si="146"/>
        <v>388.00050527441761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4.2042026009174451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4.2042026009174451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8.5265128291212022E-14</v>
      </c>
      <c r="BZ178" s="13">
        <f>BY178*VLOOKUP('Données projet'!$B$12,Paramètres!$A$1:$I$89,3,0)*VLOOKUP('Données projet'!$B$12,Paramètres!$A$1:$I$89,5,0)</f>
        <v>5.5865712056402117E-14</v>
      </c>
      <c r="CA178" s="13">
        <f t="shared" si="170"/>
        <v>8.9811031843713517E-13</v>
      </c>
      <c r="CB178" s="20">
        <f t="shared" si="171"/>
        <v>1.6615082531095774E-12</v>
      </c>
      <c r="CC178" s="59">
        <f t="shared" si="119"/>
        <v>293.33333333333496</v>
      </c>
      <c r="CD178" s="59">
        <f ca="1">AVERAGE(OFFSET($CC$3,0,0,'Données projet'!$E$12+1,1))-AVERAGE(OFFSET($H$3,0,0,'Données projet'!$E$12+1,1))</f>
        <v>188.589895905567</v>
      </c>
      <c r="CE178" s="59">
        <f t="shared" si="148"/>
        <v>218.98894871653943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8.2578342182869999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7.6171332086544593E-12</v>
      </c>
      <c r="CN178" s="22">
        <f t="shared" si="172"/>
        <v>8.2578342182946169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1">
        <f t="shared" si="140"/>
        <v>33.7751759806373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67">
        <f t="shared" si="110"/>
        <v>540.24200483294248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265.44504059292035</v>
      </c>
      <c r="T179" s="59">
        <f t="shared" si="142"/>
        <v>272.02069798702723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19.946114955439331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1.5526417693731903E-10</v>
      </c>
      <c r="AC179" s="22">
        <f t="shared" si="163"/>
        <v>19.946114955594595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71.716690190721977</v>
      </c>
      <c r="AO179" s="59">
        <f t="shared" si="144"/>
        <v>388.00050527441761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4.1217607522238362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4.1217607522238362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71.716690190721977</v>
      </c>
      <c r="BJ179" s="59">
        <f t="shared" si="146"/>
        <v>388.00050527441761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4.1217607522238362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4.1217607522238362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8.5265128291212022E-14</v>
      </c>
      <c r="BZ179" s="13">
        <f>BY179*VLOOKUP('Données projet'!$B$12,Paramètres!$A$1:$I$89,3,0)*VLOOKUP('Données projet'!$B$12,Paramètres!$A$1:$I$89,5,0)</f>
        <v>5.5865712056402117E-14</v>
      </c>
      <c r="CA179" s="13">
        <f t="shared" si="170"/>
        <v>8.9811031843713517E-13</v>
      </c>
      <c r="CB179" s="20">
        <f t="shared" si="171"/>
        <v>1.6615082531095774E-12</v>
      </c>
      <c r="CC179" s="59">
        <f t="shared" si="119"/>
        <v>293.33333333333496</v>
      </c>
      <c r="CD179" s="59">
        <f ca="1">AVERAGE(OFFSET($CC$3,0,0,'Données projet'!$E$12+1,1))-AVERAGE(OFFSET($H$3,0,0,'Données projet'!$E$12+1,1))</f>
        <v>188.589895905567</v>
      </c>
      <c r="CE179" s="59">
        <f t="shared" si="148"/>
        <v>218.98894871653943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8.0959031260479239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5.3861265450408133E-12</v>
      </c>
      <c r="CN179" s="22">
        <f t="shared" si="172"/>
        <v>8.0959031260533099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1">
        <f t="shared" si="140"/>
        <v>33.944686761980805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67">
        <f t="shared" si="110"/>
        <v>541.81422611044923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265.44504059292035</v>
      </c>
      <c r="T180" s="59">
        <f t="shared" si="142"/>
        <v>272.02069798702723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19.554983807092004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1.0978835238772625E-10</v>
      </c>
      <c r="AC180" s="22">
        <f t="shared" si="163"/>
        <v>19.554983807201793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71.716690190721977</v>
      </c>
      <c r="AO180" s="59">
        <f t="shared" si="144"/>
        <v>388.00050527441761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4.0409355378985463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4.0409355378985463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71.716690190721977</v>
      </c>
      <c r="BJ180" s="59">
        <f t="shared" si="146"/>
        <v>388.00050527441761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4.0409355378985463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4.0409355378985463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8.5265128291212022E-14</v>
      </c>
      <c r="BZ180" s="13">
        <f>BY180*VLOOKUP('Données projet'!$B$12,Paramètres!$A$1:$I$89,3,0)*VLOOKUP('Données projet'!$B$12,Paramètres!$A$1:$I$89,5,0)</f>
        <v>5.5865712056402117E-14</v>
      </c>
      <c r="CA180" s="13">
        <f t="shared" si="170"/>
        <v>8.9811031843713517E-13</v>
      </c>
      <c r="CB180" s="20">
        <f t="shared" si="171"/>
        <v>1.6615082531095774E-12</v>
      </c>
      <c r="CC180" s="59">
        <f t="shared" si="119"/>
        <v>293.33333333333496</v>
      </c>
      <c r="CD180" s="59">
        <f ca="1">AVERAGE(OFFSET($CC$3,0,0,'Données projet'!$E$12+1,1))-AVERAGE(OFFSET($H$3,0,0,'Données projet'!$E$12+1,1))</f>
        <v>188.589895905567</v>
      </c>
      <c r="CE180" s="59">
        <f t="shared" si="148"/>
        <v>218.98894871653943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7.9371474037594432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3.8085666043272296E-12</v>
      </c>
      <c r="CN180" s="22">
        <f t="shared" si="172"/>
        <v>7.9371474037632517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1">
        <f t="shared" si="140"/>
        <v>34.114086104456895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67">
        <f t="shared" si="110"/>
        <v>543.38625329859508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265.44504059292035</v>
      </c>
      <c r="T181" s="59">
        <f t="shared" si="142"/>
        <v>272.02069798702723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19.171522501997323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7.7632088468659517E-11</v>
      </c>
      <c r="AC181" s="22">
        <f t="shared" si="163"/>
        <v>19.171522502074954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71.716690190721977</v>
      </c>
      <c r="AO181" s="59">
        <f t="shared" si="144"/>
        <v>388.00050527441761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3.9616952567276624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3.9616952567276624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71.716690190721977</v>
      </c>
      <c r="BJ181" s="59">
        <f t="shared" si="146"/>
        <v>388.00050527441761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3.9616952567276624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3.9616952567276624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8.5265128291212022E-14</v>
      </c>
      <c r="BZ181" s="13">
        <f>BY181*VLOOKUP('Données projet'!$B$12,Paramètres!$A$1:$I$89,3,0)*VLOOKUP('Données projet'!$B$12,Paramètres!$A$1:$I$89,5,0)</f>
        <v>5.5865712056402117E-14</v>
      </c>
      <c r="CA181" s="13">
        <f t="shared" si="170"/>
        <v>8.9811031843713517E-13</v>
      </c>
      <c r="CB181" s="20">
        <f t="shared" si="171"/>
        <v>1.6615082531095774E-12</v>
      </c>
      <c r="CC181" s="59">
        <f t="shared" si="119"/>
        <v>293.33333333333496</v>
      </c>
      <c r="CD181" s="59">
        <f ca="1">AVERAGE(OFFSET($CC$3,0,0,'Données projet'!$E$12+1,1))-AVERAGE(OFFSET($H$3,0,0,'Données projet'!$E$12+1,1))</f>
        <v>188.589895905567</v>
      </c>
      <c r="CE181" s="59">
        <f t="shared" si="148"/>
        <v>218.98894871653943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7.7815047843536096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2.6930632725204067E-12</v>
      </c>
      <c r="CN181" s="22">
        <f t="shared" si="172"/>
        <v>7.7815047843563026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1">
        <f t="shared" si="140"/>
        <v>34.283374706778957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67">
        <f t="shared" si="110"/>
        <v>544.9580876143059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265.44504059292035</v>
      </c>
      <c r="T182" s="59">
        <f t="shared" si="142"/>
        <v>272.02069798702723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18.795580639207248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5.4894176193863125E-11</v>
      </c>
      <c r="AC182" s="22">
        <f t="shared" si="163"/>
        <v>18.795580639262141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71.716690190721977</v>
      </c>
      <c r="AO182" s="59">
        <f t="shared" si="144"/>
        <v>388.00050527441761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3.8840088291387405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3.8840088291387405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71.716690190721977</v>
      </c>
      <c r="BJ182" s="59">
        <f t="shared" si="146"/>
        <v>388.00050527441761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3.8840088291387405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3.8840088291387405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8.5265128291212022E-14</v>
      </c>
      <c r="BZ182" s="13">
        <f>BY182*VLOOKUP('Données projet'!$B$12,Paramètres!$A$1:$I$89,3,0)*VLOOKUP('Données projet'!$B$12,Paramètres!$A$1:$I$89,5,0)</f>
        <v>5.5865712056402117E-14</v>
      </c>
      <c r="CA182" s="13">
        <f t="shared" si="170"/>
        <v>8.9811031843713517E-13</v>
      </c>
      <c r="CB182" s="20">
        <f t="shared" si="171"/>
        <v>1.6615082531095774E-12</v>
      </c>
      <c r="CC182" s="59">
        <f t="shared" si="119"/>
        <v>293.33333333333496</v>
      </c>
      <c r="CD182" s="59">
        <f ca="1">AVERAGE(OFFSET($CC$3,0,0,'Données projet'!$E$12+1,1))-AVERAGE(OFFSET($H$3,0,0,'Données projet'!$E$12+1,1))</f>
        <v>188.589895905567</v>
      </c>
      <c r="CE182" s="59">
        <f t="shared" si="148"/>
        <v>218.98894871653943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7.6289142217817005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1.9042833021636148E-12</v>
      </c>
      <c r="CN182" s="22">
        <f t="shared" si="172"/>
        <v>7.6289142217836048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1">
        <f t="shared" si="140"/>
        <v>34.452553259401881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67">
        <f t="shared" si="110"/>
        <v>546.52973026012432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265.44504059292035</v>
      </c>
      <c r="T183" s="59">
        <f t="shared" si="142"/>
        <v>272.02069798702723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18.427010767044592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3.8816044234329759E-11</v>
      </c>
      <c r="AC183" s="22">
        <f t="shared" si="163"/>
        <v>18.427010767083409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71.716690190721977</v>
      </c>
      <c r="AO183" s="59">
        <f t="shared" si="144"/>
        <v>388.00050527441761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3.807845785010795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3.807845785010795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71.716690190721977</v>
      </c>
      <c r="BJ183" s="59">
        <f t="shared" si="146"/>
        <v>388.00050527441761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3.807845785010795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3.807845785010795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8.5265128291212022E-14</v>
      </c>
      <c r="BZ183" s="13">
        <f>BY183*VLOOKUP('Données projet'!$B$12,Paramètres!$A$1:$I$89,3,0)*VLOOKUP('Données projet'!$B$12,Paramètres!$A$1:$I$89,5,0)</f>
        <v>5.5865712056402117E-14</v>
      </c>
      <c r="CA183" s="13">
        <f t="shared" si="170"/>
        <v>8.9811031843713517E-13</v>
      </c>
      <c r="CB183" s="20">
        <f t="shared" si="171"/>
        <v>1.6615082531095774E-12</v>
      </c>
      <c r="CC183" s="59">
        <f t="shared" si="119"/>
        <v>293.33333333333496</v>
      </c>
      <c r="CD183" s="59">
        <f ca="1">AVERAGE(OFFSET($CC$3,0,0,'Données projet'!$E$12+1,1))-AVERAGE(OFFSET($H$3,0,0,'Données projet'!$E$12+1,1))</f>
        <v>188.589895905567</v>
      </c>
      <c r="CE183" s="59">
        <f t="shared" si="148"/>
        <v>218.98894871653943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7.4793158670707731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1.3465316362602033E-12</v>
      </c>
      <c r="CN183" s="22">
        <f t="shared" si="172"/>
        <v>7.4793158670721196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1">
        <f t="shared" si="140"/>
        <v>34.621622444664645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67">
        <f t="shared" si="110"/>
        <v>548.10118242445697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265.44504059292035</v>
      </c>
      <c r="T184" s="59">
        <f t="shared" si="142"/>
        <v>272.02069798702723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18.06566832526962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2.7447088096931563E-11</v>
      </c>
      <c r="AC184" s="22">
        <f t="shared" si="163"/>
        <v>18.065668325297068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71.716690190721977</v>
      </c>
      <c r="AO184" s="59">
        <f t="shared" si="144"/>
        <v>388.00050527441761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3.7331762517233287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3.7331762517233287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71.716690190721977</v>
      </c>
      <c r="BJ184" s="59">
        <f t="shared" si="146"/>
        <v>388.00050527441761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3.7331762517233287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3.7331762517233287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8.5265128291212022E-14</v>
      </c>
      <c r="BZ184" s="13">
        <f>BY184*VLOOKUP('Données projet'!$B$12,Paramètres!$A$1:$I$89,3,0)*VLOOKUP('Données projet'!$B$12,Paramètres!$A$1:$I$89,5,0)</f>
        <v>5.5865712056402117E-14</v>
      </c>
      <c r="CA184" s="13">
        <f t="shared" si="170"/>
        <v>8.9811031843713517E-13</v>
      </c>
      <c r="CB184" s="20">
        <f t="shared" si="171"/>
        <v>1.6615082531095774E-12</v>
      </c>
      <c r="CC184" s="59">
        <f t="shared" si="119"/>
        <v>293.33333333333496</v>
      </c>
      <c r="CD184" s="59">
        <f ca="1">AVERAGE(OFFSET($CC$3,0,0,'Données projet'!$E$12+1,1))-AVERAGE(OFFSET($H$3,0,0,'Données projet'!$E$12+1,1))</f>
        <v>188.589895905567</v>
      </c>
      <c r="CE184" s="59">
        <f t="shared" si="148"/>
        <v>218.98894871653943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7.3326510448497411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9.5214165108180741E-13</v>
      </c>
      <c r="CN184" s="22">
        <f t="shared" si="172"/>
        <v>7.3326510448506932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1">
        <f t="shared" si="140"/>
        <v>34.790582936930399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67">
        <f t="shared" si="110"/>
        <v>549.67244528181982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265.44504059292035</v>
      </c>
      <c r="T185" s="59">
        <f t="shared" si="142"/>
        <v>272.02069798702723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17.711411588380727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1.9408022117164879E-11</v>
      </c>
      <c r="AC185" s="22">
        <f t="shared" si="163"/>
        <v>17.711411588400136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71.716690190721977</v>
      </c>
      <c r="AO185" s="59">
        <f t="shared" si="144"/>
        <v>388.00050527441761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3.6599709424397115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3.6599709424397115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71.716690190721977</v>
      </c>
      <c r="BJ185" s="59">
        <f t="shared" si="146"/>
        <v>388.00050527441761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3.6599709424397115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3.6599709424397115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8.5265128291212022E-14</v>
      </c>
      <c r="BZ185" s="13">
        <f>BY185*VLOOKUP('Données projet'!$B$12,Paramètres!$A$1:$I$89,3,0)*VLOOKUP('Données projet'!$B$12,Paramètres!$A$1:$I$89,5,0)</f>
        <v>5.5865712056402117E-14</v>
      </c>
      <c r="CA185" s="13">
        <f t="shared" si="170"/>
        <v>8.9811031843713517E-13</v>
      </c>
      <c r="CB185" s="20">
        <f t="shared" si="171"/>
        <v>1.6615082531095774E-12</v>
      </c>
      <c r="CC185" s="59">
        <f t="shared" si="119"/>
        <v>293.33333333333496</v>
      </c>
      <c r="CD185" s="59">
        <f ca="1">AVERAGE(OFFSET($CC$3,0,0,'Données projet'!$E$12+1,1))-AVERAGE(OFFSET($H$3,0,0,'Données projet'!$E$12+1,1))</f>
        <v>188.589895905567</v>
      </c>
      <c r="CE185" s="59">
        <f t="shared" si="148"/>
        <v>218.98894871653943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7.1888622303357543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6.7326581813010167E-13</v>
      </c>
      <c r="CN185" s="22">
        <f t="shared" si="172"/>
        <v>7.1888622303364276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1">
        <f t="shared" si="140"/>
        <v>34.959435402722669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67">
        <f t="shared" si="110"/>
        <v>551.24351999307464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265.44504059292035</v>
      </c>
      <c r="T186" s="59">
        <f t="shared" si="142"/>
        <v>272.02069798702723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17.364101610026953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1.3723544048465781E-11</v>
      </c>
      <c r="AC186" s="22">
        <f t="shared" si="163"/>
        <v>17.364101610040677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71.716690190721977</v>
      </c>
      <c r="AO186" s="59">
        <f t="shared" si="144"/>
        <v>388.00050527441761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3.5882011446203164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3.5882011446203164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71.716690190721977</v>
      </c>
      <c r="BJ186" s="59">
        <f t="shared" si="146"/>
        <v>388.00050527441761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3.5882011446203164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3.5882011446203164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8.5265128291212022E-14</v>
      </c>
      <c r="BZ186" s="13">
        <f>BY186*VLOOKUP('Données projet'!$B$12,Paramètres!$A$1:$I$89,3,0)*VLOOKUP('Données projet'!$B$12,Paramètres!$A$1:$I$89,5,0)</f>
        <v>5.5865712056402117E-14</v>
      </c>
      <c r="CA186" s="13">
        <f t="shared" si="170"/>
        <v>8.9811031843713517E-13</v>
      </c>
      <c r="CB186" s="20">
        <f t="shared" si="171"/>
        <v>1.6615082531095774E-12</v>
      </c>
      <c r="CC186" s="59">
        <f t="shared" si="119"/>
        <v>293.33333333333496</v>
      </c>
      <c r="CD186" s="59">
        <f ca="1">AVERAGE(OFFSET($CC$3,0,0,'Données projet'!$E$12+1,1))-AVERAGE(OFFSET($H$3,0,0,'Données projet'!$E$12+1,1))</f>
        <v>188.589895905567</v>
      </c>
      <c r="CE186" s="59">
        <f t="shared" si="148"/>
        <v>218.98894871653943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7.0478930267718702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4.760708255409037E-13</v>
      </c>
      <c r="CN186" s="22">
        <f t="shared" si="172"/>
        <v>7.0478930267723463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1">
        <f t="shared" si="140"/>
        <v>35.12818050085901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67">
        <f t="shared" si="110"/>
        <v>552.81440770566223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265.44504059292035</v>
      </c>
      <c r="T187" s="59">
        <f t="shared" si="142"/>
        <v>272.02069798702723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17.023602168510529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9.7040110585824397E-12</v>
      </c>
      <c r="AC187" s="22">
        <f t="shared" si="163"/>
        <v>17.023602168520231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71.716690190721977</v>
      </c>
      <c r="AO187" s="59">
        <f t="shared" si="144"/>
        <v>388.00050527441761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3.5178387087609053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3.5178387087609053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71.716690190721977</v>
      </c>
      <c r="BJ187" s="59">
        <f t="shared" si="146"/>
        <v>388.00050527441761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3.5178387087609053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3.5178387087609053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8.5265128291212022E-14</v>
      </c>
      <c r="BZ187" s="13">
        <f>BY187*VLOOKUP('Données projet'!$B$12,Paramètres!$A$1:$I$89,3,0)*VLOOKUP('Données projet'!$B$12,Paramètres!$A$1:$I$89,5,0)</f>
        <v>5.5865712056402117E-14</v>
      </c>
      <c r="CA187" s="13">
        <f t="shared" si="170"/>
        <v>8.9811031843713517E-13</v>
      </c>
      <c r="CB187" s="20">
        <f t="shared" si="171"/>
        <v>1.6615082531095774E-12</v>
      </c>
      <c r="CC187" s="59">
        <f t="shared" si="119"/>
        <v>293.33333333333496</v>
      </c>
      <c r="CD187" s="59">
        <f ca="1">AVERAGE(OFFSET($CC$3,0,0,'Données projet'!$E$12+1,1))-AVERAGE(OFFSET($H$3,0,0,'Données projet'!$E$12+1,1))</f>
        <v>188.589895905567</v>
      </c>
      <c r="CE187" s="59">
        <f t="shared" si="148"/>
        <v>218.98894871653943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6.9096881433071502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3.3663290906505083E-13</v>
      </c>
      <c r="CN187" s="22">
        <f t="shared" si="172"/>
        <v>6.9096881433074868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1">
        <f t="shared" si="140"/>
        <v>35.296818882581405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67">
        <f t="shared" si="110"/>
        <v>554.38510955382867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265.44504059292035</v>
      </c>
      <c r="T188" s="59">
        <f t="shared" si="142"/>
        <v>272.02069798702723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16.689779713358089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6.8617720242328907E-12</v>
      </c>
      <c r="AC188" s="22">
        <f t="shared" si="163"/>
        <v>16.689779713364949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71.716690190721977</v>
      </c>
      <c r="AO188" s="59">
        <f t="shared" si="144"/>
        <v>388.00050527441761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3.4488560373518489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3.4488560373518489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71.716690190721977</v>
      </c>
      <c r="BJ188" s="59">
        <f t="shared" si="146"/>
        <v>388.00050527441761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3.4488560373518489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3.4488560373518489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8.5265128291212022E-14</v>
      </c>
      <c r="BZ188" s="13">
        <f>BY188*VLOOKUP('Données projet'!$B$12,Paramètres!$A$1:$I$89,3,0)*VLOOKUP('Données projet'!$B$12,Paramètres!$A$1:$I$89,5,0)</f>
        <v>5.5865712056402117E-14</v>
      </c>
      <c r="CA188" s="13">
        <f t="shared" si="170"/>
        <v>8.9811031843713517E-13</v>
      </c>
      <c r="CB188" s="20">
        <f t="shared" si="171"/>
        <v>1.6615082531095774E-12</v>
      </c>
      <c r="CC188" s="59">
        <f t="shared" si="119"/>
        <v>293.33333333333496</v>
      </c>
      <c r="CD188" s="59">
        <f ca="1">AVERAGE(OFFSET($CC$3,0,0,'Données projet'!$E$12+1,1))-AVERAGE(OFFSET($H$3,0,0,'Données projet'!$E$12+1,1))</f>
        <v>188.589895905567</v>
      </c>
      <c r="CE188" s="59">
        <f t="shared" si="148"/>
        <v>218.98894871653943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6.774193373310518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2.3803541277045185E-13</v>
      </c>
      <c r="CN188" s="22">
        <f t="shared" si="172"/>
        <v>6.774193373310756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1">
        <f t="shared" si="140"/>
        <v>35.465351191683915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67">
        <f t="shared" si="110"/>
        <v>555.95562665884893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265.44504059292035</v>
      </c>
      <c r="T189" s="59">
        <f t="shared" si="142"/>
        <v>272.02069798702723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16.362503312939594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4.8520055292912198E-12</v>
      </c>
      <c r="AC189" s="22">
        <f t="shared" si="163"/>
        <v>16.362503312944447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71.716690190721977</v>
      </c>
      <c r="AO189" s="59">
        <f t="shared" si="144"/>
        <v>388.00050527441761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3.3812260740538491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3.3812260740538491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71.716690190721977</v>
      </c>
      <c r="BJ189" s="59">
        <f t="shared" si="146"/>
        <v>388.00050527441761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3.3812260740538491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3.3812260740538491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8.5265128291212022E-14</v>
      </c>
      <c r="BZ189" s="13">
        <f>BY189*VLOOKUP('Données projet'!$B$12,Paramètres!$A$1:$I$89,3,0)*VLOOKUP('Données projet'!$B$12,Paramètres!$A$1:$I$89,5,0)</f>
        <v>5.5865712056402117E-14</v>
      </c>
      <c r="CA189" s="13">
        <f t="shared" si="170"/>
        <v>8.9811031843713517E-13</v>
      </c>
      <c r="CB189" s="20">
        <f t="shared" si="171"/>
        <v>1.6615082531095774E-12</v>
      </c>
      <c r="CC189" s="59">
        <f t="shared" si="119"/>
        <v>293.33333333333496</v>
      </c>
      <c r="CD189" s="59">
        <f ca="1">AVERAGE(OFFSET($CC$3,0,0,'Données projet'!$E$12+1,1))-AVERAGE(OFFSET($H$3,0,0,'Données projet'!$E$12+1,1))</f>
        <v>188.589895905567</v>
      </c>
      <c r="CE189" s="59">
        <f t="shared" si="148"/>
        <v>218.98894871653943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6.6413555731098706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1.6831645453252542E-13</v>
      </c>
      <c r="CN189" s="22">
        <f t="shared" si="172"/>
        <v>6.6413555731100393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1">
        <f t="shared" si="140"/>
        <v>35.633778064637305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67">
        <f t="shared" si="110"/>
        <v>557.52596012924278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265.44504059292035</v>
      </c>
      <c r="T190" s="59">
        <f t="shared" si="142"/>
        <v>272.02069798702723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16.041644603114413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3.4308860121164453E-12</v>
      </c>
      <c r="AC190" s="22">
        <f t="shared" si="163"/>
        <v>16.041644603117845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71.716690190721977</v>
      </c>
      <c r="AO190" s="59">
        <f t="shared" si="144"/>
        <v>388.00050527441761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3.3149222930859188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3.3149222930859188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71.716690190721977</v>
      </c>
      <c r="BJ190" s="59">
        <f t="shared" si="146"/>
        <v>388.00050527441761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3.3149222930859188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3.3149222930859188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8.5265128291212022E-14</v>
      </c>
      <c r="BZ190" s="13">
        <f>BY190*VLOOKUP('Données projet'!$B$12,Paramètres!$A$1:$I$89,3,0)*VLOOKUP('Données projet'!$B$12,Paramètres!$A$1:$I$89,5,0)</f>
        <v>5.5865712056402117E-14</v>
      </c>
      <c r="CA190" s="13">
        <f t="shared" si="170"/>
        <v>8.9811031843713517E-13</v>
      </c>
      <c r="CB190" s="20">
        <f t="shared" si="171"/>
        <v>1.6615082531095774E-12</v>
      </c>
      <c r="CC190" s="59">
        <f t="shared" si="119"/>
        <v>293.33333333333496</v>
      </c>
      <c r="CD190" s="59">
        <f ca="1">AVERAGE(OFFSET($CC$3,0,0,'Données projet'!$E$12+1,1))-AVERAGE(OFFSET($H$3,0,0,'Données projet'!$E$12+1,1))</f>
        <v>188.589895905567</v>
      </c>
      <c r="CE190" s="59">
        <f t="shared" si="148"/>
        <v>218.98894871653943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6.5111226411480994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1.1901770638522593E-13</v>
      </c>
      <c r="CN190" s="22">
        <f t="shared" si="172"/>
        <v>6.5111226411482184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1">
        <f t="shared" si="140"/>
        <v>35.802100130711267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67">
        <f t="shared" si="110"/>
        <v>559.09611106098828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265.44504059292035</v>
      </c>
      <c r="T191" s="59">
        <f t="shared" si="142"/>
        <v>272.02069798702723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15.727077736884414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2.4260027646456099E-12</v>
      </c>
      <c r="AC191" s="22">
        <f t="shared" si="163"/>
        <v>15.727077736886841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71.716690190721977</v>
      </c>
      <c r="AO191" s="59">
        <f t="shared" si="144"/>
        <v>388.00050527441761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3.2499186888214564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3.2499186888214564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71.716690190721977</v>
      </c>
      <c r="BJ191" s="59">
        <f t="shared" si="146"/>
        <v>388.00050527441761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3.2499186888214564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3.2499186888214564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8.5265128291212022E-14</v>
      </c>
      <c r="BZ191" s="13">
        <f>BY191*VLOOKUP('Données projet'!$B$12,Paramètres!$A$1:$I$89,3,0)*VLOOKUP('Données projet'!$B$12,Paramètres!$A$1:$I$89,5,0)</f>
        <v>5.5865712056402117E-14</v>
      </c>
      <c r="CA191" s="13">
        <f t="shared" si="170"/>
        <v>8.9811031843713517E-13</v>
      </c>
      <c r="CB191" s="20">
        <f t="shared" si="171"/>
        <v>1.6615082531095774E-12</v>
      </c>
      <c r="CC191" s="59">
        <f t="shared" si="119"/>
        <v>293.33333333333496</v>
      </c>
      <c r="CD191" s="59">
        <f ca="1">AVERAGE(OFFSET($CC$3,0,0,'Données projet'!$E$12+1,1))-AVERAGE(OFFSET($H$3,0,0,'Données projet'!$E$12+1,1))</f>
        <v>188.589895905567</v>
      </c>
      <c r="CE191" s="59">
        <f t="shared" si="148"/>
        <v>218.98894871653943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6.3834434975478533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8.4158227266262708E-14</v>
      </c>
      <c r="CN191" s="22">
        <f t="shared" si="172"/>
        <v>6.3834434975479377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1">
        <f t="shared" si="140"/>
        <v>35.970318012093358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67">
        <f t="shared" si="110"/>
        <v>560.6660805377287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265.44504059292035</v>
      </c>
      <c r="T192" s="59">
        <f t="shared" si="142"/>
        <v>272.02069798702723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15.418679335034343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1.7154430060582227E-12</v>
      </c>
      <c r="AC192" s="22">
        <f t="shared" si="163"/>
        <v>15.418679335036058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71.716690190721977</v>
      </c>
      <c r="AO192" s="59">
        <f t="shared" si="144"/>
        <v>388.00050527441761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3.1861897655883364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3.1861897655883364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71.716690190721977</v>
      </c>
      <c r="BJ192" s="59">
        <f t="shared" si="146"/>
        <v>388.00050527441761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3.1861897655883364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3.1861897655883364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8.5265128291212022E-14</v>
      </c>
      <c r="BZ192" s="13">
        <f>BY192*VLOOKUP('Données projet'!$B$12,Paramètres!$A$1:$I$89,3,0)*VLOOKUP('Données projet'!$B$12,Paramètres!$A$1:$I$89,5,0)</f>
        <v>5.5865712056402117E-14</v>
      </c>
      <c r="CA192" s="13">
        <f t="shared" si="170"/>
        <v>8.9811031843713517E-13</v>
      </c>
      <c r="CB192" s="20">
        <f t="shared" si="171"/>
        <v>1.6615082531095774E-12</v>
      </c>
      <c r="CC192" s="59">
        <f t="shared" si="119"/>
        <v>293.33333333333496</v>
      </c>
      <c r="CD192" s="59">
        <f ca="1">AVERAGE(OFFSET($CC$3,0,0,'Données projet'!$E$12+1,1))-AVERAGE(OFFSET($H$3,0,0,'Données projet'!$E$12+1,1))</f>
        <v>188.589895905567</v>
      </c>
      <c r="CE192" s="59">
        <f t="shared" si="148"/>
        <v>218.98894871653943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6.2582680640770203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5.9508853192612963E-14</v>
      </c>
      <c r="CN192" s="22">
        <f t="shared" si="172"/>
        <v>6.2582680640770798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1">
        <f t="shared" si="140"/>
        <v>36.138432324006331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67">
        <f t="shared" si="110"/>
        <v>562.23586963097716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265.44504059292035</v>
      </c>
      <c r="T193" s="59">
        <f t="shared" si="142"/>
        <v>272.02069798702723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15.116328437740099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1.213001382322805E-12</v>
      </c>
      <c r="AC193" s="22">
        <f t="shared" si="163"/>
        <v>15.116328437741313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71.716690190721977</v>
      </c>
      <c r="AO193" s="59">
        <f t="shared" si="144"/>
        <v>388.00050527441761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3.1237105276690129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3.1237105276690129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71.716690190721977</v>
      </c>
      <c r="BJ193" s="59">
        <f t="shared" si="146"/>
        <v>388.00050527441761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3.1237105276690129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3.1237105276690129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8.5265128291212022E-14</v>
      </c>
      <c r="BZ193" s="13">
        <f>BY193*VLOOKUP('Données projet'!$B$12,Paramètres!$A$1:$I$89,3,0)*VLOOKUP('Données projet'!$B$12,Paramètres!$A$1:$I$89,5,0)</f>
        <v>5.5865712056402117E-14</v>
      </c>
      <c r="CA193" s="13">
        <f t="shared" si="170"/>
        <v>8.9811031843713517E-13</v>
      </c>
      <c r="CB193" s="20">
        <f t="shared" si="171"/>
        <v>1.6615082531095774E-12</v>
      </c>
      <c r="CC193" s="59">
        <f t="shared" si="119"/>
        <v>293.33333333333496</v>
      </c>
      <c r="CD193" s="59">
        <f ca="1">AVERAGE(OFFSET($CC$3,0,0,'Données projet'!$E$12+1,1))-AVERAGE(OFFSET($H$3,0,0,'Données projet'!$E$12+1,1))</f>
        <v>188.589895905567</v>
      </c>
      <c r="CE193" s="59">
        <f t="shared" si="148"/>
        <v>218.98894871653943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6.1355472445070749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4.2079113633131354E-14</v>
      </c>
      <c r="CN193" s="22">
        <f t="shared" si="172"/>
        <v>6.1355472445071166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1">
        <f t="shared" si="140"/>
        <v>36.306443674821708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67">
        <f t="shared" si="110"/>
        <v>563.80547940031397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265.44504059292035</v>
      </c>
      <c r="T194" s="59">
        <f t="shared" si="142"/>
        <v>272.02069798702723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14.819906457125958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8.5772150302911133E-13</v>
      </c>
      <c r="AC194" s="22">
        <f t="shared" si="163"/>
        <v>14.819906457126816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71.716690190721977</v>
      </c>
      <c r="AO194" s="59">
        <f t="shared" si="144"/>
        <v>388.00050527441761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3.0624564694967153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3.0624564694967153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71.716690190721977</v>
      </c>
      <c r="BJ194" s="59">
        <f t="shared" si="146"/>
        <v>388.00050527441761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3.0624564694967153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3.0624564694967153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8.5265128291212022E-14</v>
      </c>
      <c r="BZ194" s="13">
        <f>BY194*VLOOKUP('Données projet'!$B$12,Paramètres!$A$1:$I$89,3,0)*VLOOKUP('Données projet'!$B$12,Paramètres!$A$1:$I$89,5,0)</f>
        <v>5.5865712056402117E-14</v>
      </c>
      <c r="CA194" s="13">
        <f t="shared" si="170"/>
        <v>8.9811031843713517E-13</v>
      </c>
      <c r="CB194" s="20">
        <f t="shared" si="171"/>
        <v>1.6615082531095774E-12</v>
      </c>
      <c r="CC194" s="59">
        <f t="shared" si="119"/>
        <v>293.33333333333496</v>
      </c>
      <c r="CD194" s="59">
        <f ca="1">AVERAGE(OFFSET($CC$3,0,0,'Données projet'!$E$12+1,1))-AVERAGE(OFFSET($H$3,0,0,'Données projet'!$E$12+1,1))</f>
        <v>188.589895905567</v>
      </c>
      <c r="CE194" s="59">
        <f t="shared" si="148"/>
        <v>218.98894871653943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6.0152329053565872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2.9754426596306481E-14</v>
      </c>
      <c r="CN194" s="22">
        <f t="shared" si="172"/>
        <v>6.0152329053566174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1">
        <f t="shared" si="140"/>
        <v>36.474352666172038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67">
        <f t="shared" si="110"/>
        <v>565.37491089358252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265.44504059292035</v>
      </c>
      <c r="T195" s="59">
        <f t="shared" si="142"/>
        <v>272.02069798702723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14.529297130752106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6.0650069116140248E-13</v>
      </c>
      <c r="AC195" s="22">
        <f t="shared" si="163"/>
        <v>14.529297130752711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71.716690190721977</v>
      </c>
      <c r="AO195" s="59">
        <f t="shared" si="144"/>
        <v>388.00050527441761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3.0024035660438901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3.0024035660438901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71.716690190721977</v>
      </c>
      <c r="BJ195" s="59">
        <f t="shared" si="146"/>
        <v>388.00050527441761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3.0024035660438901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3.0024035660438901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8.5265128291212022E-14</v>
      </c>
      <c r="BZ195" s="13">
        <f>BY195*VLOOKUP('Données projet'!$B$12,Paramètres!$A$1:$I$89,3,0)*VLOOKUP('Données projet'!$B$12,Paramètres!$A$1:$I$89,5,0)</f>
        <v>5.5865712056402117E-14</v>
      </c>
      <c r="CA195" s="13">
        <f t="shared" si="170"/>
        <v>8.9811031843713517E-13</v>
      </c>
      <c r="CB195" s="20">
        <f t="shared" si="171"/>
        <v>1.6615082531095774E-12</v>
      </c>
      <c r="CC195" s="59">
        <f t="shared" si="119"/>
        <v>293.33333333333496</v>
      </c>
      <c r="CD195" s="59">
        <f ca="1">AVERAGE(OFFSET($CC$3,0,0,'Données projet'!$E$12+1,1))-AVERAGE(OFFSET($H$3,0,0,'Données projet'!$E$12+1,1))</f>
        <v>188.589895905567</v>
      </c>
      <c r="CE195" s="59">
        <f t="shared" si="148"/>
        <v>218.98894871653943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5.8972778570123401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2.1039556816565677E-14</v>
      </c>
      <c r="CN195" s="22">
        <f t="shared" si="172"/>
        <v>5.8972778570123614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1">
        <f t="shared" si="140"/>
        <v>36.642159893059954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67">
        <f t="shared" ref="H196:H203" si="192">(B196+E196+F196)*44/12+(C196+D196)*0.475*44/12</f>
        <v>566.94416514707893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265.44504059292035</v>
      </c>
      <c r="T196" s="59">
        <f t="shared" si="142"/>
        <v>272.02069798702723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14.244386476014258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4.2886075151455567E-13</v>
      </c>
      <c r="AC196" s="22">
        <f t="shared" si="163"/>
        <v>14.244386476014686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71.716690190721977</v>
      </c>
      <c r="AO196" s="59">
        <f t="shared" si="144"/>
        <v>388.00050527441761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2.9435282633991204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2.9435282633991204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71.716690190721977</v>
      </c>
      <c r="BJ196" s="59">
        <f t="shared" si="146"/>
        <v>388.00050527441761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2.9435282633991204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2.9435282633991204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8.5265128291212022E-14</v>
      </c>
      <c r="BZ196" s="13">
        <f>BY196*VLOOKUP('Données projet'!$B$12,Paramètres!$A$1:$I$89,3,0)*VLOOKUP('Données projet'!$B$12,Paramètres!$A$1:$I$89,5,0)</f>
        <v>5.5865712056402117E-14</v>
      </c>
      <c r="CA196" s="13">
        <f t="shared" si="170"/>
        <v>8.9811031843713517E-13</v>
      </c>
      <c r="CB196" s="20">
        <f t="shared" si="171"/>
        <v>1.6615082531095774E-12</v>
      </c>
      <c r="CC196" s="59">
        <f t="shared" ref="CC196:CC203" si="195">CB196+(BT196+BU196)*44/12</f>
        <v>293.33333333333496</v>
      </c>
      <c r="CD196" s="59">
        <f ca="1">AVERAGE(OFFSET($CC$3,0,0,'Données projet'!$E$12+1,1))-AVERAGE(OFFSET($H$3,0,0,'Données projet'!$E$12+1,1))</f>
        <v>188.589895905567</v>
      </c>
      <c r="CE196" s="59">
        <f t="shared" si="148"/>
        <v>218.98894871653943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5.7816358352206478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1.4877213298153241E-14</v>
      </c>
      <c r="CN196" s="22">
        <f t="shared" si="172"/>
        <v>5.7816358352206629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1">
        <f t="shared" ref="D197:D203" si="202">IFERROR(EXP(-1.0587+0.8836*LN(C197)+0.284),0)</f>
        <v>36.80986594396532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67">
        <f t="shared" si="192"/>
        <v>568.51324318573916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265.44504059292035</v>
      </c>
      <c r="T197" s="59">
        <f t="shared" ref="T197:T203" si="204">$T$3</f>
        <v>272.02069798702723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13.965062745437478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3.0325034558070124E-13</v>
      </c>
      <c r="AC197" s="22">
        <f t="shared" si="163"/>
        <v>13.965062745437782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71.716690190721977</v>
      </c>
      <c r="AO197" s="59">
        <f t="shared" ref="AO197:AO203" si="205">$AO$3</f>
        <v>388.00050527441761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2.8858074695288258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2.8858074695288258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71.716690190721977</v>
      </c>
      <c r="BJ197" s="59">
        <f t="shared" ref="BJ197:BJ203" si="206">$BJ$3</f>
        <v>388.00050527441761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2.8858074695288258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2.8858074695288258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8.5265128291212022E-14</v>
      </c>
      <c r="BZ197" s="13">
        <f>BY197*VLOOKUP('Données projet'!$B$12,Paramètres!$A$1:$I$89,3,0)*VLOOKUP('Données projet'!$B$12,Paramètres!$A$1:$I$89,5,0)</f>
        <v>5.5865712056402117E-14</v>
      </c>
      <c r="CA197" s="13">
        <f t="shared" si="170"/>
        <v>8.9811031843713517E-13</v>
      </c>
      <c r="CB197" s="20">
        <f t="shared" si="171"/>
        <v>1.6615082531095774E-12</v>
      </c>
      <c r="CC197" s="59">
        <f t="shared" si="195"/>
        <v>293.33333333333496</v>
      </c>
      <c r="CD197" s="59">
        <f ca="1">AVERAGE(OFFSET($CC$3,0,0,'Données projet'!$E$12+1,1))-AVERAGE(OFFSET($H$3,0,0,'Données projet'!$E$12+1,1))</f>
        <v>188.589895905567</v>
      </c>
      <c r="CE197" s="59">
        <f t="shared" ref="CE197:CE203" si="207">$CE$3</f>
        <v>218.98894871653943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5.668261482941622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1.0519778408282839E-14</v>
      </c>
      <c r="CN197" s="22">
        <f t="shared" si="172"/>
        <v>5.6682614829416327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1">
        <f t="shared" si="202"/>
        <v>36.977471400949966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67">
        <f t="shared" si="192"/>
        <v>570.08214602332077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265.44504059292035</v>
      </c>
      <c r="T198" s="59">
        <f t="shared" si="204"/>
        <v>272.02069798702723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13.691216382846656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2.1443037575727783E-13</v>
      </c>
      <c r="AC198" s="22">
        <f t="shared" si="163"/>
        <v>13.691216382846871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71.716690190721977</v>
      </c>
      <c r="AO198" s="59">
        <f t="shared" si="205"/>
        <v>388.00050527441761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2.8292185452201197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2.8292185452201197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71.716690190721977</v>
      </c>
      <c r="BJ198" s="59">
        <f t="shared" si="206"/>
        <v>388.00050527441761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2.8292185452201197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2.8292185452201197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8.5265128291212022E-14</v>
      </c>
      <c r="BZ198" s="13">
        <f>BY198*VLOOKUP('Données projet'!$B$12,Paramètres!$A$1:$I$89,3,0)*VLOOKUP('Données projet'!$B$12,Paramètres!$A$1:$I$89,5,0)</f>
        <v>5.5865712056402117E-14</v>
      </c>
      <c r="CA198" s="13">
        <f t="shared" si="170"/>
        <v>8.9811031843713517E-13</v>
      </c>
      <c r="CB198" s="20">
        <f t="shared" si="171"/>
        <v>1.6615082531095774E-12</v>
      </c>
      <c r="CC198" s="59">
        <f t="shared" si="195"/>
        <v>293.33333333333496</v>
      </c>
      <c r="CD198" s="59">
        <f ca="1">AVERAGE(OFFSET($CC$3,0,0,'Données projet'!$E$12+1,1))-AVERAGE(OFFSET($H$3,0,0,'Données projet'!$E$12+1,1))</f>
        <v>188.589895905567</v>
      </c>
      <c r="CE198" s="59">
        <f t="shared" si="207"/>
        <v>218.98894871653943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5.5571103325592617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7.4386066490766204E-15</v>
      </c>
      <c r="CN198" s="22">
        <f t="shared" si="172"/>
        <v>5.5571103325592688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1">
        <f t="shared" si="202"/>
        <v>37.144976839760147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67">
        <f t="shared" si="192"/>
        <v>571.65087466258183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265.44504059292035</v>
      </c>
      <c r="T199" s="59">
        <f t="shared" si="204"/>
        <v>272.02069798702723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13.422739980396452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1.5162517279035062E-13</v>
      </c>
      <c r="AC199" s="22">
        <f t="shared" si="163"/>
        <v>13.422739980396603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71.716690190721977</v>
      </c>
      <c r="AO199" s="59">
        <f t="shared" si="205"/>
        <v>388.00050527441761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2.7737392952012718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2.7737392952012718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71.716690190721977</v>
      </c>
      <c r="BJ199" s="59">
        <f t="shared" si="206"/>
        <v>388.00050527441761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2.7737392952012718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2.7737392952012718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8.5265128291212022E-14</v>
      </c>
      <c r="BZ199" s="13">
        <f>BY199*VLOOKUP('Données projet'!$B$12,Paramètres!$A$1:$I$89,3,0)*VLOOKUP('Données projet'!$B$12,Paramètres!$A$1:$I$89,5,0)</f>
        <v>5.5865712056402117E-14</v>
      </c>
      <c r="CA199" s="13">
        <f t="shared" si="170"/>
        <v>8.9811031843713517E-13</v>
      </c>
      <c r="CB199" s="20">
        <f t="shared" si="171"/>
        <v>1.6615082531095774E-12</v>
      </c>
      <c r="CC199" s="59">
        <f t="shared" si="195"/>
        <v>293.33333333333496</v>
      </c>
      <c r="CD199" s="59">
        <f ca="1">AVERAGE(OFFSET($CC$3,0,0,'Données projet'!$E$12+1,1))-AVERAGE(OFFSET($H$3,0,0,'Données projet'!$E$12+1,1))</f>
        <v>188.589895905567</v>
      </c>
      <c r="CE199" s="59">
        <f t="shared" si="207"/>
        <v>218.98894871653943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5.4481387884403922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5.2598892041414193E-15</v>
      </c>
      <c r="CN199" s="22">
        <f t="shared" si="172"/>
        <v>5.4481387884403976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1">
        <f t="shared" si="202"/>
        <v>37.312382829927017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67">
        <f t="shared" si="192"/>
        <v>573.21943009545589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265.44504059292035</v>
      </c>
      <c r="T200" s="59">
        <f t="shared" si="204"/>
        <v>272.02069798702723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13.15952823644386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1.0721518787863892E-13</v>
      </c>
      <c r="AC200" s="22">
        <f t="shared" si="163"/>
        <v>13.159528236443967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71.716690190721977</v>
      </c>
      <c r="AO200" s="59">
        <f t="shared" si="205"/>
        <v>388.00050527441761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2.7193479594362922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2.7193479594362922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71.716690190721977</v>
      </c>
      <c r="BJ200" s="59">
        <f t="shared" si="206"/>
        <v>388.00050527441761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2.7193479594362922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2.7193479594362922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8.5265128291212022E-14</v>
      </c>
      <c r="BZ200" s="13">
        <f>BY200*VLOOKUP('Données projet'!$B$12,Paramètres!$A$1:$I$89,3,0)*VLOOKUP('Données projet'!$B$12,Paramètres!$A$1:$I$89,5,0)</f>
        <v>5.5865712056402117E-14</v>
      </c>
      <c r="CA200" s="13">
        <f t="shared" si="170"/>
        <v>8.9811031843713517E-13</v>
      </c>
      <c r="CB200" s="20">
        <f t="shared" si="171"/>
        <v>1.6615082531095774E-12</v>
      </c>
      <c r="CC200" s="59">
        <f t="shared" si="195"/>
        <v>293.33333333333496</v>
      </c>
      <c r="CD200" s="59">
        <f ca="1">AVERAGE(OFFSET($CC$3,0,0,'Données projet'!$E$12+1,1))-AVERAGE(OFFSET($H$3,0,0,'Données projet'!$E$12+1,1))</f>
        <v>188.589895905567</v>
      </c>
      <c r="CE200" s="59">
        <f t="shared" si="207"/>
        <v>218.98894871653943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5.3413041098356144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3.7193033245383102E-15</v>
      </c>
      <c r="CN200" s="22">
        <f t="shared" si="172"/>
        <v>5.341304109835618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1">
        <f t="shared" si="202"/>
        <v>37.479689934865021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67">
        <f t="shared" si="192"/>
        <v>574.78781330322295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265.44504059292035</v>
      </c>
      <c r="T201" s="59">
        <f t="shared" si="204"/>
        <v>272.02069798702723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12.901477914246867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7.581258639517531E-14</v>
      </c>
      <c r="AC201" s="22">
        <f t="shared" si="163"/>
        <v>12.901477914246943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71.716690190721977</v>
      </c>
      <c r="AO201" s="59">
        <f t="shared" si="205"/>
        <v>388.00050527441761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2.6660232045902248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2.6660232045902248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71.716690190721977</v>
      </c>
      <c r="BJ201" s="59">
        <f t="shared" si="206"/>
        <v>388.00050527441761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2.6660232045902248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2.6660232045902248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8.5265128291212022E-14</v>
      </c>
      <c r="BZ201" s="13">
        <f>BY201*VLOOKUP('Données projet'!$B$12,Paramètres!$A$1:$I$89,3,0)*VLOOKUP('Données projet'!$B$12,Paramètres!$A$1:$I$89,5,0)</f>
        <v>5.5865712056402117E-14</v>
      </c>
      <c r="CA201" s="13">
        <f t="shared" si="170"/>
        <v>8.9811031843713517E-13</v>
      </c>
      <c r="CB201" s="20">
        <f t="shared" si="171"/>
        <v>1.6615082531095774E-12</v>
      </c>
      <c r="CC201" s="59">
        <f t="shared" si="195"/>
        <v>293.33333333333496</v>
      </c>
      <c r="CD201" s="59">
        <f ca="1">AVERAGE(OFFSET($CC$3,0,0,'Données projet'!$E$12+1,1))-AVERAGE(OFFSET($H$3,0,0,'Données projet'!$E$12+1,1))</f>
        <v>188.589895905567</v>
      </c>
      <c r="CE201" s="59">
        <f t="shared" si="207"/>
        <v>218.98894871653943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5.2365643941155566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2.6299446020707096E-15</v>
      </c>
      <c r="CN201" s="22">
        <f t="shared" si="172"/>
        <v>5.2365643941155593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1">
        <f t="shared" si="202"/>
        <v>37.646898711967857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67">
        <f t="shared" si="192"/>
        <v>576.35602525667696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265.44504059292035</v>
      </c>
      <c r="T202" s="59">
        <f t="shared" si="204"/>
        <v>272.02069798702723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12.648487801473001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5.3607593939319458E-14</v>
      </c>
      <c r="AC202" s="22">
        <f t="shared" si="163"/>
        <v>12.648487801473054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71.716690190721977</v>
      </c>
      <c r="AO202" s="59">
        <f t="shared" si="205"/>
        <v>388.00050527441761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2.6137441156617998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2.6137441156617998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71.716690190721977</v>
      </c>
      <c r="BJ202" s="59">
        <f t="shared" si="206"/>
        <v>388.00050527441761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2.6137441156617998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2.6137441156617998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8.5265128291212022E-14</v>
      </c>
      <c r="BZ202" s="13">
        <f>BY202*VLOOKUP('Données projet'!$B$12,Paramètres!$A$1:$I$89,3,0)*VLOOKUP('Données projet'!$B$12,Paramètres!$A$1:$I$89,5,0)</f>
        <v>5.5865712056402117E-14</v>
      </c>
      <c r="CA202" s="13">
        <f t="shared" si="170"/>
        <v>8.9811031843713517E-13</v>
      </c>
      <c r="CB202" s="20">
        <f t="shared" si="171"/>
        <v>1.6615082531095774E-12</v>
      </c>
      <c r="CC202" s="59">
        <f t="shared" si="195"/>
        <v>293.33333333333496</v>
      </c>
      <c r="CD202" s="59">
        <f ca="1">AVERAGE(OFFSET($CC$3,0,0,'Données projet'!$E$12+1,1))-AVERAGE(OFFSET($H$3,0,0,'Données projet'!$E$12+1,1))</f>
        <v>188.589895905567</v>
      </c>
      <c r="CE202" s="59">
        <f t="shared" si="207"/>
        <v>218.98894871653943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5.1338785603358508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1.8596516622691551E-15</v>
      </c>
      <c r="CN202" s="22">
        <f t="shared" si="172"/>
        <v>5.1338785603358525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1">
        <f t="shared" si="202"/>
        <v>37.81400971270299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67">
        <f t="shared" si="192"/>
        <v>577.92406691629071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265.44504059292035</v>
      </c>
      <c r="T203" s="59">
        <f t="shared" si="204"/>
        <v>272.02069798702723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12.4004586705019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3.7906293197587655E-14</v>
      </c>
      <c r="AC203" s="22">
        <f t="shared" si="163"/>
        <v>12.400458670501937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71.716690190721977</v>
      </c>
      <c r="AO203" s="59">
        <f t="shared" si="205"/>
        <v>388.00050527441761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2.5624901877801656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2.5624901877801656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71.716690190721977</v>
      </c>
      <c r="BJ203" s="59">
        <f t="shared" si="206"/>
        <v>388.00050527441761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2.5624901877801656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2.5624901877801656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8.5265128291212022E-14</v>
      </c>
      <c r="BZ203" s="13">
        <f>BY203*VLOOKUP('Données projet'!$B$12,Paramètres!$A$1:$I$89,3,0)*VLOOKUP('Données projet'!$B$12,Paramètres!$A$1:$I$89,5,0)</f>
        <v>5.5865712056402117E-14</v>
      </c>
      <c r="CA203" s="13">
        <f t="shared" si="170"/>
        <v>8.9811031843713517E-13</v>
      </c>
      <c r="CB203" s="20">
        <f t="shared" si="171"/>
        <v>1.6615082531095774E-12</v>
      </c>
      <c r="CC203" s="59">
        <f t="shared" si="195"/>
        <v>293.33333333333496</v>
      </c>
      <c r="CD203" s="59">
        <f ca="1">AVERAGE(OFFSET($CC$3,0,0,'Données projet'!$E$12+1,1))-AVERAGE(OFFSET($H$3,0,0,'Données projet'!$E$12+1,1))</f>
        <v>188.589895905567</v>
      </c>
      <c r="CE203" s="59">
        <f t="shared" si="207"/>
        <v>218.98894871653943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5.033206333124391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1.3149723010353548E-15</v>
      </c>
      <c r="CN203" s="22">
        <f t="shared" si="172"/>
        <v>5.0332063331243919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1.2750566643089272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1.3863803376642316</v>
      </c>
      <c r="BA205" s="82">
        <f>EXP(LN('Données projet'!B88)/'Données projet'!A88)</f>
        <v>1.3863803376642316</v>
      </c>
      <c r="BV205" s="82">
        <f>EXP(LN('Données projet'!B114)/'Données projet'!A114)</f>
        <v>1.2709816152101407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Normal="100" workbookViewId="0">
      <selection activeCell="G16" sqref="G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rouge d'Amérique</v>
      </c>
      <c r="B6" s="146">
        <f>'Données projet'!D9</f>
        <v>1.3399932000000001</v>
      </c>
      <c r="C6" s="147">
        <f ca="1">IF(OR('Données projet'!B9="",'Données projet'!C9="",'Données projet'!C9=0%),0,Calculateur!S3)</f>
        <v>265.44504059292035</v>
      </c>
      <c r="D6" s="147">
        <f>IF(OR('Données projet'!B9="",'Données projet'!C9="",'Données projet'!C9=0%),0,Calculateur!T3)</f>
        <v>272.02069798702723</v>
      </c>
      <c r="E6" s="147">
        <f ca="1">MIN(C6,D6)</f>
        <v>265.44504059292035</v>
      </c>
      <c r="F6" s="147">
        <f ca="1">E6*B6</f>
        <v>355.69454936823729</v>
      </c>
      <c r="G6" s="147">
        <f ca="1">F6*(100%-'Données projet'!$C$24)*(100%-'Données projet'!$C$25)*(100%-'Données projet'!$C$26)*(100%-'Données projet'!$C$27)</f>
        <v>320.12509443141357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35.844818100000005</v>
      </c>
      <c r="K6" s="151">
        <f>J6*(100%-'Données projet'!$C$24)*(100%-'Données projet'!$C$25)*(100%-'Données projet'!$C$26)*(100%-'Données projet'!$C$27)</f>
        <v>32.260336290000005</v>
      </c>
      <c r="L6" s="152">
        <f ca="1">G6+I6+K6</f>
        <v>352.38543072141357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Peuplier Koster</v>
      </c>
      <c r="B7" s="154">
        <f>'Données projet'!D10</f>
        <v>1.8400283999999998</v>
      </c>
      <c r="C7" s="147">
        <f ca="1">IF(OR('Données projet'!B10="",'Données projet'!C10="",'Données projet'!C10=0%),0,Calculateur!AN3)</f>
        <v>71.716690190721977</v>
      </c>
      <c r="D7" s="147">
        <f>IF(OR('Données projet'!B10="",'Données projet'!C10="",'Données projet'!C10=0%),0,Calculateur!AO3)</f>
        <v>388.00050527441761</v>
      </c>
      <c r="E7" s="147">
        <f t="shared" ref="E7:E15" ca="1" si="0">MIN(C7,D7)</f>
        <v>71.716690190721977</v>
      </c>
      <c r="F7" s="147">
        <f t="shared" ref="F7:F15" ca="1" si="1">E7*B7</f>
        <v>131.96074670492985</v>
      </c>
      <c r="G7" s="147">
        <f ca="1">F7*(100%-'Données projet'!$C$24)*(100%-'Données projet'!$C$25)*(100%-'Données projet'!$C$26)*(100%-'Données projet'!$C$27)</f>
        <v>118.76467203443687</v>
      </c>
      <c r="H7" s="155">
        <f>IF(OR('Données projet'!B10="",'Données projet'!C10="",'Données projet'!C10=0%),0,AVERAGE(Calculateur!$AX$3:$AX$33)*B7)</f>
        <v>64.715885991893174</v>
      </c>
      <c r="I7" s="149">
        <f>H7*(100%-'Données projet'!$C$24)*(100%-'Données projet'!$C$25)*(100%-'Données projet'!$C$26)*(100%-'Données projet'!$C$27)</f>
        <v>58.244297392703857</v>
      </c>
      <c r="J7" s="150">
        <f>IF(OR('Données projet'!B10="",'Données projet'!C10="",'Données projet'!C10=0%),0,SUM(Calculateur!$AQ$3:$AQ$33)*VLOOKUP('Données projet'!$B$10,Paramètres!$A$1:$I$89,9,0)*B7)</f>
        <v>678.49207221599988</v>
      </c>
      <c r="K7" s="151">
        <f>J7*(100%-'Données projet'!$C$24)*(100%-'Données projet'!$C$25)*(100%-'Données projet'!$C$26)*(100%-'Données projet'!$C$27)</f>
        <v>610.64286499439993</v>
      </c>
      <c r="L7" s="152">
        <f t="shared" ref="L7:L15" ca="1" si="2">G7+I7+K7</f>
        <v>787.65183442154068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Peuplier Koster</v>
      </c>
      <c r="B8" s="154">
        <f>'Données projet'!D11</f>
        <v>1.489992</v>
      </c>
      <c r="C8" s="147">
        <f ca="1">IF(OR('Données projet'!B11="",'Données projet'!C11="",'Données projet'!C11=0%),0,Calculateur!BI3)</f>
        <v>71.716690190721977</v>
      </c>
      <c r="D8" s="147">
        <f>IF(OR('Données projet'!B11="",'Données projet'!C11="",'Données projet'!C11=0%),0,Calculateur!BJ3)</f>
        <v>388.00050527441761</v>
      </c>
      <c r="E8" s="147">
        <f t="shared" ca="1" si="0"/>
        <v>71.716690190721977</v>
      </c>
      <c r="F8" s="147">
        <f t="shared" ca="1" si="1"/>
        <v>106.85729465065423</v>
      </c>
      <c r="G8" s="147">
        <f ca="1">F8*(100%-'Données projet'!$C$24)*(100%-'Données projet'!$C$25)*(100%-'Données projet'!$C$26)*(100%-'Données projet'!$C$27)</f>
        <v>96.171565185588804</v>
      </c>
      <c r="H8" s="155">
        <f>IF(OR('Données projet'!B11="",'Données projet'!C11="",'Données projet'!C11=0%),0,AVERAGE(Calculateur!$BS$3:$BS$33)*B8)</f>
        <v>52.404708753861023</v>
      </c>
      <c r="I8" s="149">
        <f>H8*(100%-'Données projet'!$C$24)*(100%-'Données projet'!$C$25)*(100%-'Données projet'!$C$26)*(100%-'Données projet'!$C$27)</f>
        <v>47.164237878474921</v>
      </c>
      <c r="J8" s="150">
        <f>IF(OR('Données projet'!B11="",'Données projet'!C11="",'Données projet'!C11=0%),0,SUM(Calculateur!$BL$3:$BL$33)*VLOOKUP('Données projet'!$B$11,Paramètres!$A$1:$I$89,9,0)*B8)</f>
        <v>549.41965008</v>
      </c>
      <c r="K8" s="151">
        <f>J8*(100%-'Données projet'!$C$24)*(100%-'Données projet'!$C$25)*(100%-'Données projet'!$C$26)*(100%-'Données projet'!$C$27)</f>
        <v>494.47768507199999</v>
      </c>
      <c r="L8" s="152">
        <f t="shared" ca="1" si="2"/>
        <v>637.81348813606371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Aulne glutineux</v>
      </c>
      <c r="B9" s="154">
        <f>'Données projet'!D12</f>
        <v>1.2099864</v>
      </c>
      <c r="C9" s="147">
        <f ca="1">IF(OR('Données projet'!B12="",'Données projet'!C12="",'Données projet'!C12=0%),0,Calculateur!CD3)</f>
        <v>188.589895905567</v>
      </c>
      <c r="D9" s="147">
        <f>IF(OR('Données projet'!B12="",'Données projet'!C12="",'Données projet'!C12=0%),0,Calculateur!CE3)</f>
        <v>218.98894871653943</v>
      </c>
      <c r="E9" s="147">
        <f t="shared" ca="1" si="0"/>
        <v>188.589895905567</v>
      </c>
      <c r="F9" s="147">
        <f t="shared" ca="1" si="1"/>
        <v>228.19120922315176</v>
      </c>
      <c r="G9" s="147">
        <f ca="1">F9*(100%-'Données projet'!$C$24)*(100%-'Données projet'!$C$25)*(100%-'Données projet'!$C$26)*(100%-'Données projet'!$C$27)</f>
        <v>205.37208830083659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17.847299400000001</v>
      </c>
      <c r="K9" s="151">
        <f>J9*(100%-'Données projet'!$C$24)*(100%-'Données projet'!$C$25)*(100%-'Données projet'!$C$26)*(100%-'Données projet'!$C$27)</f>
        <v>16.062569460000002</v>
      </c>
      <c r="L9" s="152">
        <f t="shared" ca="1" si="2"/>
        <v>221.43465776083659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822.70379994697316</v>
      </c>
      <c r="G16" s="166">
        <f t="shared" ca="1" si="3"/>
        <v>740.43341995227593</v>
      </c>
      <c r="H16" s="167">
        <f t="shared" si="3"/>
        <v>117.1205947457542</v>
      </c>
      <c r="I16" s="167">
        <f t="shared" si="3"/>
        <v>105.40853527117878</v>
      </c>
      <c r="J16" s="168">
        <f t="shared" si="3"/>
        <v>1281.6038397959999</v>
      </c>
      <c r="K16" s="168">
        <f t="shared" si="3"/>
        <v>1153.4434558164</v>
      </c>
      <c r="L16" s="169">
        <f t="shared" ca="1" si="3"/>
        <v>1999.2854110398548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Peuplier Koster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0" zoomScale="80" zoomScaleNormal="80" workbookViewId="0">
      <selection activeCell="G32" sqref="G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-2858.2259506306486</v>
      </c>
      <c r="U10" s="178">
        <f>'Données projet'!D9</f>
        <v>1.3399932000000001</v>
      </c>
      <c r="V10" s="177">
        <f>U10*T10</f>
        <v>-3830.0033379086053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2699.7928991036511</v>
      </c>
      <c r="U11" s="178">
        <f>'Données projet'!D10</f>
        <v>1.8400283999999998</v>
      </c>
      <c r="V11" s="177">
        <f t="shared" ref="V11" si="0">U11*T11</f>
        <v>4967.6956084690519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Koster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2699.7928991036511</v>
      </c>
      <c r="U12" s="178">
        <f>'Données projet'!D11</f>
        <v>1.489992</v>
      </c>
      <c r="V12" s="177">
        <f t="shared" ref="V12:V19" si="1">U12*T12</f>
        <v>4022.6698213212471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1241.5815054992067</v>
      </c>
      <c r="U13" s="178">
        <f>'Données projet'!D12</f>
        <v>1.2099864</v>
      </c>
      <c r="V13" s="177">
        <f t="shared" si="1"/>
        <v>1502.2967361455653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49.999999999999972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1600*1.65</f>
        <v>2640</v>
      </c>
      <c r="F18" s="230"/>
      <c r="G18" s="289"/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500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249.99999999999986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>
        <v>500</v>
      </c>
      <c r="F20" s="230"/>
      <c r="G20" s="289"/>
      <c r="H20" s="190">
        <v>1</v>
      </c>
      <c r="I20" s="191">
        <v>3554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500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54</v>
      </c>
      <c r="C23" s="193">
        <v>1</v>
      </c>
      <c r="D23" s="182">
        <f>B23*C23</f>
        <v>54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-13334.967966231114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26</v>
      </c>
      <c r="C24" s="193">
        <v>1</v>
      </c>
      <c r="D24" s="182">
        <f t="shared" ref="D24:D42" si="2">B24*C24</f>
        <v>26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162.74318544950856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27</v>
      </c>
      <c r="C25" s="193">
        <v>1</v>
      </c>
      <c r="D25" s="182">
        <f t="shared" si="2"/>
        <v>27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-13497.711151680622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27</v>
      </c>
      <c r="C26" s="193">
        <v>7</v>
      </c>
      <c r="D26" s="182">
        <f t="shared" si="2"/>
        <v>189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27</v>
      </c>
      <c r="C27" s="193">
        <v>7</v>
      </c>
      <c r="D27" s="182">
        <f t="shared" ref="D27:D38" si="3">B27*C27</f>
        <v>189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26</v>
      </c>
      <c r="C28" s="193">
        <v>30</v>
      </c>
      <c r="D28" s="182">
        <f t="shared" si="3"/>
        <v>780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24</v>
      </c>
      <c r="C29" s="193">
        <v>30</v>
      </c>
      <c r="D29" s="182">
        <f t="shared" si="3"/>
        <v>720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23</v>
      </c>
      <c r="C30" s="193">
        <v>40</v>
      </c>
      <c r="D30" s="182">
        <f t="shared" si="3"/>
        <v>920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21</v>
      </c>
      <c r="C31" s="193">
        <v>40</v>
      </c>
      <c r="D31" s="182">
        <f t="shared" si="3"/>
        <v>840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65</v>
      </c>
      <c r="B32" s="181">
        <f>'Données projet'!D45</f>
        <v>20</v>
      </c>
      <c r="C32" s="193">
        <v>50</v>
      </c>
      <c r="D32" s="182">
        <f t="shared" si="3"/>
        <v>1000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70</v>
      </c>
      <c r="B33" s="181">
        <f>'Données projet'!D46</f>
        <v>18</v>
      </c>
      <c r="C33" s="193">
        <v>50</v>
      </c>
      <c r="D33" s="182">
        <f t="shared" si="3"/>
        <v>900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75</v>
      </c>
      <c r="B34" s="181">
        <f>'Données projet'!D47</f>
        <v>16</v>
      </c>
      <c r="C34" s="193">
        <v>50</v>
      </c>
      <c r="D34" s="182">
        <f t="shared" si="3"/>
        <v>800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80</v>
      </c>
      <c r="B35" s="181">
        <f>'Données projet'!D48</f>
        <v>15</v>
      </c>
      <c r="C35" s="193">
        <v>60</v>
      </c>
      <c r="D35" s="182">
        <f t="shared" si="3"/>
        <v>900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85</v>
      </c>
      <c r="B36" s="181">
        <f>'Données projet'!D49</f>
        <v>14</v>
      </c>
      <c r="C36" s="193">
        <v>70</v>
      </c>
      <c r="D36" s="182">
        <f t="shared" si="3"/>
        <v>980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90</v>
      </c>
      <c r="B37" s="181">
        <f>'Données projet'!D50</f>
        <v>12</v>
      </c>
      <c r="C37" s="193">
        <v>80</v>
      </c>
      <c r="D37" s="182">
        <f t="shared" si="3"/>
        <v>960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95</v>
      </c>
      <c r="B38" s="181">
        <f>'Données projet'!D51</f>
        <v>12</v>
      </c>
      <c r="C38" s="193">
        <v>90</v>
      </c>
      <c r="D38" s="182">
        <f t="shared" si="3"/>
        <v>1080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100</v>
      </c>
      <c r="B39" s="181">
        <f>'Données projet'!D52</f>
        <v>255</v>
      </c>
      <c r="C39" s="193">
        <v>100</v>
      </c>
      <c r="D39" s="182">
        <f t="shared" si="2"/>
        <v>25500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200*9.1</f>
        <v>1820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800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>
        <v>800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>
        <v>200</v>
      </c>
      <c r="F52" s="231"/>
      <c r="G52" s="23"/>
      <c r="H52" s="190"/>
      <c r="I52" s="191"/>
      <c r="J52" s="23"/>
      <c r="K52" s="173"/>
      <c r="L52" s="4"/>
      <c r="M52" s="4"/>
      <c r="N52" s="4"/>
      <c r="O52" s="194" t="str">
        <f>IF(O51+1&lt;=MIN('Données projet'!$E$9:$E$18),O51+1,"STOP")</f>
        <v>STOP</v>
      </c>
      <c r="P52" s="185" t="e">
        <f t="shared" si="4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>
        <v>550</v>
      </c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4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18</v>
      </c>
      <c r="B54" s="181">
        <f>'Données projet'!D62</f>
        <v>358</v>
      </c>
      <c r="C54" s="191">
        <v>40</v>
      </c>
      <c r="D54" s="179">
        <f>B54*C54</f>
        <v>14320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4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5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4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5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4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5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4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5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4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5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4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5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4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4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4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4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4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6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6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6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6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6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6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6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6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6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6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6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Peuplier Koster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6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6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6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200*9.1</f>
        <v>1820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>
        <v>800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>
        <v>800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>
        <v>200</v>
      </c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>
        <v>550</v>
      </c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18</v>
      </c>
      <c r="B85" s="181">
        <f>'Données projet'!D88</f>
        <v>358</v>
      </c>
      <c r="C85" s="191">
        <v>40</v>
      </c>
      <c r="D85" s="179">
        <f>B85*C85</f>
        <v>14320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7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7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7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7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7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1400*4.65</f>
        <v>6510.0000000000009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500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v>500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>
        <v>500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1</v>
      </c>
      <c r="C116" s="191">
        <v>1</v>
      </c>
      <c r="D116" s="179">
        <f>B116*C116</f>
        <v>1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15</v>
      </c>
      <c r="B117" s="181">
        <f>'Données projet'!D115</f>
        <v>4</v>
      </c>
      <c r="C117" s="191">
        <v>1</v>
      </c>
      <c r="D117" s="179">
        <f t="shared" ref="D117:D135" si="9">B117*C117</f>
        <v>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20</v>
      </c>
      <c r="B118" s="181">
        <f>'Données projet'!D116</f>
        <v>10</v>
      </c>
      <c r="C118" s="191">
        <v>1</v>
      </c>
      <c r="D118" s="179">
        <f t="shared" si="9"/>
        <v>10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25</v>
      </c>
      <c r="B119" s="181">
        <f>'Données projet'!D117</f>
        <v>21</v>
      </c>
      <c r="C119" s="191">
        <v>7</v>
      </c>
      <c r="D119" s="179">
        <f t="shared" si="9"/>
        <v>147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30</v>
      </c>
      <c r="B120" s="181">
        <f>'Données projet'!D118</f>
        <v>23</v>
      </c>
      <c r="C120" s="191">
        <v>7</v>
      </c>
      <c r="D120" s="179">
        <f t="shared" si="9"/>
        <v>161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35</v>
      </c>
      <c r="B121" s="181">
        <f>'Données projet'!D119</f>
        <v>25</v>
      </c>
      <c r="C121" s="191">
        <v>30</v>
      </c>
      <c r="D121" s="179">
        <f t="shared" si="9"/>
        <v>750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40</v>
      </c>
      <c r="B122" s="181">
        <f>'Données projet'!D120</f>
        <v>25</v>
      </c>
      <c r="C122" s="191">
        <v>30</v>
      </c>
      <c r="D122" s="179">
        <f t="shared" si="9"/>
        <v>750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45</v>
      </c>
      <c r="B123" s="181">
        <f>'Données projet'!D121</f>
        <v>25</v>
      </c>
      <c r="C123" s="191">
        <v>40</v>
      </c>
      <c r="D123" s="179">
        <f t="shared" si="9"/>
        <v>1000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50</v>
      </c>
      <c r="B124" s="181">
        <f>'Données projet'!D122</f>
        <v>24</v>
      </c>
      <c r="C124" s="191">
        <v>40</v>
      </c>
      <c r="D124" s="179">
        <f t="shared" si="9"/>
        <v>960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55</v>
      </c>
      <c r="B125" s="181">
        <f>'Données projet'!D123</f>
        <v>23</v>
      </c>
      <c r="C125" s="191">
        <v>40</v>
      </c>
      <c r="D125" s="179">
        <f t="shared" si="9"/>
        <v>920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60</v>
      </c>
      <c r="B126" s="181">
        <f>'Données projet'!D124</f>
        <v>22</v>
      </c>
      <c r="C126" s="191">
        <v>40</v>
      </c>
      <c r="D126" s="179">
        <f t="shared" si="9"/>
        <v>880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65</v>
      </c>
      <c r="B127" s="181">
        <f>'Données projet'!D125</f>
        <v>20</v>
      </c>
      <c r="C127" s="191">
        <v>50</v>
      </c>
      <c r="D127" s="179">
        <f t="shared" si="9"/>
        <v>1000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70</v>
      </c>
      <c r="B128" s="181">
        <f>'Données projet'!D126</f>
        <v>19</v>
      </c>
      <c r="C128" s="191">
        <v>50</v>
      </c>
      <c r="D128" s="179">
        <f t="shared" si="9"/>
        <v>950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75</v>
      </c>
      <c r="B129" s="181">
        <f>'Données projet'!D127</f>
        <v>18</v>
      </c>
      <c r="C129" s="191">
        <v>50</v>
      </c>
      <c r="D129" s="179">
        <f t="shared" si="9"/>
        <v>900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80</v>
      </c>
      <c r="B130" s="181">
        <f>'Données projet'!D128</f>
        <v>16</v>
      </c>
      <c r="C130" s="191">
        <v>50</v>
      </c>
      <c r="D130" s="179">
        <f t="shared" si="9"/>
        <v>800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85</v>
      </c>
      <c r="B131" s="181">
        <f>'Données projet'!D129</f>
        <v>15</v>
      </c>
      <c r="C131" s="191">
        <v>60</v>
      </c>
      <c r="D131" s="179">
        <f t="shared" si="9"/>
        <v>900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90</v>
      </c>
      <c r="B132" s="181">
        <f>'Données projet'!D130</f>
        <v>250</v>
      </c>
      <c r="C132" s="191">
        <v>60</v>
      </c>
      <c r="D132" s="179">
        <f t="shared" si="9"/>
        <v>15000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20" ma:contentTypeDescription="Crée un document." ma:contentTypeScope="" ma:versionID="738020d6de6fffb06116fa3905ce679a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8554a7bc8deafab9328aabd1d58cbebf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cce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" ma:index="25" nillable="true" ma:displayName="Acces" ma:format="Dropdown" ma:list="UserInfo" ma:SharePointGroup="0" ma:internalName="Acce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 xmlns="8c1d9445-5ca3-48db-a349-49511c70e687">
      <UserInfo>
        <DisplayName/>
        <AccountId xsi:nil="true"/>
        <AccountType/>
      </UserInfo>
    </Acces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Props1.xml><?xml version="1.0" encoding="utf-8"?>
<ds:datastoreItem xmlns:ds="http://schemas.openxmlformats.org/officeDocument/2006/customXml" ds:itemID="{89646880-BFDD-4667-ABA7-EF48CA5B7D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9C5A26-9ECB-4BE0-A985-B542061A0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3E8A67-7742-466A-AD8C-1E6605D2704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cca48d1-260d-4848-9875-be9a6e463188"/>
    <ds:schemaRef ds:uri="8c1d9445-5ca3-48db-a349-49511c70e6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Timothée de Ferrières</cp:lastModifiedBy>
  <dcterms:created xsi:type="dcterms:W3CDTF">2021-02-01T08:22:39Z</dcterms:created>
  <dcterms:modified xsi:type="dcterms:W3CDTF">2025-07-16T07:40:42Z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