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5\142\Z00GI72S\"/>
    </mc:Choice>
  </mc:AlternateContent>
  <xr:revisionPtr revIDLastSave="0" documentId="13_ncr:1_{1442B965-00EC-47BD-9031-EB68F32DDF71}" xr6:coauthVersionLast="47" xr6:coauthVersionMax="47" xr10:uidLastSave="{00000000-0000-0000-0000-000000000000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72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HG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D161" i="2"/>
  <c r="DI161" i="2"/>
  <c r="EW162" i="2"/>
  <c r="HG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V163" i="2"/>
  <c r="HG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EX164" i="2"/>
  <c r="EV164" i="2"/>
  <c r="DI163" i="2"/>
  <c r="DH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C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D172" i="2" s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AA175" i="2"/>
  <c r="FS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V179" i="2"/>
  <c r="HG179" i="2"/>
  <c r="DF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FS199" i="2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ED200" i="2" s="1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HG202" i="2"/>
  <c r="FZ6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<sst xmlns="http://schemas.openxmlformats.org/spreadsheetml/2006/main" count="1175" uniqueCount="324">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</sst>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642.44364323070249</c:v>
                </c:pt>
                <c:pt idx="92">
                  <c:v>655.07636694999792</c:v>
                </c:pt>
                <c:pt idx="93">
                  <c:v>667.70407238667042</c:v>
                </c:pt>
                <c:pt idx="94">
                  <c:v>680.32686777604431</c:v>
                </c:pt>
                <c:pt idx="95">
                  <c:v>692.94485701159181</c:v>
                </c:pt>
                <c:pt idx="96">
                  <c:v>647.33433222460883</c:v>
                </c:pt>
                <c:pt idx="97">
                  <c:v>658.74298707117862</c:v>
                </c:pt>
                <c:pt idx="98">
                  <c:v>670.14757398808365</c:v>
                </c:pt>
                <c:pt idx="99">
                  <c:v>681.54817193396354</c:v>
                </c:pt>
                <c:pt idx="100">
                  <c:v>692.94485701159203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584.18083787482522</c:v>
                </c:pt>
                <c:pt idx="97">
                  <c:v>681.03601759948845</c:v>
                </c:pt>
                <c:pt idx="98">
                  <c:v>777.60815776427069</c:v>
                </c:pt>
                <c:pt idx="99">
                  <c:v>873.93726321280803</c:v>
                </c:pt>
                <c:pt idx="100">
                  <c:v>970.0538054255718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713.28001696958756</c:v>
                </c:pt>
                <c:pt idx="92">
                  <c:v>727.30887606576107</c:v>
                </c:pt>
                <c:pt idx="93">
                  <c:v>741.33221940809119</c:v>
                </c:pt>
                <c:pt idx="94">
                  <c:v>755.35016596146124</c:v>
                </c:pt>
                <c:pt idx="95">
                  <c:v>769.36282991848657</c:v>
                </c:pt>
                <c:pt idx="96">
                  <c:v>718.71120518049202</c:v>
                </c:pt>
                <c:pt idx="97">
                  <c:v>731.38073214986196</c:v>
                </c:pt>
                <c:pt idx="98">
                  <c:v>744.04578792851362</c:v>
                </c:pt>
                <c:pt idx="99">
                  <c:v>756.70645930239664</c:v>
                </c:pt>
                <c:pt idx="100">
                  <c:v>769.36282991848668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E45" sqref="E4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H22" sqref="H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1.82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</v>
      </c>
      <c r="C9" s="32">
        <v>0.02</v>
      </c>
      <c r="D9" s="33">
        <f t="shared" ref="D9:D18" si="0">C9*$C$5</f>
        <v>3.6400000000000002E-2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0.27</v>
      </c>
      <c r="D10" s="33">
        <f t="shared" si="0"/>
        <v>0.49140000000000006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</v>
      </c>
      <c r="C11" s="32">
        <v>0.27</v>
      </c>
      <c r="D11" s="33">
        <f t="shared" si="0"/>
        <v>0.49140000000000006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0.23</v>
      </c>
      <c r="D12" s="33">
        <f t="shared" si="0"/>
        <v>0.41860000000000003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52</v>
      </c>
      <c r="C13" s="32">
        <v>0.02</v>
      </c>
      <c r="D13" s="33">
        <f t="shared" si="0"/>
        <v>3.6400000000000002E-2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44</v>
      </c>
      <c r="C14" s="32">
        <v>0.19</v>
      </c>
      <c r="D14" s="33">
        <f t="shared" si="0"/>
        <v>0.3458</v>
      </c>
      <c r="E14" s="34">
        <v>45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1.8200000000000003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Alisier torminal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>
        <v>0.2</v>
      </c>
      <c r="F36" s="51">
        <v>0.2</v>
      </c>
      <c r="G36" s="51">
        <v>0.6</v>
      </c>
      <c r="H36" s="51"/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>
        <v>0.3</v>
      </c>
      <c r="F38" s="51">
        <v>0.4</v>
      </c>
      <c r="G38" s="51">
        <v>0.3</v>
      </c>
      <c r="H38" s="51"/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/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/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/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/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/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/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/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/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/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/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50">
        <v>15</v>
      </c>
      <c r="D50" s="50">
        <v>28</v>
      </c>
      <c r="E50" s="51"/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50">
        <v>16</v>
      </c>
      <c r="D51" s="50">
        <v>28</v>
      </c>
      <c r="E51" s="51"/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50">
        <v>17</v>
      </c>
      <c r="D52" s="50">
        <v>333</v>
      </c>
      <c r="E52" s="51"/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158</v>
      </c>
      <c r="C62" s="60">
        <v>1</v>
      </c>
      <c r="D62" s="60">
        <v>39.5</v>
      </c>
      <c r="E62" s="51">
        <v>0.2</v>
      </c>
      <c r="F62" s="51">
        <v>0.2</v>
      </c>
      <c r="G62" s="51">
        <v>0.6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210.5</v>
      </c>
      <c r="C63" s="60">
        <v>2</v>
      </c>
      <c r="D63" s="60">
        <v>67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243.5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10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288.5</v>
      </c>
      <c r="C65" s="60">
        <v>4</v>
      </c>
      <c r="D65" s="60">
        <v>75</v>
      </c>
      <c r="E65" s="51"/>
      <c r="F65" s="51"/>
      <c r="G65" s="51"/>
      <c r="H65" s="51"/>
      <c r="I65" s="49">
        <f>IF(A65&lt;&gt;0,(B65-(B64-D64))/(A65-A64),"")</f>
        <v>11.5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348.5</v>
      </c>
      <c r="C66" s="60">
        <v>5</v>
      </c>
      <c r="D66" s="60">
        <v>80</v>
      </c>
      <c r="E66" s="51"/>
      <c r="F66" s="51"/>
      <c r="G66" s="51"/>
      <c r="H66" s="51"/>
      <c r="I66" s="49">
        <f t="shared" ref="I66:I81" si="2">IF(A66&lt;&gt;0,(B66-(B65-D65))/(A66-A65),"")</f>
        <v>13.5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423.5</v>
      </c>
      <c r="C67" s="60">
        <v>6</v>
      </c>
      <c r="D67" s="60">
        <v>87</v>
      </c>
      <c r="E67" s="51"/>
      <c r="F67" s="51"/>
      <c r="G67" s="51"/>
      <c r="H67" s="51"/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506.5</v>
      </c>
      <c r="C68" s="60">
        <v>7</v>
      </c>
      <c r="D68" s="60">
        <v>93</v>
      </c>
      <c r="E68" s="51"/>
      <c r="F68" s="51"/>
      <c r="G68" s="51"/>
      <c r="H68" s="51"/>
      <c r="I68" s="49">
        <f t="shared" si="2"/>
        <v>17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588.5</v>
      </c>
      <c r="C69" s="50">
        <v>8</v>
      </c>
      <c r="D69" s="50">
        <v>98</v>
      </c>
      <c r="E69" s="51"/>
      <c r="F69" s="51"/>
      <c r="G69" s="51"/>
      <c r="H69" s="51"/>
      <c r="I69" s="49">
        <f t="shared" si="2"/>
        <v>17.5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675.5</v>
      </c>
      <c r="C70" s="50">
        <v>9</v>
      </c>
      <c r="D70" s="50">
        <v>675.5</v>
      </c>
      <c r="E70" s="51"/>
      <c r="F70" s="51"/>
      <c r="G70" s="51"/>
      <c r="H70" s="51"/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35</v>
      </c>
      <c r="C88" s="60">
        <v>1</v>
      </c>
      <c r="D88" s="60">
        <v>0</v>
      </c>
      <c r="E88" s="51"/>
      <c r="F88" s="51"/>
      <c r="G88" s="51"/>
      <c r="H88" s="87"/>
      <c r="I88" s="53">
        <f>IFERROR(B88/A88,"")</f>
        <v>3.5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88</v>
      </c>
      <c r="C89" s="60">
        <v>2</v>
      </c>
      <c r="D89" s="60">
        <v>30</v>
      </c>
      <c r="E89" s="51"/>
      <c r="F89" s="51">
        <v>0.1</v>
      </c>
      <c r="G89" s="51">
        <v>0.5</v>
      </c>
      <c r="H89" s="87">
        <v>0.4</v>
      </c>
      <c r="I89" s="53">
        <f t="shared" ref="I89:I107" si="3">IF(A89&lt;&gt;0,(B89-(B88-D88))/(A89-A88),"")</f>
        <v>10.6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117</v>
      </c>
      <c r="C90" s="60">
        <v>3</v>
      </c>
      <c r="D90" s="60">
        <v>29</v>
      </c>
      <c r="E90" s="87">
        <v>0.1</v>
      </c>
      <c r="F90" s="87">
        <v>0.2</v>
      </c>
      <c r="G90" s="87">
        <v>0.4</v>
      </c>
      <c r="H90" s="87">
        <v>0.3</v>
      </c>
      <c r="I90" s="53">
        <f t="shared" si="3"/>
        <v>11.8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145</v>
      </c>
      <c r="C91" s="60">
        <v>4</v>
      </c>
      <c r="D91" s="60">
        <v>31</v>
      </c>
      <c r="E91" s="87">
        <v>0.1</v>
      </c>
      <c r="F91" s="87">
        <v>0.3</v>
      </c>
      <c r="G91" s="87">
        <v>0.3</v>
      </c>
      <c r="H91" s="87">
        <v>0.3</v>
      </c>
      <c r="I91" s="53">
        <f t="shared" si="3"/>
        <v>11.4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169</v>
      </c>
      <c r="C92" s="60">
        <v>5</v>
      </c>
      <c r="D92" s="60">
        <v>32</v>
      </c>
      <c r="E92" s="87">
        <v>0.2</v>
      </c>
      <c r="F92" s="87">
        <v>0.4</v>
      </c>
      <c r="G92" s="87">
        <v>0.2</v>
      </c>
      <c r="H92" s="87"/>
      <c r="I92" s="53">
        <f t="shared" si="3"/>
        <v>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189</v>
      </c>
      <c r="C93" s="60">
        <v>6</v>
      </c>
      <c r="D93" s="60">
        <v>32</v>
      </c>
      <c r="E93" s="87"/>
      <c r="F93" s="87"/>
      <c r="G93" s="87"/>
      <c r="H93" s="87"/>
      <c r="I93" s="53">
        <f t="shared" si="3"/>
        <v>10.4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206</v>
      </c>
      <c r="C94" s="60">
        <v>7</v>
      </c>
      <c r="D94" s="60">
        <v>31</v>
      </c>
      <c r="E94" s="87"/>
      <c r="F94" s="87"/>
      <c r="G94" s="87"/>
      <c r="H94" s="87"/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v>219</v>
      </c>
      <c r="C95" s="60">
        <v>8</v>
      </c>
      <c r="D95" s="60">
        <v>30</v>
      </c>
      <c r="E95" s="87"/>
      <c r="F95" s="87"/>
      <c r="G95" s="87"/>
      <c r="H95" s="87"/>
      <c r="I95" s="53">
        <f t="shared" si="3"/>
        <v>8.8000000000000007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v>230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8.1999999999999993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v>239</v>
      </c>
      <c r="C97" s="60">
        <v>10</v>
      </c>
      <c r="D97" s="60">
        <v>26</v>
      </c>
      <c r="E97" s="87"/>
      <c r="F97" s="87"/>
      <c r="G97" s="87"/>
      <c r="H97" s="87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246</v>
      </c>
      <c r="C98" s="60">
        <v>11</v>
      </c>
      <c r="D98" s="60">
        <v>24</v>
      </c>
      <c r="E98" s="87"/>
      <c r="F98" s="87"/>
      <c r="G98" s="87"/>
      <c r="H98" s="87"/>
      <c r="I98" s="53">
        <f t="shared" si="3"/>
        <v>6.6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v>252</v>
      </c>
      <c r="C99" s="60">
        <v>12</v>
      </c>
      <c r="D99" s="60">
        <v>22</v>
      </c>
      <c r="E99" s="87"/>
      <c r="F99" s="87"/>
      <c r="G99" s="87"/>
      <c r="H99" s="87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257</v>
      </c>
      <c r="C100" s="60">
        <v>13</v>
      </c>
      <c r="D100" s="60">
        <v>21</v>
      </c>
      <c r="E100" s="65"/>
      <c r="F100" s="65"/>
      <c r="G100" s="65"/>
      <c r="H100" s="65"/>
      <c r="I100" s="53">
        <f t="shared" si="3"/>
        <v>5.4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v>261</v>
      </c>
      <c r="C101" s="60">
        <v>14</v>
      </c>
      <c r="D101" s="60">
        <v>19</v>
      </c>
      <c r="E101" s="65"/>
      <c r="F101" s="65"/>
      <c r="G101" s="65"/>
      <c r="H101" s="65"/>
      <c r="I101" s="53">
        <f t="shared" si="3"/>
        <v>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v>264</v>
      </c>
      <c r="C102" s="60">
        <v>15</v>
      </c>
      <c r="D102" s="50">
        <v>17</v>
      </c>
      <c r="E102" s="54"/>
      <c r="F102" s="54"/>
      <c r="G102" s="54"/>
      <c r="H102" s="54"/>
      <c r="I102" s="53">
        <f t="shared" si="3"/>
        <v>4.4000000000000004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85</v>
      </c>
      <c r="B103" s="50">
        <v>267</v>
      </c>
      <c r="C103" s="60">
        <v>16</v>
      </c>
      <c r="D103" s="50">
        <v>16</v>
      </c>
      <c r="E103" s="54"/>
      <c r="F103" s="54"/>
      <c r="G103" s="54"/>
      <c r="H103" s="54"/>
      <c r="I103" s="53">
        <f t="shared" si="3"/>
        <v>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90</v>
      </c>
      <c r="B104" s="50">
        <v>268</v>
      </c>
      <c r="C104" s="60">
        <v>17</v>
      </c>
      <c r="D104" s="50">
        <v>14</v>
      </c>
      <c r="E104" s="54"/>
      <c r="F104" s="54"/>
      <c r="G104" s="54"/>
      <c r="H104" s="54"/>
      <c r="I104" s="53">
        <f t="shared" si="3"/>
        <v>3.4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95</v>
      </c>
      <c r="B105" s="50">
        <v>270</v>
      </c>
      <c r="C105" s="50">
        <v>18</v>
      </c>
      <c r="D105" s="50">
        <v>13</v>
      </c>
      <c r="E105" s="54"/>
      <c r="F105" s="54"/>
      <c r="G105" s="54"/>
      <c r="H105" s="54"/>
      <c r="I105" s="53">
        <f t="shared" si="3"/>
        <v>3.2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100</v>
      </c>
      <c r="B106" s="50">
        <v>520</v>
      </c>
      <c r="C106" s="50">
        <v>19</v>
      </c>
      <c r="D106" s="50">
        <v>520</v>
      </c>
      <c r="E106" s="54"/>
      <c r="F106" s="54"/>
      <c r="G106" s="54"/>
      <c r="H106" s="54"/>
      <c r="I106" s="53">
        <f t="shared" si="3"/>
        <v>52.6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73</v>
      </c>
      <c r="C114" s="50">
        <v>1</v>
      </c>
      <c r="D114" s="60">
        <v>6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103</v>
      </c>
      <c r="C115" s="50">
        <v>2</v>
      </c>
      <c r="D115" s="60">
        <v>28</v>
      </c>
      <c r="E115" s="51">
        <v>0.3</v>
      </c>
      <c r="F115" s="51">
        <v>0.4</v>
      </c>
      <c r="G115" s="51">
        <v>0.3</v>
      </c>
      <c r="H115" s="51"/>
      <c r="I115" s="53">
        <f t="shared" ref="I115:I133" si="4">IF(A115&lt;&gt;0,(B115-(B114-D114))/(A115-A114),"")</f>
        <v>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121</v>
      </c>
      <c r="C116" s="50">
        <v>3</v>
      </c>
      <c r="D116" s="60">
        <v>28</v>
      </c>
      <c r="E116" s="51">
        <v>0.3</v>
      </c>
      <c r="F116" s="51">
        <v>0.4</v>
      </c>
      <c r="G116" s="51">
        <v>0.3</v>
      </c>
      <c r="H116" s="51"/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147</v>
      </c>
      <c r="C117" s="50">
        <v>4</v>
      </c>
      <c r="D117" s="60">
        <v>28</v>
      </c>
      <c r="E117" s="51"/>
      <c r="F117" s="51"/>
      <c r="G117" s="51"/>
      <c r="H117" s="51"/>
      <c r="I117" s="53">
        <f t="shared" si="4"/>
        <v>10.8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175</v>
      </c>
      <c r="C118" s="50">
        <v>5</v>
      </c>
      <c r="D118" s="60">
        <v>28</v>
      </c>
      <c r="E118" s="51"/>
      <c r="F118" s="51"/>
      <c r="G118" s="51"/>
      <c r="H118" s="51"/>
      <c r="I118" s="53">
        <f t="shared" si="4"/>
        <v>11.2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204</v>
      </c>
      <c r="C119" s="50">
        <v>6</v>
      </c>
      <c r="D119" s="60">
        <v>28</v>
      </c>
      <c r="E119" s="51"/>
      <c r="F119" s="51"/>
      <c r="G119" s="51"/>
      <c r="H119" s="51"/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v>231</v>
      </c>
      <c r="C120" s="60">
        <v>7</v>
      </c>
      <c r="D120" s="60">
        <v>28</v>
      </c>
      <c r="E120" s="87"/>
      <c r="F120" s="87"/>
      <c r="G120" s="87"/>
      <c r="H120" s="87"/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v>254</v>
      </c>
      <c r="C121" s="60">
        <v>8</v>
      </c>
      <c r="D121" s="60">
        <v>28</v>
      </c>
      <c r="E121" s="87"/>
      <c r="F121" s="87"/>
      <c r="G121" s="87"/>
      <c r="H121" s="87"/>
      <c r="I121" s="53">
        <f t="shared" si="4"/>
        <v>10.199999999999999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v>273</v>
      </c>
      <c r="C122" s="60">
        <v>9</v>
      </c>
      <c r="D122" s="60">
        <v>28</v>
      </c>
      <c r="E122" s="87"/>
      <c r="F122" s="87"/>
      <c r="G122" s="87"/>
      <c r="H122" s="87"/>
      <c r="I122" s="53">
        <f t="shared" si="4"/>
        <v>9.4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v>289</v>
      </c>
      <c r="C123" s="60">
        <v>10</v>
      </c>
      <c r="D123" s="60">
        <v>28</v>
      </c>
      <c r="E123" s="87"/>
      <c r="F123" s="87"/>
      <c r="G123" s="87"/>
      <c r="H123" s="87"/>
      <c r="I123" s="53">
        <f t="shared" si="4"/>
        <v>8.8000000000000007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v>302</v>
      </c>
      <c r="C124" s="60">
        <v>11</v>
      </c>
      <c r="D124" s="60">
        <v>28</v>
      </c>
      <c r="E124" s="87"/>
      <c r="F124" s="87"/>
      <c r="G124" s="87"/>
      <c r="H124" s="87"/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v>312</v>
      </c>
      <c r="C125" s="60">
        <v>12</v>
      </c>
      <c r="D125" s="60">
        <v>28</v>
      </c>
      <c r="E125" s="87"/>
      <c r="F125" s="87"/>
      <c r="G125" s="87"/>
      <c r="H125" s="87"/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v>320</v>
      </c>
      <c r="C126" s="60">
        <v>13</v>
      </c>
      <c r="D126" s="60">
        <v>28</v>
      </c>
      <c r="E126" s="65"/>
      <c r="F126" s="65"/>
      <c r="G126" s="65"/>
      <c r="H126" s="65"/>
      <c r="I126" s="53">
        <f t="shared" si="4"/>
        <v>7.2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85</v>
      </c>
      <c r="B127" s="60">
        <v>326</v>
      </c>
      <c r="C127" s="60">
        <v>14</v>
      </c>
      <c r="D127" s="60">
        <v>28</v>
      </c>
      <c r="E127" s="65"/>
      <c r="F127" s="65"/>
      <c r="G127" s="65"/>
      <c r="H127" s="65"/>
      <c r="I127" s="53">
        <f t="shared" si="4"/>
        <v>6.8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90</v>
      </c>
      <c r="B128" s="50">
        <v>330</v>
      </c>
      <c r="C128" s="50">
        <v>15</v>
      </c>
      <c r="D128" s="50">
        <v>28</v>
      </c>
      <c r="E128" s="54"/>
      <c r="F128" s="54"/>
      <c r="G128" s="54"/>
      <c r="H128" s="54"/>
      <c r="I128" s="53">
        <f t="shared" si="4"/>
        <v>6.4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95</v>
      </c>
      <c r="B129" s="50">
        <v>333</v>
      </c>
      <c r="C129" s="50">
        <v>16</v>
      </c>
      <c r="D129" s="50">
        <v>28</v>
      </c>
      <c r="E129" s="54"/>
      <c r="F129" s="54"/>
      <c r="G129" s="54"/>
      <c r="H129" s="54"/>
      <c r="I129" s="53">
        <f t="shared" si="4"/>
        <v>6.2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333</v>
      </c>
      <c r="C130" s="50">
        <v>17</v>
      </c>
      <c r="D130" s="50">
        <v>333</v>
      </c>
      <c r="E130" s="54"/>
      <c r="F130" s="54"/>
      <c r="G130" s="54"/>
      <c r="H130" s="54"/>
      <c r="I130" s="53">
        <f t="shared" si="4"/>
        <v>5.6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73</v>
      </c>
      <c r="C140" s="50">
        <v>1</v>
      </c>
      <c r="D140" s="60">
        <v>6</v>
      </c>
      <c r="E140" s="51">
        <v>0.2</v>
      </c>
      <c r="F140" s="51">
        <v>0.2</v>
      </c>
      <c r="G140" s="51">
        <v>0.6</v>
      </c>
      <c r="H140" s="51"/>
      <c r="I140" s="57">
        <f>IFERROR(B140/A140,"")</f>
        <v>3.65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103</v>
      </c>
      <c r="C141" s="50">
        <v>2</v>
      </c>
      <c r="D141" s="60">
        <v>28</v>
      </c>
      <c r="E141" s="51">
        <v>0.3</v>
      </c>
      <c r="F141" s="51">
        <v>0.4</v>
      </c>
      <c r="G141" s="51">
        <v>0.3</v>
      </c>
      <c r="H141" s="51"/>
      <c r="I141" s="57">
        <f t="shared" ref="I141:I159" si="5">IF(A141&lt;&gt;0,(B141-(B140-D140))/(A141-A140),"")</f>
        <v>7.2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121</v>
      </c>
      <c r="C142" s="50">
        <v>3</v>
      </c>
      <c r="D142" s="60">
        <v>28</v>
      </c>
      <c r="E142" s="51">
        <v>0.3</v>
      </c>
      <c r="F142" s="51">
        <v>0.4</v>
      </c>
      <c r="G142" s="51">
        <v>0.3</v>
      </c>
      <c r="H142" s="51"/>
      <c r="I142" s="57">
        <f t="shared" si="5"/>
        <v>9.1999999999999993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147</v>
      </c>
      <c r="C143" s="50">
        <v>4</v>
      </c>
      <c r="D143" s="60">
        <v>28</v>
      </c>
      <c r="E143" s="51"/>
      <c r="F143" s="51"/>
      <c r="G143" s="51"/>
      <c r="H143" s="51"/>
      <c r="I143" s="57">
        <f t="shared" si="5"/>
        <v>10.8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175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11.2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204</v>
      </c>
      <c r="C145" s="50">
        <v>6</v>
      </c>
      <c r="D145" s="60">
        <v>28</v>
      </c>
      <c r="E145" s="51"/>
      <c r="F145" s="51"/>
      <c r="G145" s="51"/>
      <c r="H145" s="51"/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231</v>
      </c>
      <c r="C146" s="50">
        <v>7</v>
      </c>
      <c r="D146" s="60">
        <v>28</v>
      </c>
      <c r="E146" s="51"/>
      <c r="F146" s="51"/>
      <c r="G146" s="51"/>
      <c r="H146" s="51"/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254</v>
      </c>
      <c r="C147" s="50">
        <v>8</v>
      </c>
      <c r="D147" s="60">
        <v>28</v>
      </c>
      <c r="E147" s="51"/>
      <c r="F147" s="51"/>
      <c r="G147" s="51"/>
      <c r="H147" s="51"/>
      <c r="I147" s="57">
        <f>IF(A147&lt;&gt;0,(B147-(B146-D146))/(A147-A146),"")</f>
        <v>10.199999999999999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273</v>
      </c>
      <c r="C148" s="50">
        <v>9</v>
      </c>
      <c r="D148" s="60">
        <v>28</v>
      </c>
      <c r="E148" s="51"/>
      <c r="F148" s="51"/>
      <c r="G148" s="51"/>
      <c r="H148" s="51"/>
      <c r="I148" s="57">
        <f t="shared" si="5"/>
        <v>9.4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289</v>
      </c>
      <c r="C149" s="50">
        <v>10</v>
      </c>
      <c r="D149" s="60">
        <v>28</v>
      </c>
      <c r="E149" s="51"/>
      <c r="F149" s="51"/>
      <c r="G149" s="51"/>
      <c r="H149" s="51"/>
      <c r="I149" s="57">
        <f t="shared" si="5"/>
        <v>8.8000000000000007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302</v>
      </c>
      <c r="C150" s="50">
        <v>11</v>
      </c>
      <c r="D150" s="60">
        <v>28</v>
      </c>
      <c r="E150" s="51"/>
      <c r="F150" s="51"/>
      <c r="G150" s="51"/>
      <c r="H150" s="51"/>
      <c r="I150" s="57">
        <f t="shared" si="5"/>
        <v>8.1999999999999993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312</v>
      </c>
      <c r="C151" s="50">
        <v>12</v>
      </c>
      <c r="D151" s="60">
        <v>28</v>
      </c>
      <c r="E151" s="51"/>
      <c r="F151" s="51"/>
      <c r="G151" s="51"/>
      <c r="H151" s="51"/>
      <c r="I151" s="57">
        <f t="shared" si="5"/>
        <v>7.6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320</v>
      </c>
      <c r="C152" s="50">
        <v>13</v>
      </c>
      <c r="D152" s="60">
        <v>28</v>
      </c>
      <c r="E152" s="54"/>
      <c r="F152" s="54"/>
      <c r="G152" s="54"/>
      <c r="H152" s="54"/>
      <c r="I152" s="57">
        <f t="shared" si="5"/>
        <v>7.2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326</v>
      </c>
      <c r="C153" s="50">
        <v>14</v>
      </c>
      <c r="D153" s="60">
        <v>28</v>
      </c>
      <c r="E153" s="54"/>
      <c r="F153" s="54"/>
      <c r="G153" s="54"/>
      <c r="H153" s="54"/>
      <c r="I153" s="57">
        <f t="shared" si="5"/>
        <v>6.8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330</v>
      </c>
      <c r="C154" s="50">
        <v>15</v>
      </c>
      <c r="D154" s="50">
        <v>28</v>
      </c>
      <c r="E154" s="54"/>
      <c r="F154" s="54"/>
      <c r="G154" s="54"/>
      <c r="H154" s="54"/>
      <c r="I154" s="57">
        <f t="shared" si="5"/>
        <v>6.4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333</v>
      </c>
      <c r="C155" s="50">
        <v>16</v>
      </c>
      <c r="D155" s="50">
        <v>28</v>
      </c>
      <c r="E155" s="54"/>
      <c r="F155" s="54"/>
      <c r="G155" s="54"/>
      <c r="H155" s="54"/>
      <c r="I155" s="57">
        <f t="shared" si="5"/>
        <v>6.2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333</v>
      </c>
      <c r="C156" s="50">
        <v>17</v>
      </c>
      <c r="D156" s="50">
        <v>333</v>
      </c>
      <c r="E156" s="54"/>
      <c r="F156" s="54"/>
      <c r="G156" s="54"/>
      <c r="H156" s="54"/>
      <c r="I156" s="57">
        <f t="shared" si="5"/>
        <v>5.6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Robinier faux-acacia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5</v>
      </c>
      <c r="B166" s="60">
        <v>41</v>
      </c>
      <c r="C166" s="60">
        <v>1</v>
      </c>
      <c r="D166" s="60">
        <v>8</v>
      </c>
      <c r="E166" s="51"/>
      <c r="F166" s="51"/>
      <c r="G166" s="51"/>
      <c r="H166" s="51">
        <v>1</v>
      </c>
      <c r="I166" s="49">
        <f>IFERROR(B166/A166,"")</f>
        <v>8.1999999999999993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10</v>
      </c>
      <c r="B167" s="60">
        <v>121</v>
      </c>
      <c r="C167" s="60">
        <v>2</v>
      </c>
      <c r="D167" s="60">
        <v>37</v>
      </c>
      <c r="E167" s="51"/>
      <c r="F167" s="51"/>
      <c r="G167" s="51">
        <v>0.2</v>
      </c>
      <c r="H167" s="51">
        <v>0.8</v>
      </c>
      <c r="I167" s="49">
        <f t="shared" ref="I167:I185" si="6">IF(A167&lt;&gt;0,(B167-(B166-D166))/(A167-A166),"")</f>
        <v>17.600000000000001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15</v>
      </c>
      <c r="B168" s="60">
        <v>169</v>
      </c>
      <c r="C168" s="60">
        <v>3</v>
      </c>
      <c r="D168" s="60">
        <v>29</v>
      </c>
      <c r="E168" s="51"/>
      <c r="F168" s="51"/>
      <c r="G168" s="51">
        <v>0.5</v>
      </c>
      <c r="H168" s="51">
        <v>0.5</v>
      </c>
      <c r="I168" s="49">
        <f t="shared" si="6"/>
        <v>17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20</v>
      </c>
      <c r="B169" s="60">
        <v>217</v>
      </c>
      <c r="C169" s="60">
        <v>4</v>
      </c>
      <c r="D169" s="60">
        <v>23</v>
      </c>
      <c r="E169" s="51">
        <v>0.1</v>
      </c>
      <c r="F169" s="51"/>
      <c r="G169" s="51">
        <v>0.4</v>
      </c>
      <c r="H169" s="51">
        <v>0.5</v>
      </c>
      <c r="I169" s="49">
        <f t="shared" si="6"/>
        <v>15.4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25</v>
      </c>
      <c r="B170" s="60">
        <v>259</v>
      </c>
      <c r="C170" s="60">
        <v>5</v>
      </c>
      <c r="D170" s="60">
        <v>18</v>
      </c>
      <c r="E170" s="51">
        <v>0.3</v>
      </c>
      <c r="F170" s="51"/>
      <c r="G170" s="51">
        <v>0.3</v>
      </c>
      <c r="H170" s="51">
        <v>0.4</v>
      </c>
      <c r="I170" s="49">
        <f t="shared" si="6"/>
        <v>13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30</v>
      </c>
      <c r="B171" s="60">
        <v>294</v>
      </c>
      <c r="C171" s="60">
        <v>6</v>
      </c>
      <c r="D171" s="60">
        <v>14</v>
      </c>
      <c r="E171" s="51">
        <v>0.3</v>
      </c>
      <c r="F171" s="51"/>
      <c r="G171" s="51">
        <v>0.3</v>
      </c>
      <c r="H171" s="51">
        <v>0.4</v>
      </c>
      <c r="I171" s="49">
        <f t="shared" si="6"/>
        <v>10.6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35</v>
      </c>
      <c r="B172" s="60">
        <v>323</v>
      </c>
      <c r="C172" s="60">
        <v>7</v>
      </c>
      <c r="D172" s="60">
        <v>11</v>
      </c>
      <c r="E172" s="51"/>
      <c r="F172" s="51"/>
      <c r="G172" s="51"/>
      <c r="H172" s="51"/>
      <c r="I172" s="49">
        <f t="shared" si="6"/>
        <v>8.6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40</v>
      </c>
      <c r="B173" s="50">
        <v>350</v>
      </c>
      <c r="C173" s="50">
        <v>8</v>
      </c>
      <c r="D173" s="50">
        <v>9</v>
      </c>
      <c r="E173" s="51"/>
      <c r="F173" s="51"/>
      <c r="G173" s="51"/>
      <c r="H173" s="51"/>
      <c r="I173" s="49">
        <f t="shared" si="6"/>
        <v>7.6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45</v>
      </c>
      <c r="B174" s="50">
        <v>378</v>
      </c>
      <c r="C174" s="50">
        <v>9</v>
      </c>
      <c r="D174" s="50">
        <v>378</v>
      </c>
      <c r="E174" s="51"/>
      <c r="F174" s="51"/>
      <c r="G174" s="51"/>
      <c r="H174" s="51"/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Alisier torminal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pubescent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Robinier faux-acacia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430.94515308997018</v>
      </c>
      <c r="T3" s="59">
        <f>IF('Données projet'!E9&gt;30,$R$33-$H$33,LOOKUP('Données projet'!$E$9,$A$3:$A$203,R3:R203)-LOOKUP('Données projet'!$E$9,$A$3:$A$203,$H$3:$H$203))</f>
        <v>294.45557293177131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319.22903094674564</v>
      </c>
      <c r="AO3" s="59">
        <f>IF('Données projet'!E10&gt;30,$AM$33-$H$33,LOOKUP('Données projet'!$E$10,$A$3:$A$203,AM3:AM203)-LOOKUP('Données projet'!$E$10,$A$3:$A$203,$H$3:$H$203))</f>
        <v>254.58690973142848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395.21779046720553</v>
      </c>
      <c r="BJ3" s="59">
        <f>IF('Données projet'!E11&gt;30,$BH$33-$H$33,LOOKUP('Données projet'!$E$11,$A$3:$A$203,BH3:BH203)-LOOKUP('Données projet'!$E$11,$A$3:$A$203,$H$3:$H$203))</f>
        <v>360.05900046417361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449.84356201138451</v>
      </c>
      <c r="CE3" s="59">
        <f>IF('Données projet'!E12&gt;30,$CC$33-$H$33,LOOKUP('Données projet'!$E$12,$A$3:$A$203,CC3:CC203)-LOOKUP('Données projet'!$E$12,$A$3:$A$203,$H$3:$H$203))</f>
        <v>306.61893266146666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475.01366239340246</v>
      </c>
      <c r="CZ3" s="59">
        <f>IF('Données projet'!E13&gt;30,$CX$33-$H$33,LOOKUP('Données projet'!$E$13,$A$3:$A$203,CX3:CX203)-LOOKUP('Données projet'!$E$13,$A$3:$A$203,$H$3:$H$203))</f>
        <v>322.81767004794284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436.23918637269577</v>
      </c>
      <c r="DU3" s="59">
        <f>IF('Données projet'!E14&gt;30,$DS$33-$H$33,LOOKUP('Données projet'!$E$14,$A$3:$A$203,DS3:DS203)-LOOKUP('Données projet'!$E$14,$A$3:$A$203,$H$3:$H$203))</f>
        <v>611.43967996341894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1.1986225139154763</v>
      </c>
      <c r="P4" s="13">
        <f>EXP(-1.0587+0.8836*LN(O4)+0.284)</f>
        <v>0.54084878793982472</v>
      </c>
      <c r="Q4" s="20">
        <f t="shared" ref="Q4:Q34" si="2">(O4+P4)*0.475*44/12</f>
        <v>3.0295791840646493</v>
      </c>
      <c r="R4" s="59">
        <f t="shared" si="0"/>
        <v>260.91846807295349</v>
      </c>
      <c r="S4" s="59">
        <f ca="1">AVERAGE(OFFSET($R$3,0,0,'Données projet'!$E$9+1,1))-AVERAGE(OFFSET($H$3,0,0,'Données projet'!$E$9+1,1))</f>
        <v>430.94515308997018</v>
      </c>
      <c r="T4" s="59">
        <f>$T$3</f>
        <v>294.45557293177131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259.45197446629572</v>
      </c>
      <c r="AN4" s="59">
        <f ca="1">AVERAGE(OFFSET($AM$3,0,0,'Données projet'!$E$10+1,1))-AVERAGE(OFFSET($H$3,0,0,'Données projet'!$E$10+1,1))</f>
        <v>319.22903094674564</v>
      </c>
      <c r="AO4" s="59">
        <f>$AO$3</f>
        <v>254.58690973142848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3.5</v>
      </c>
      <c r="BD4" s="12">
        <f>IF('Données projet'!$A$88&gt;35,BD3+BC4-BL3,IF(A4&lt;'Données projet'!$A$88,$BA$205^A4,IF(A4='Données projet'!$A$88,'Données projet'!$B$88,BD3+BC4-BL3)))</f>
        <v>1.4269435884576509</v>
      </c>
      <c r="BE4" s="13">
        <f>BD4*VLOOKUP('Données projet'!$B$11,Paramètres!$A$1:$I$89,3,0)*VLOOKUP('Données projet'!$B$11,Paramètres!$A$1:$I$89,5,0)</f>
        <v>1.246577918876604</v>
      </c>
      <c r="BF4" s="13">
        <f>EXP(-1.0587+0.8836*LN(BE4)+0.284)</f>
        <v>0.55992486380829476</v>
      </c>
      <c r="BG4" s="20">
        <f t="shared" ref="BG4:BG67" si="7">(BE4+BF4)*0.475*44/12</f>
        <v>3.1463256798428652</v>
      </c>
      <c r="BH4" s="59">
        <f t="shared" ref="BH4:BH67" si="8">BG4+(AY4+AZ4)*44/12</f>
        <v>261.0352145687317</v>
      </c>
      <c r="BI4" s="59">
        <f ca="1">AVERAGE(OFFSET($BH$3,0,0,'Données projet'!$E$11+1,1))-AVERAGE(OFFSET($H$3,0,0,'Données projet'!$E$11+1,1))</f>
        <v>395.21779046720553</v>
      </c>
      <c r="BJ4" s="59">
        <f>$BJ$3</f>
        <v>360.05900046417361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1.2566203774920315</v>
      </c>
      <c r="CA4" s="13">
        <f>EXP(-1.0587+0.8836*LN(BZ4)+0.284)</f>
        <v>0.56390871417545174</v>
      </c>
      <c r="CB4" s="20">
        <f t="shared" ref="CB4:CB67" si="10">(BZ4+CA4)*0.475*44/12</f>
        <v>3.1707548346542</v>
      </c>
      <c r="CC4" s="59">
        <f t="shared" ref="CC4:CC67" si="11">CB4+(BT4+BU4)*44/12</f>
        <v>261.05964372354305</v>
      </c>
      <c r="CD4" s="59">
        <f ca="1">AVERAGE(OFFSET($CC$3,0,0,'Données projet'!$E$12+1,1))-AVERAGE(OFFSET($H$3,0,0,'Données projet'!$E$12+1,1))</f>
        <v>449.84356201138451</v>
      </c>
      <c r="CE4" s="59">
        <f>$CE$3</f>
        <v>306.61893266146666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3.65</v>
      </c>
      <c r="CT4" s="12">
        <f>IF('Données projet'!$A$140&gt;35,CT3+CS4-DB3,IF(A4&lt;'Données projet'!$A$140,$CQ$205^A4,IF(A4='Données projet'!$A$140,'Données projet'!$B$140,CT3+CS4-DB3)))</f>
        <v>1.2392705892426346</v>
      </c>
      <c r="CU4" s="17">
        <f>CT4*VLOOKUP('Données projet'!$B$13,Paramètres!$A$1:$I$89,3,0)*VLOOKUP('Données projet'!$B$13,Paramètres!$A$1:$I$89,5,0)</f>
        <v>1.3339508622607719</v>
      </c>
      <c r="CV4" s="13">
        <f>EXP(-1.0587+0.8836*LN(CU4)+0.284)</f>
        <v>0.59446408362489378</v>
      </c>
      <c r="CW4" s="20">
        <f t="shared" ref="CW4:CW67" si="13">(CU4+CV4)*0.475*44/12</f>
        <v>3.3586560307508679</v>
      </c>
      <c r="CX4" s="59">
        <f t="shared" ref="CX4:CX67" si="14">CW4+(CO4+CP4)*44/12</f>
        <v>261.24754491963972</v>
      </c>
      <c r="CY4" s="59">
        <f ca="1">AVERAGE(OFFSET($CX$3,0,0,'Données projet'!$E$13+1,1))-AVERAGE(OFFSET($H$3,0,0,'Données projet'!$E$13+1,1))</f>
        <v>475.01366239340246</v>
      </c>
      <c r="CZ4" s="59">
        <f>$CZ$3</f>
        <v>322.81767004794284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8.1999999999999993</v>
      </c>
      <c r="DO4" s="12">
        <f>IF('Données projet'!$A$166&gt;35,DO3+DN4-DW3,IF(A4&lt;'Données projet'!$A$166,$DL$205^A4,IF(A4='Données projet'!$A$166,'Données projet'!$B$166,DO3+DN4-DW3)))</f>
        <v>2.1016324782757847</v>
      </c>
      <c r="DP4" s="17">
        <f>DO4*VLOOKUP('Données projet'!$B$14,Paramètres!$A$1:$I$89,3,0)*VLOOKUP('Données projet'!$B$14,Paramètres!$A$1:$I$89,5,0)</f>
        <v>1.9015570663439298</v>
      </c>
      <c r="DQ4" s="13">
        <f>EXP(-1.0587+0.8836*LN(DP4)+0.284)</f>
        <v>0.81315455339418119</v>
      </c>
      <c r="DR4" s="20">
        <f t="shared" ref="DR4:DR67" si="16">(DP4+DQ4)*0.475*44/12</f>
        <v>4.7281227377105433</v>
      </c>
      <c r="DS4" s="59">
        <f t="shared" ref="DS4:DS67" si="17">DR4+(DJ4+DK4)*44/12</f>
        <v>262.61701162659938</v>
      </c>
      <c r="DT4" s="59">
        <f ca="1">AVERAGE(OFFSET($DS$3,0,0,'Données projet'!$E$14+1,1))-AVERAGE(OFFSET($H$3,0,0,'Données projet'!$E$14+1,1))</f>
        <v>436.23918637269577</v>
      </c>
      <c r="DU4" s="59">
        <f>$DU$3</f>
        <v>611.43967996341894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1.4854176290995202</v>
      </c>
      <c r="P5" s="13">
        <f t="shared" ref="P5:P68" si="33">EXP(-1.0587+0.8836*LN(O5)+0.284)</f>
        <v>0.65372856897250708</v>
      </c>
      <c r="Q5" s="20">
        <f t="shared" si="2"/>
        <v>3.725679628308781</v>
      </c>
      <c r="R5" s="59">
        <f t="shared" si="0"/>
        <v>262.83679073941994</v>
      </c>
      <c r="S5" s="59">
        <f ca="1">AVERAGE(OFFSET($R$3,0,0,'Données projet'!$E$9+1,1))-AVERAGE(OFFSET($H$3,0,0,'Données projet'!$E$9+1,1))</f>
        <v>430.94515308997018</v>
      </c>
      <c r="T5" s="59">
        <f t="shared" ref="T5:T68" si="34">$T$3</f>
        <v>294.45557293177131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261.10525168652157</v>
      </c>
      <c r="AN5" s="59">
        <f ca="1">AVERAGE(OFFSET($AM$3,0,0,'Données projet'!$E$10+1,1))-AVERAGE(OFFSET($H$3,0,0,'Données projet'!$E$10+1,1))</f>
        <v>319.22903094674564</v>
      </c>
      <c r="AO5" s="59">
        <f t="shared" ref="AO5:AO68" si="36">$AO$3</f>
        <v>254.58690973142848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3.5</v>
      </c>
      <c r="BD5" s="12">
        <f>IF('Données projet'!$A$88&gt;35,BD4+BC5-BL4,IF(A5&lt;'Données projet'!$A$88,$BA$205^A5,IF(A5='Données projet'!$A$88,'Données projet'!$B$88,BD4+BC5-BL4)))</f>
        <v>2.0361680046403978</v>
      </c>
      <c r="BE5" s="13">
        <f>BD5*VLOOKUP('Données projet'!$B$11,Paramètres!$A$1:$I$89,3,0)*VLOOKUP('Données projet'!$B$11,Paramètres!$A$1:$I$89,5,0)</f>
        <v>1.7787963688538517</v>
      </c>
      <c r="BF5" s="13">
        <f t="shared" ref="BF5:BF68" si="37">EXP(-1.0587+0.8836*LN(BE5)+0.284)</f>
        <v>0.76659080447596062</v>
      </c>
      <c r="BG5" s="20">
        <f t="shared" si="7"/>
        <v>4.4332159935494238</v>
      </c>
      <c r="BH5" s="59">
        <f t="shared" si="8"/>
        <v>263.54432710466057</v>
      </c>
      <c r="BI5" s="59">
        <f ca="1">AVERAGE(OFFSET($BH$3,0,0,'Données projet'!$E$11+1,1))-AVERAGE(OFFSET($H$3,0,0,'Données projet'!$E$11+1,1))</f>
        <v>395.21779046720553</v>
      </c>
      <c r="BJ5" s="59">
        <f t="shared" ref="BJ5:BJ68" si="38">$BJ$3</f>
        <v>360.05900046417361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1.5572926756688519</v>
      </c>
      <c r="CA5" s="13">
        <f t="shared" ref="CA5:CA68" si="39">EXP(-1.0587+0.8836*LN(BZ5)+0.284)</f>
        <v>0.68160129960402205</v>
      </c>
      <c r="CB5" s="20">
        <f t="shared" si="10"/>
        <v>3.8994070069335893</v>
      </c>
      <c r="CC5" s="59">
        <f t="shared" si="11"/>
        <v>263.01051811804473</v>
      </c>
      <c r="CD5" s="59">
        <f ca="1">AVERAGE(OFFSET($CC$3,0,0,'Données projet'!$E$12+1,1))-AVERAGE(OFFSET($H$3,0,0,'Données projet'!$E$12+1,1))</f>
        <v>449.84356201138451</v>
      </c>
      <c r="CE5" s="59">
        <f t="shared" ref="CE5:CE68" si="40">$CE$3</f>
        <v>306.61893266146666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3.65</v>
      </c>
      <c r="CT5" s="12">
        <f>IF('Données projet'!$A$140&gt;35,CT4+CS5-DB4,IF(A5&lt;'Données projet'!$A$140,$CQ$205^A5,IF(A5='Données projet'!$A$140,'Données projet'!$B$140,CT4+CS5-DB4)))</f>
        <v>1.5357915933617867</v>
      </c>
      <c r="CU5" s="17">
        <f>CT5*VLOOKUP('Données projet'!$B$13,Paramètres!$A$1:$I$89,3,0)*VLOOKUP('Données projet'!$B$13,Paramètres!$A$1:$I$89,5,0)</f>
        <v>1.6531260710946272</v>
      </c>
      <c r="CV5" s="13">
        <f t="shared" ref="CV5:CV68" si="41">EXP(-1.0587+0.8836*LN(CU5)+0.284)</f>
        <v>0.7185338367382873</v>
      </c>
      <c r="CW5" s="20">
        <f t="shared" si="13"/>
        <v>4.1306410061423255</v>
      </c>
      <c r="CX5" s="59">
        <f t="shared" si="14"/>
        <v>263.24175211725344</v>
      </c>
      <c r="CY5" s="59">
        <f ca="1">AVERAGE(OFFSET($CX$3,0,0,'Données projet'!$E$13+1,1))-AVERAGE(OFFSET($H$3,0,0,'Données projet'!$E$13+1,1))</f>
        <v>475.01366239340246</v>
      </c>
      <c r="CZ5" s="59">
        <f t="shared" ref="CZ5:CZ68" si="42">$CZ$3</f>
        <v>322.81767004794284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8.1999999999999993</v>
      </c>
      <c r="DO5" s="12">
        <f>IF('Données projet'!$A$166&gt;35,DO4+DN5-DW4,IF(A5&lt;'Données projet'!$A$166,$DL$205^A5,IF(A5='Données projet'!$A$166,'Données projet'!$B$166,DO4+DN5-DW4)))</f>
        <v>4.4168590737436171</v>
      </c>
      <c r="DP5" s="17">
        <f>DO5*VLOOKUP('Données projet'!$B$14,Paramètres!$A$1:$I$89,3,0)*VLOOKUP('Données projet'!$B$14,Paramètres!$A$1:$I$89,5,0)</f>
        <v>3.9963740899232247</v>
      </c>
      <c r="DQ5" s="13">
        <f t="shared" ref="DQ5:DQ68" si="43">EXP(-1.0587+0.8836*LN(DP5)+0.284)</f>
        <v>1.567415948479109</v>
      </c>
      <c r="DR5" s="20">
        <f t="shared" si="16"/>
        <v>9.6902676502173968</v>
      </c>
      <c r="DS5" s="59">
        <f t="shared" si="17"/>
        <v>268.80137876132852</v>
      </c>
      <c r="DT5" s="59">
        <f ca="1">AVERAGE(OFFSET($DS$3,0,0,'Données projet'!$E$14+1,1))-AVERAGE(OFFSET($H$3,0,0,'Données projet'!$E$14+1,1))</f>
        <v>436.23918637269577</v>
      </c>
      <c r="DU5" s="59">
        <f t="shared" ref="DU5:DU68" si="44">$DU$3</f>
        <v>611.43967996341894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1.8408343804855598</v>
      </c>
      <c r="P6" s="13">
        <f t="shared" si="33"/>
        <v>0.79016732850363813</v>
      </c>
      <c r="Q6" s="20">
        <f t="shared" si="2"/>
        <v>4.5823279764895188</v>
      </c>
      <c r="R6" s="59">
        <f t="shared" si="0"/>
        <v>264.91566130982284</v>
      </c>
      <c r="S6" s="59">
        <f ca="1">AVERAGE(OFFSET($R$3,0,0,'Données projet'!$E$9+1,1))-AVERAGE(OFFSET($H$3,0,0,'Données projet'!$E$9+1,1))</f>
        <v>430.94515308997018</v>
      </c>
      <c r="T6" s="59">
        <f t="shared" si="34"/>
        <v>294.45557293177131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262.8778838402435</v>
      </c>
      <c r="AN6" s="59">
        <f ca="1">AVERAGE(OFFSET($AM$3,0,0,'Données projet'!$E$10+1,1))-AVERAGE(OFFSET($H$3,0,0,'Données projet'!$E$10+1,1))</f>
        <v>319.22903094674564</v>
      </c>
      <c r="AO6" s="59">
        <f t="shared" si="36"/>
        <v>254.58690973142848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3.5</v>
      </c>
      <c r="BD6" s="12">
        <f>IF('Données projet'!$A$88&gt;35,BD5+BC6-BL5,IF(A6&lt;'Données projet'!$A$88,$BA$205^A6,IF(A6='Données projet'!$A$88,'Données projet'!$B$88,BD5+BC6-BL5)))</f>
        <v>2.905496879244224</v>
      </c>
      <c r="BE6" s="13">
        <f>BD6*VLOOKUP('Données projet'!$B$11,Paramètres!$A$1:$I$89,3,0)*VLOOKUP('Données projet'!$B$11,Paramètres!$A$1:$I$89,5,0)</f>
        <v>2.5382420737077545</v>
      </c>
      <c r="BF6" s="13">
        <f t="shared" si="37"/>
        <v>1.049536285118966</v>
      </c>
      <c r="BG6" s="20">
        <f t="shared" si="7"/>
        <v>6.2487139749565381</v>
      </c>
      <c r="BH6" s="59">
        <f t="shared" si="8"/>
        <v>266.58204730828987</v>
      </c>
      <c r="BI6" s="59">
        <f ca="1">AVERAGE(OFFSET($BH$3,0,0,'Données projet'!$E$11+1,1))-AVERAGE(OFFSET($H$3,0,0,'Données projet'!$E$11+1,1))</f>
        <v>395.21779046720553</v>
      </c>
      <c r="BJ6" s="59">
        <f t="shared" si="38"/>
        <v>360.05900046417361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1.9299070117993768</v>
      </c>
      <c r="CA6" s="13">
        <f t="shared" si="39"/>
        <v>0.82385733708903885</v>
      </c>
      <c r="CB6" s="20">
        <f t="shared" si="10"/>
        <v>4.7961395743139903</v>
      </c>
      <c r="CC6" s="59">
        <f t="shared" si="11"/>
        <v>265.12947290764731</v>
      </c>
      <c r="CD6" s="59">
        <f ca="1">AVERAGE(OFFSET($CC$3,0,0,'Données projet'!$E$12+1,1))-AVERAGE(OFFSET($H$3,0,0,'Données projet'!$E$12+1,1))</f>
        <v>449.84356201138451</v>
      </c>
      <c r="CE6" s="59">
        <f t="shared" si="40"/>
        <v>306.61893266146666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3.65</v>
      </c>
      <c r="CT6" s="12">
        <f>IF('Données projet'!$A$140&gt;35,CT5+CS6-DB5,IF(A6&lt;'Données projet'!$A$140,$CQ$205^A6,IF(A6='Données projet'!$A$140,'Données projet'!$B$140,CT5+CS6-DB5)))</f>
        <v>1.9032613528593461</v>
      </c>
      <c r="CU6" s="17">
        <f>CT6*VLOOKUP('Données projet'!$B$13,Paramètres!$A$1:$I$89,3,0)*VLOOKUP('Données projet'!$B$13,Paramètres!$A$1:$I$89,5,0)</f>
        <v>2.0486705202177999</v>
      </c>
      <c r="CV6" s="13">
        <f t="shared" si="41"/>
        <v>0.86849801150244532</v>
      </c>
      <c r="CW6" s="20">
        <f t="shared" si="13"/>
        <v>5.0807351927460944</v>
      </c>
      <c r="CX6" s="59">
        <f t="shared" si="14"/>
        <v>265.4140685260794</v>
      </c>
      <c r="CY6" s="59">
        <f ca="1">AVERAGE(OFFSET($CX$3,0,0,'Données projet'!$E$13+1,1))-AVERAGE(OFFSET($H$3,0,0,'Données projet'!$E$13+1,1))</f>
        <v>475.01366239340246</v>
      </c>
      <c r="CZ6" s="59">
        <f t="shared" si="42"/>
        <v>322.81767004794284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8.1999999999999993</v>
      </c>
      <c r="DO6" s="12">
        <f>IF('Données projet'!$A$166&gt;35,DO5+DN6-DW5,IF(A6&lt;'Données projet'!$A$166,$DL$205^A6,IF(A6='Données projet'!$A$166,'Données projet'!$B$166,DO5+DN6-DW5)))</f>
        <v>9.282614481346684</v>
      </c>
      <c r="DP6" s="17">
        <f>DO6*VLOOKUP('Données projet'!$B$14,Paramètres!$A$1:$I$89,3,0)*VLOOKUP('Données projet'!$B$14,Paramètres!$A$1:$I$89,5,0)</f>
        <v>8.3989095827224798</v>
      </c>
      <c r="DQ6" s="13">
        <f t="shared" si="43"/>
        <v>3.0213109491815406</v>
      </c>
      <c r="DR6" s="20">
        <f t="shared" si="16"/>
        <v>19.890217426399502</v>
      </c>
      <c r="DS6" s="59">
        <f t="shared" si="17"/>
        <v>280.2235507597328</v>
      </c>
      <c r="DT6" s="59">
        <f ca="1">AVERAGE(OFFSET($DS$3,0,0,'Données projet'!$E$14+1,1))-AVERAGE(OFFSET($H$3,0,0,'Données projet'!$E$14+1,1))</f>
        <v>436.23918637269577</v>
      </c>
      <c r="DU6" s="59">
        <f t="shared" si="44"/>
        <v>611.43967996341894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2.2812919074024398</v>
      </c>
      <c r="P7" s="13">
        <f t="shared" si="33"/>
        <v>0.95508202741684722</v>
      </c>
      <c r="Q7" s="20">
        <f t="shared" si="2"/>
        <v>5.6366846031435918</v>
      </c>
      <c r="R7" s="59">
        <f t="shared" si="0"/>
        <v>267.19224015869912</v>
      </c>
      <c r="S7" s="59">
        <f ca="1">AVERAGE(OFFSET($R$3,0,0,'Données projet'!$E$9+1,1))-AVERAGE(OFFSET($H$3,0,0,'Données projet'!$E$9+1,1))</f>
        <v>430.94515308997018</v>
      </c>
      <c r="T7" s="59">
        <f t="shared" si="34"/>
        <v>294.45557293177131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264.80304536680109</v>
      </c>
      <c r="AN7" s="59">
        <f ca="1">AVERAGE(OFFSET($AM$3,0,0,'Données projet'!$E$10+1,1))-AVERAGE(OFFSET($H$3,0,0,'Données projet'!$E$10+1,1))</f>
        <v>319.22903094674564</v>
      </c>
      <c r="AO7" s="59">
        <f t="shared" si="36"/>
        <v>254.58690973142848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3.5</v>
      </c>
      <c r="BD7" s="12">
        <f>IF('Données projet'!$A$88&gt;35,BD6+BC7-BL6,IF(A7&lt;'Données projet'!$A$88,$BA$205^A7,IF(A7='Données projet'!$A$88,'Données projet'!$B$88,BD6+BC7-BL6)))</f>
        <v>4.1459801431212595</v>
      </c>
      <c r="BE7" s="13">
        <f>BD7*VLOOKUP('Données projet'!$B$11,Paramètres!$A$1:$I$89,3,0)*VLOOKUP('Données projet'!$B$11,Paramètres!$A$1:$I$89,5,0)</f>
        <v>3.6219282530307328</v>
      </c>
      <c r="BF7" s="13">
        <f t="shared" si="37"/>
        <v>1.4369157669903438</v>
      </c>
      <c r="BG7" s="20">
        <f t="shared" si="7"/>
        <v>8.8108200015367082</v>
      </c>
      <c r="BH7" s="59">
        <f t="shared" si="8"/>
        <v>270.36637555709223</v>
      </c>
      <c r="BI7" s="59">
        <f ca="1">AVERAGE(OFFSET($BH$3,0,0,'Données projet'!$E$11+1,1))-AVERAGE(OFFSET($H$3,0,0,'Données projet'!$E$11+1,1))</f>
        <v>395.21779046720553</v>
      </c>
      <c r="BJ7" s="59">
        <f t="shared" si="38"/>
        <v>360.05900046417361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2.3916769996961063</v>
      </c>
      <c r="CA7" s="13">
        <f t="shared" si="39"/>
        <v>0.9958034297612971</v>
      </c>
      <c r="CB7" s="20">
        <f t="shared" si="10"/>
        <v>5.8998617479716442</v>
      </c>
      <c r="CC7" s="59">
        <f t="shared" si="11"/>
        <v>267.45541730352721</v>
      </c>
      <c r="CD7" s="59">
        <f ca="1">AVERAGE(OFFSET($CC$3,0,0,'Données projet'!$E$12+1,1))-AVERAGE(OFFSET($H$3,0,0,'Données projet'!$E$12+1,1))</f>
        <v>449.84356201138451</v>
      </c>
      <c r="CE7" s="59">
        <f t="shared" si="40"/>
        <v>306.61893266146666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3.65</v>
      </c>
      <c r="CT7" s="12">
        <f>IF('Données projet'!$A$140&gt;35,CT6+CS7-DB6,IF(A7&lt;'Données projet'!$A$140,$CQ$205^A7,IF(A7='Données projet'!$A$140,'Données projet'!$B$140,CT6+CS7-DB6)))</f>
        <v>2.3586558182407358</v>
      </c>
      <c r="CU7" s="17">
        <f>CT7*VLOOKUP('Données projet'!$B$13,Paramètres!$A$1:$I$89,3,0)*VLOOKUP('Données projet'!$B$13,Paramètres!$A$1:$I$89,5,0)</f>
        <v>2.5388571227543277</v>
      </c>
      <c r="CV7" s="13">
        <f t="shared" si="41"/>
        <v>1.0497609958185417</v>
      </c>
      <c r="CW7" s="20">
        <f t="shared" si="13"/>
        <v>6.2501765565144138</v>
      </c>
      <c r="CX7" s="59">
        <f t="shared" si="14"/>
        <v>267.80573211206996</v>
      </c>
      <c r="CY7" s="59">
        <f ca="1">AVERAGE(OFFSET($CX$3,0,0,'Données projet'!$E$13+1,1))-AVERAGE(OFFSET($H$3,0,0,'Données projet'!$E$13+1,1))</f>
        <v>475.01366239340246</v>
      </c>
      <c r="CZ7" s="59">
        <f t="shared" si="42"/>
        <v>322.81767004794284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8.1999999999999993</v>
      </c>
      <c r="DO7" s="12">
        <f>IF('Données projet'!$A$166&gt;35,DO6+DN7-DW6,IF(A7&lt;'Données projet'!$A$166,$DL$205^A7,IF(A7='Données projet'!$A$166,'Données projet'!$B$166,DO6+DN7-DW6)))</f>
        <v>19.508644077311324</v>
      </c>
      <c r="DP7" s="17">
        <f>DO7*VLOOKUP('Données projet'!$B$14,Paramètres!$A$1:$I$89,3,0)*VLOOKUP('Données projet'!$B$14,Paramètres!$A$1:$I$89,5,0)</f>
        <v>17.651421161151287</v>
      </c>
      <c r="DQ7" s="13">
        <f t="shared" si="43"/>
        <v>5.8238018188481702</v>
      </c>
      <c r="DR7" s="20">
        <f t="shared" si="16"/>
        <v>40.886013356832393</v>
      </c>
      <c r="DS7" s="59">
        <f t="shared" si="17"/>
        <v>302.44156891238794</v>
      </c>
      <c r="DT7" s="59">
        <f ca="1">AVERAGE(OFFSET($DS$3,0,0,'Données projet'!$E$14+1,1))-AVERAGE(OFFSET($H$3,0,0,'Données projet'!$E$14+1,1))</f>
        <v>436.23918637269577</v>
      </c>
      <c r="DU7" s="59">
        <f t="shared" si="44"/>
        <v>611.43967996341894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2.8271379663210752</v>
      </c>
      <c r="P8" s="13">
        <f t="shared" si="33"/>
        <v>1.1544158385061292</v>
      </c>
      <c r="Q8" s="20">
        <f t="shared" si="2"/>
        <v>6.9345395434073795</v>
      </c>
      <c r="R8" s="59">
        <f t="shared" si="0"/>
        <v>269.71231732118514</v>
      </c>
      <c r="S8" s="59">
        <f ca="1">AVERAGE(OFFSET($R$3,0,0,'Données projet'!$E$9+1,1))-AVERAGE(OFFSET($H$3,0,0,'Données projet'!$E$9+1,1))</f>
        <v>430.94515308997018</v>
      </c>
      <c r="T8" s="59">
        <f t="shared" si="34"/>
        <v>294.45557293177131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266.92316437994907</v>
      </c>
      <c r="AN8" s="59">
        <f ca="1">AVERAGE(OFFSET($AM$3,0,0,'Données projet'!$E$10+1,1))-AVERAGE(OFFSET($H$3,0,0,'Données projet'!$E$10+1,1))</f>
        <v>319.22903094674564</v>
      </c>
      <c r="AO8" s="59">
        <f t="shared" si="36"/>
        <v>254.58690973142848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3.5</v>
      </c>
      <c r="BD8" s="12">
        <f>IF('Données projet'!$A$88&gt;35,BD7+BC8-BL7,IF(A8&lt;'Données projet'!$A$88,$BA$205^A8,IF(A8='Données projet'!$A$88,'Données projet'!$B$88,BD7+BC8-BL7)))</f>
        <v>5.9160797830996152</v>
      </c>
      <c r="BE8" s="13">
        <f>BD8*VLOOKUP('Données projet'!$B$11,Paramètres!$A$1:$I$89,3,0)*VLOOKUP('Données projet'!$B$11,Paramètres!$A$1:$I$89,5,0)</f>
        <v>5.1682872985158239</v>
      </c>
      <c r="BF8" s="13">
        <f t="shared" si="37"/>
        <v>1.967275406006004</v>
      </c>
      <c r="BG8" s="20">
        <f t="shared" si="7"/>
        <v>12.427771710375517</v>
      </c>
      <c r="BH8" s="59">
        <f t="shared" si="8"/>
        <v>275.20554948815328</v>
      </c>
      <c r="BI8" s="59">
        <f ca="1">AVERAGE(OFFSET($BH$3,0,0,'Données projet'!$E$11+1,1))-AVERAGE(OFFSET($H$3,0,0,'Données projet'!$E$11+1,1))</f>
        <v>395.21779046720553</v>
      </c>
      <c r="BJ8" s="59">
        <f t="shared" si="38"/>
        <v>360.05900046417361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2.9639349646914495</v>
      </c>
      <c r="CA8" s="13">
        <f t="shared" si="39"/>
        <v>1.2036361467970902</v>
      </c>
      <c r="CB8" s="20">
        <f t="shared" si="10"/>
        <v>7.2585196858425398</v>
      </c>
      <c r="CC8" s="59">
        <f t="shared" si="11"/>
        <v>270.03629746362031</v>
      </c>
      <c r="CD8" s="59">
        <f ca="1">AVERAGE(OFFSET($CC$3,0,0,'Données projet'!$E$12+1,1))-AVERAGE(OFFSET($H$3,0,0,'Données projet'!$E$12+1,1))</f>
        <v>449.84356201138451</v>
      </c>
      <c r="CE8" s="59">
        <f t="shared" si="40"/>
        <v>306.61893266146666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3.65</v>
      </c>
      <c r="CT8" s="12">
        <f>IF('Données projet'!$A$140&gt;35,CT7+CS8-DB7,IF(A8&lt;'Données projet'!$A$140,$CQ$205^A8,IF(A8='Données projet'!$A$140,'Données projet'!$B$140,CT7+CS8-DB7)))</f>
        <v>2.9230127856917649</v>
      </c>
      <c r="CU8" s="17">
        <f>CT8*VLOOKUP('Données projet'!$B$13,Paramètres!$A$1:$I$89,3,0)*VLOOKUP('Données projet'!$B$13,Paramètres!$A$1:$I$89,5,0)</f>
        <v>3.1463309625186153</v>
      </c>
      <c r="CV8" s="13">
        <f t="shared" si="41"/>
        <v>1.2688551196974542</v>
      </c>
      <c r="CW8" s="20">
        <f t="shared" si="13"/>
        <v>7.6897824265263219</v>
      </c>
      <c r="CX8" s="59">
        <f t="shared" si="14"/>
        <v>270.46756020430411</v>
      </c>
      <c r="CY8" s="59">
        <f ca="1">AVERAGE(OFFSET($CX$3,0,0,'Données projet'!$E$13+1,1))-AVERAGE(OFFSET($H$3,0,0,'Données projet'!$E$13+1,1))</f>
        <v>475.01366239340246</v>
      </c>
      <c r="CZ8" s="59">
        <f t="shared" si="42"/>
        <v>322.81767004794284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>
        <f>VLOOKUP(A8,'Données projet'!$A$165:$I$185,2,0)</f>
        <v>41</v>
      </c>
      <c r="DM8" s="12">
        <f>VLOOKUP(A8,'Données projet'!$A$165:$I$185,9,0)</f>
        <v>8.1999999999999993</v>
      </c>
      <c r="DN8" s="12">
        <f t="array" ref="DN8">INDEX(DM:DM,MIN(IF(ISNUMBER(DM8:DM204),ROW(DM8:DM204),"")))</f>
        <v>8.1999999999999993</v>
      </c>
      <c r="DO8" s="12">
        <f>IF('Données projet'!$A$166&gt;35,DO7+DN8-DW7,IF(A8&lt;'Données projet'!$A$166,$DL$205^A8,IF(A8='Données projet'!$A$166,'Données projet'!$B$166,DO7+DN8-DW7)))</f>
        <v>41</v>
      </c>
      <c r="DP8" s="17">
        <f>DO8*VLOOKUP('Données projet'!$B$14,Paramètres!$A$1:$I$89,3,0)*VLOOKUP('Données projet'!$B$14,Paramètres!$A$1:$I$89,5,0)</f>
        <v>37.096799999999995</v>
      </c>
      <c r="DQ8" s="13">
        <f t="shared" si="43"/>
        <v>11.225811641270189</v>
      </c>
      <c r="DR8" s="20">
        <f t="shared" si="16"/>
        <v>84.161881941878903</v>
      </c>
      <c r="DS8" s="59">
        <f t="shared" si="17"/>
        <v>346.93965971965667</v>
      </c>
      <c r="DT8" s="59">
        <f ca="1">AVERAGE(OFFSET($DS$3,0,0,'Données projet'!$E$14+1,1))-AVERAGE(OFFSET($H$3,0,0,'Données projet'!$E$14+1,1))</f>
        <v>436.23918637269577</v>
      </c>
      <c r="DU8" s="59">
        <f t="shared" si="44"/>
        <v>611.43967996341894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8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3.5035889333929422</v>
      </c>
      <c r="P9" s="13">
        <f t="shared" si="33"/>
        <v>1.3953523257036018</v>
      </c>
      <c r="Q9" s="20">
        <f t="shared" si="2"/>
        <v>8.5323226929264795</v>
      </c>
      <c r="R9" s="59">
        <f t="shared" si="0"/>
        <v>272.53232269292647</v>
      </c>
      <c r="S9" s="59">
        <f ca="1">AVERAGE(OFFSET($R$3,0,0,'Données projet'!$E$9+1,1))-AVERAGE(OFFSET($H$3,0,0,'Données projet'!$E$9+1,1))</f>
        <v>430.94515308997018</v>
      </c>
      <c r="T9" s="59">
        <f t="shared" si="34"/>
        <v>294.45557293177131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269.29251243621979</v>
      </c>
      <c r="AN9" s="59">
        <f ca="1">AVERAGE(OFFSET($AM$3,0,0,'Données projet'!$E$10+1,1))-AVERAGE(OFFSET($H$3,0,0,'Données projet'!$E$10+1,1))</f>
        <v>319.22903094674564</v>
      </c>
      <c r="AO9" s="59">
        <f t="shared" si="36"/>
        <v>254.58690973142848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3.5</v>
      </c>
      <c r="BD9" s="12">
        <f>IF('Données projet'!$A$88&gt;35,BD8+BC9-BL8,IF(A9&lt;'Données projet'!$A$88,$BA$205^A9,IF(A9='Données projet'!$A$88,'Données projet'!$B$88,BD8+BC9-BL8)))</f>
        <v>8.4419121152979262</v>
      </c>
      <c r="BE9" s="13">
        <f>BD9*VLOOKUP('Données projet'!$B$11,Paramètres!$A$1:$I$89,3,0)*VLOOKUP('Données projet'!$B$11,Paramètres!$A$1:$I$89,5,0)</f>
        <v>7.3748544239242699</v>
      </c>
      <c r="BF9" s="13">
        <f t="shared" si="37"/>
        <v>2.6933885840659002</v>
      </c>
      <c r="BG9" s="20">
        <f t="shared" si="7"/>
        <v>17.535523238916209</v>
      </c>
      <c r="BH9" s="59">
        <f t="shared" si="8"/>
        <v>281.5355232389162</v>
      </c>
      <c r="BI9" s="59">
        <f ca="1">AVERAGE(OFFSET($BH$3,0,0,'Données projet'!$E$11+1,1))-AVERAGE(OFFSET($H$3,0,0,'Données projet'!$E$11+1,1))</f>
        <v>395.21779046720553</v>
      </c>
      <c r="BJ9" s="59">
        <f t="shared" si="38"/>
        <v>360.05900046417361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3.6731174301700205</v>
      </c>
      <c r="CA9" s="13">
        <f t="shared" si="39"/>
        <v>1.4548453345092642</v>
      </c>
      <c r="CB9" s="20">
        <f t="shared" si="10"/>
        <v>8.9312018151497536</v>
      </c>
      <c r="CC9" s="59">
        <f t="shared" si="11"/>
        <v>272.93120181514973</v>
      </c>
      <c r="CD9" s="59">
        <f ca="1">AVERAGE(OFFSET($CC$3,0,0,'Données projet'!$E$12+1,1))-AVERAGE(OFFSET($H$3,0,0,'Données projet'!$E$12+1,1))</f>
        <v>449.84356201138451</v>
      </c>
      <c r="CE9" s="59">
        <f t="shared" si="40"/>
        <v>306.61893266146666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3.65</v>
      </c>
      <c r="CT9" s="12">
        <f>IF('Données projet'!$A$140&gt;35,CT8+CS9-DB8,IF(A9&lt;'Données projet'!$A$140,$CQ$205^A9,IF(A9='Données projet'!$A$140,'Données projet'!$B$140,CT8+CS9-DB8)))</f>
        <v>3.6224037772879885</v>
      </c>
      <c r="CU9" s="17">
        <f>CT9*VLOOKUP('Données projet'!$B$13,Paramètres!$A$1:$I$89,3,0)*VLOOKUP('Données projet'!$B$13,Paramètres!$A$1:$I$89,5,0)</f>
        <v>3.8991554258727907</v>
      </c>
      <c r="CV9" s="13">
        <f t="shared" si="41"/>
        <v>1.5336760664526912</v>
      </c>
      <c r="CW9" s="20">
        <f t="shared" si="13"/>
        <v>9.4621815158002143</v>
      </c>
      <c r="CX9" s="59">
        <f t="shared" si="14"/>
        <v>273.46218151580024</v>
      </c>
      <c r="CY9" s="59">
        <f ca="1">AVERAGE(OFFSET($CX$3,0,0,'Données projet'!$E$13+1,1))-AVERAGE(OFFSET($H$3,0,0,'Données projet'!$E$13+1,1))</f>
        <v>475.01366239340246</v>
      </c>
      <c r="CZ9" s="59">
        <f t="shared" si="42"/>
        <v>322.81767004794284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17.600000000000001</v>
      </c>
      <c r="DO9" s="12">
        <f>IF('Données projet'!$A$166&gt;35,DO8+DN9-DW8,IF(A9&lt;'Données projet'!$A$166,$DL$205^A9,IF(A9='Données projet'!$A$166,'Données projet'!$B$166,DO8+DN9-DW8)))</f>
        <v>50.6</v>
      </c>
      <c r="DP9" s="17">
        <f>DO9*VLOOKUP('Données projet'!$B$14,Paramètres!$A$1:$I$89,3,0)*VLOOKUP('Données projet'!$B$14,Paramètres!$A$1:$I$89,5,0)</f>
        <v>45.782879999999999</v>
      </c>
      <c r="DQ9" s="13">
        <f t="shared" si="43"/>
        <v>13.519148289060759</v>
      </c>
      <c r="DR9" s="20">
        <f t="shared" si="16"/>
        <v>103.28436593678082</v>
      </c>
      <c r="DS9" s="59">
        <f t="shared" si="17"/>
        <v>367.28436593678083</v>
      </c>
      <c r="DT9" s="59">
        <f ca="1">AVERAGE(OFFSET($DS$3,0,0,'Données projet'!$E$14+1,1))-AVERAGE(OFFSET($H$3,0,0,'Données projet'!$E$14+1,1))</f>
        <v>436.23918637269577</v>
      </c>
      <c r="DU9" s="59">
        <f t="shared" si="44"/>
        <v>611.43967996341894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4.3418947219498456</v>
      </c>
      <c r="P10" s="13">
        <f t="shared" si="33"/>
        <v>1.6865743243491664</v>
      </c>
      <c r="Q10" s="20">
        <f t="shared" si="2"/>
        <v>10.499583588970779</v>
      </c>
      <c r="R10" s="59">
        <f t="shared" si="0"/>
        <v>275.72180581119301</v>
      </c>
      <c r="S10" s="59">
        <f ca="1">AVERAGE(OFFSET($R$3,0,0,'Données projet'!$E$9+1,1))-AVERAGE(OFFSET($H$3,0,0,'Données projet'!$E$9+1,1))</f>
        <v>430.94515308997018</v>
      </c>
      <c r="T10" s="59">
        <f t="shared" si="34"/>
        <v>294.45557293177131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271.98052129859713</v>
      </c>
      <c r="AN10" s="59">
        <f ca="1">AVERAGE(OFFSET($AM$3,0,0,'Données projet'!$E$10+1,1))-AVERAGE(OFFSET($H$3,0,0,'Données projet'!$E$10+1,1))</f>
        <v>319.22903094674564</v>
      </c>
      <c r="AO10" s="59">
        <f t="shared" si="36"/>
        <v>254.58690973142848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3.5</v>
      </c>
      <c r="BD10" s="12">
        <f>IF('Données projet'!$A$88&gt;35,BD9+BC10-BL9,IF(A10&lt;'Données projet'!$A$88,$BA$205^A10,IF(A10='Données projet'!$A$88,'Données projet'!$B$88,BD9+BC10-BL9)))</f>
        <v>12.04613236724734</v>
      </c>
      <c r="BE10" s="13">
        <f>BD10*VLOOKUP('Données projet'!$B$11,Paramètres!$A$1:$I$89,3,0)*VLOOKUP('Données projet'!$B$11,Paramètres!$A$1:$I$89,5,0)</f>
        <v>10.523501236027279</v>
      </c>
      <c r="BF10" s="13">
        <f t="shared" si="37"/>
        <v>3.6875071190486755</v>
      </c>
      <c r="BG10" s="20">
        <f t="shared" si="7"/>
        <v>24.750839551757284</v>
      </c>
      <c r="BH10" s="59">
        <f t="shared" si="8"/>
        <v>289.97306177397951</v>
      </c>
      <c r="BI10" s="59">
        <f ca="1">AVERAGE(OFFSET($BH$3,0,0,'Données projet'!$E$11+1,1))-AVERAGE(OFFSET($H$3,0,0,'Données projet'!$E$11+1,1))</f>
        <v>395.21779046720553</v>
      </c>
      <c r="BJ10" s="59">
        <f t="shared" si="38"/>
        <v>360.05900046417361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4.5519864020441929</v>
      </c>
      <c r="CA10" s="13">
        <f t="shared" si="39"/>
        <v>1.7584840343783612</v>
      </c>
      <c r="CB10" s="20">
        <f t="shared" si="10"/>
        <v>10.990736010102614</v>
      </c>
      <c r="CC10" s="59">
        <f t="shared" si="11"/>
        <v>276.21295823232487</v>
      </c>
      <c r="CD10" s="59">
        <f ca="1">AVERAGE(OFFSET($CC$3,0,0,'Données projet'!$E$12+1,1))-AVERAGE(OFFSET($H$3,0,0,'Données projet'!$E$12+1,1))</f>
        <v>449.84356201138451</v>
      </c>
      <c r="CE10" s="59">
        <f t="shared" si="40"/>
        <v>306.61893266146666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3.65</v>
      </c>
      <c r="CT10" s="12">
        <f>IF('Données projet'!$A$140&gt;35,CT9+CS10-DB9,IF(A10&lt;'Données projet'!$A$140,$CQ$205^A10,IF(A10='Données projet'!$A$140,'Données projet'!$B$140,CT9+CS10-DB9)))</f>
        <v>4.4891384635544309</v>
      </c>
      <c r="CU10" s="17">
        <f>CT10*VLOOKUP('Données projet'!$B$13,Paramètres!$A$1:$I$89,3,0)*VLOOKUP('Données projet'!$B$13,Paramètres!$A$1:$I$89,5,0)</f>
        <v>4.8321086421699899</v>
      </c>
      <c r="CV10" s="13">
        <f t="shared" si="41"/>
        <v>1.8537674162284574</v>
      </c>
      <c r="CW10" s="20">
        <f t="shared" si="13"/>
        <v>11.644567468377296</v>
      </c>
      <c r="CX10" s="59">
        <f t="shared" si="14"/>
        <v>276.86678969059955</v>
      </c>
      <c r="CY10" s="59">
        <f ca="1">AVERAGE(OFFSET($CX$3,0,0,'Données projet'!$E$13+1,1))-AVERAGE(OFFSET($H$3,0,0,'Données projet'!$E$13+1,1))</f>
        <v>475.01366239340246</v>
      </c>
      <c r="CZ10" s="59">
        <f t="shared" si="42"/>
        <v>322.81767004794284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17.600000000000001</v>
      </c>
      <c r="DO10" s="12">
        <f>IF('Données projet'!$A$166&gt;35,DO9+DN10-DW9,IF(A10&lt;'Données projet'!$A$166,$DL$205^A10,IF(A10='Données projet'!$A$166,'Données projet'!$B$166,DO9+DN10-DW9)))</f>
        <v>68.2</v>
      </c>
      <c r="DP10" s="17">
        <f>DO10*VLOOKUP('Données projet'!$B$14,Paramètres!$A$1:$I$89,3,0)*VLOOKUP('Données projet'!$B$14,Paramètres!$A$1:$I$89,5,0)</f>
        <v>61.707360000000001</v>
      </c>
      <c r="DQ10" s="13">
        <f t="shared" si="43"/>
        <v>17.599235734890414</v>
      </c>
      <c r="DR10" s="20">
        <f t="shared" si="16"/>
        <v>138.12565423826746</v>
      </c>
      <c r="DS10" s="59">
        <f t="shared" si="17"/>
        <v>403.34787646048972</v>
      </c>
      <c r="DT10" s="59">
        <f ca="1">AVERAGE(OFFSET($DS$3,0,0,'Données projet'!$E$14+1,1))-AVERAGE(OFFSET($H$3,0,0,'Données projet'!$E$14+1,1))</f>
        <v>436.23918637269577</v>
      </c>
      <c r="DU10" s="59">
        <f t="shared" si="44"/>
        <v>611.43967996341894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5.3807824305002701</v>
      </c>
      <c r="P11" s="13">
        <f t="shared" si="33"/>
        <v>2.0385768519929188</v>
      </c>
      <c r="Q11" s="20">
        <f t="shared" si="2"/>
        <v>12.922050750342303</v>
      </c>
      <c r="R11" s="59">
        <f t="shared" si="0"/>
        <v>279.36649519478675</v>
      </c>
      <c r="S11" s="59">
        <f ca="1">AVERAGE(OFFSET($R$3,0,0,'Données projet'!$E$9+1,1))-AVERAGE(OFFSET($H$3,0,0,'Données projet'!$E$9+1,1))</f>
        <v>430.94515308997018</v>
      </c>
      <c r="T11" s="59">
        <f t="shared" si="34"/>
        <v>294.45557293177131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275.07603134727827</v>
      </c>
      <c r="AN11" s="59">
        <f ca="1">AVERAGE(OFFSET($AM$3,0,0,'Données projet'!$E$10+1,1))-AVERAGE(OFFSET($H$3,0,0,'Données projet'!$E$10+1,1))</f>
        <v>319.22903094674564</v>
      </c>
      <c r="AO11" s="59">
        <f t="shared" si="36"/>
        <v>254.58690973142848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3.5</v>
      </c>
      <c r="BD11" s="12">
        <f>IF('Données projet'!$A$88&gt;35,BD10+BC11-BL10,IF(A11&lt;'Données projet'!$A$88,$BA$205^A11,IF(A11='Données projet'!$A$88,'Données projet'!$B$88,BD10+BC11-BL10)))</f>
        <v>17.189151347155779</v>
      </c>
      <c r="BE11" s="13">
        <f>BD11*VLOOKUP('Données projet'!$B$11,Paramètres!$A$1:$I$89,3,0)*VLOOKUP('Données projet'!$B$11,Paramètres!$A$1:$I$89,5,0)</f>
        <v>15.01644261687529</v>
      </c>
      <c r="BF11" s="13">
        <f t="shared" si="37"/>
        <v>5.0485506745958499</v>
      </c>
      <c r="BG11" s="20">
        <f t="shared" si="7"/>
        <v>34.946529982645565</v>
      </c>
      <c r="BH11" s="59">
        <f t="shared" si="8"/>
        <v>301.39097442709004</v>
      </c>
      <c r="BI11" s="59">
        <f ca="1">AVERAGE(OFFSET($BH$3,0,0,'Données projet'!$E$11+1,1))-AVERAGE(OFFSET($H$3,0,0,'Données projet'!$E$11+1,1))</f>
        <v>395.21779046720553</v>
      </c>
      <c r="BJ11" s="59">
        <f t="shared" si="38"/>
        <v>360.05900046417361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5.6411428706857674</v>
      </c>
      <c r="CA11" s="13">
        <f t="shared" si="39"/>
        <v>2.125494735292019</v>
      </c>
      <c r="CB11" s="20">
        <f t="shared" si="10"/>
        <v>13.526893830411311</v>
      </c>
      <c r="CC11" s="59">
        <f t="shared" si="11"/>
        <v>279.97133827485578</v>
      </c>
      <c r="CD11" s="59">
        <f ca="1">AVERAGE(OFFSET($CC$3,0,0,'Données projet'!$E$12+1,1))-AVERAGE(OFFSET($H$3,0,0,'Données projet'!$E$12+1,1))</f>
        <v>449.84356201138451</v>
      </c>
      <c r="CE11" s="59">
        <f t="shared" si="40"/>
        <v>306.61893266146666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3.65</v>
      </c>
      <c r="CT11" s="12">
        <f>IF('Données projet'!$A$140&gt;35,CT10+CS11-DB10,IF(A11&lt;'Données projet'!$A$140,$CQ$205^A11,IF(A11='Données projet'!$A$140,'Données projet'!$B$140,CT10+CS11-DB10)))</f>
        <v>5.563257268920875</v>
      </c>
      <c r="CU11" s="17">
        <f>CT11*VLOOKUP('Données projet'!$B$13,Paramètres!$A$1:$I$89,3,0)*VLOOKUP('Données projet'!$B$13,Paramètres!$A$1:$I$89,5,0)</f>
        <v>5.9882901242664301</v>
      </c>
      <c r="CV11" s="13">
        <f t="shared" si="41"/>
        <v>2.2406645762026263</v>
      </c>
      <c r="CW11" s="20">
        <f t="shared" si="13"/>
        <v>14.332096103316941</v>
      </c>
      <c r="CX11" s="59">
        <f t="shared" si="14"/>
        <v>280.77654054776139</v>
      </c>
      <c r="CY11" s="59">
        <f ca="1">AVERAGE(OFFSET($CX$3,0,0,'Données projet'!$E$13+1,1))-AVERAGE(OFFSET($H$3,0,0,'Données projet'!$E$13+1,1))</f>
        <v>475.01366239340246</v>
      </c>
      <c r="CZ11" s="59">
        <f t="shared" si="42"/>
        <v>322.81767004794284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17.600000000000001</v>
      </c>
      <c r="DO11" s="12">
        <f>IF('Données projet'!$A$166&gt;35,DO10+DN11-DW10,IF(A11&lt;'Données projet'!$A$166,$DL$205^A11,IF(A11='Données projet'!$A$166,'Données projet'!$B$166,DO10+DN11-DW10)))</f>
        <v>85.800000000000011</v>
      </c>
      <c r="DP11" s="17">
        <f>DO11*VLOOKUP('Données projet'!$B$14,Paramètres!$A$1:$I$89,3,0)*VLOOKUP('Données projet'!$B$14,Paramètres!$A$1:$I$89,5,0)</f>
        <v>77.631840000000011</v>
      </c>
      <c r="DQ11" s="13">
        <f t="shared" si="43"/>
        <v>21.557147963295233</v>
      </c>
      <c r="DR11" s="20">
        <f t="shared" si="16"/>
        <v>172.75415403607255</v>
      </c>
      <c r="DS11" s="59">
        <f t="shared" si="17"/>
        <v>439.19859848051703</v>
      </c>
      <c r="DT11" s="59">
        <f ca="1">AVERAGE(OFFSET($DS$3,0,0,'Données projet'!$E$14+1,1))-AVERAGE(OFFSET($H$3,0,0,'Données projet'!$E$14+1,1))</f>
        <v>436.23918637269577</v>
      </c>
      <c r="DU11" s="59">
        <f t="shared" si="44"/>
        <v>611.43967996341894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6.6682454132324853</v>
      </c>
      <c r="P12" s="13">
        <f t="shared" si="33"/>
        <v>2.4640453263659414</v>
      </c>
      <c r="Q12" s="20">
        <f t="shared" si="2"/>
        <v>15.905406371467258</v>
      </c>
      <c r="R12" s="59">
        <f t="shared" si="0"/>
        <v>283.57207303813396</v>
      </c>
      <c r="S12" s="59">
        <f ca="1">AVERAGE(OFFSET($R$3,0,0,'Données projet'!$E$9+1,1))-AVERAGE(OFFSET($H$3,0,0,'Données projet'!$E$9+1,1))</f>
        <v>430.94515308997018</v>
      </c>
      <c r="T12" s="59">
        <f t="shared" si="34"/>
        <v>294.45557293177131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278.6927340463364</v>
      </c>
      <c r="AN12" s="59">
        <f ca="1">AVERAGE(OFFSET($AM$3,0,0,'Données projet'!$E$10+1,1))-AVERAGE(OFFSET($H$3,0,0,'Données projet'!$E$10+1,1))</f>
        <v>319.22903094674564</v>
      </c>
      <c r="AO12" s="59">
        <f t="shared" si="36"/>
        <v>254.58690973142848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3.5</v>
      </c>
      <c r="BD12" s="12">
        <f>IF('Données projet'!$A$88&gt;35,BD11+BC12-BL11,IF(A12&lt;'Données projet'!$A$88,$BA$205^A12,IF(A12='Données projet'!$A$88,'Données projet'!$B$88,BD11+BC12-BL11)))</f>
        <v>24.527949305852133</v>
      </c>
      <c r="BE12" s="13">
        <f>BD12*VLOOKUP('Données projet'!$B$11,Paramètres!$A$1:$I$89,3,0)*VLOOKUP('Données projet'!$B$11,Paramètres!$A$1:$I$89,5,0)</f>
        <v>21.427616513592426</v>
      </c>
      <c r="BF12" s="13">
        <f t="shared" si="37"/>
        <v>6.9119497511743733</v>
      </c>
      <c r="BG12" s="20">
        <f t="shared" si="7"/>
        <v>49.358077911135503</v>
      </c>
      <c r="BH12" s="59">
        <f t="shared" si="8"/>
        <v>317.02474457780221</v>
      </c>
      <c r="BI12" s="59">
        <f ca="1">AVERAGE(OFFSET($BH$3,0,0,'Données projet'!$E$11+1,1))-AVERAGE(OFFSET($H$3,0,0,'Données projet'!$E$11+1,1))</f>
        <v>395.21779046720553</v>
      </c>
      <c r="BJ12" s="59">
        <f t="shared" si="38"/>
        <v>360.05900046417361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6.9909024493566383</v>
      </c>
      <c r="CA12" s="13">
        <f t="shared" si="39"/>
        <v>2.5691037174250742</v>
      </c>
      <c r="CB12" s="20">
        <f t="shared" si="10"/>
        <v>16.650344073811482</v>
      </c>
      <c r="CC12" s="59">
        <f t="shared" si="11"/>
        <v>284.31701074047817</v>
      </c>
      <c r="CD12" s="59">
        <f ca="1">AVERAGE(OFFSET($CC$3,0,0,'Données projet'!$E$12+1,1))-AVERAGE(OFFSET($H$3,0,0,'Données projet'!$E$12+1,1))</f>
        <v>449.84356201138451</v>
      </c>
      <c r="CE12" s="59">
        <f t="shared" si="40"/>
        <v>306.61893266146666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3.65</v>
      </c>
      <c r="CT12" s="12">
        <f>IF('Données projet'!$A$140&gt;35,CT11+CS12-DB11,IF(A12&lt;'Données projet'!$A$140,$CQ$205^A12,IF(A12='Données projet'!$A$140,'Données projet'!$B$140,CT11+CS12-DB11)))</f>
        <v>6.8943811137639424</v>
      </c>
      <c r="CU12" s="17">
        <f>CT12*VLOOKUP('Données projet'!$B$13,Paramètres!$A$1:$I$89,3,0)*VLOOKUP('Données projet'!$B$13,Paramètres!$A$1:$I$89,5,0)</f>
        <v>7.4211118308555069</v>
      </c>
      <c r="CV12" s="13">
        <f t="shared" si="41"/>
        <v>2.7083104919730441</v>
      </c>
      <c r="CW12" s="20">
        <f t="shared" si="13"/>
        <v>17.642077212259725</v>
      </c>
      <c r="CX12" s="59">
        <f t="shared" si="14"/>
        <v>285.30874387892641</v>
      </c>
      <c r="CY12" s="59">
        <f ca="1">AVERAGE(OFFSET($CX$3,0,0,'Données projet'!$E$13+1,1))-AVERAGE(OFFSET($H$3,0,0,'Données projet'!$E$13+1,1))</f>
        <v>475.01366239340246</v>
      </c>
      <c r="CZ12" s="59">
        <f t="shared" si="42"/>
        <v>322.81767004794284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17.600000000000001</v>
      </c>
      <c r="DO12" s="12">
        <f>IF('Données projet'!$A$166&gt;35,DO11+DN12-DW11,IF(A12&lt;'Données projet'!$A$166,$DL$205^A12,IF(A12='Données projet'!$A$166,'Données projet'!$B$166,DO11+DN12-DW11)))</f>
        <v>103.4</v>
      </c>
      <c r="DP12" s="17">
        <f>DO12*VLOOKUP('Données projet'!$B$14,Paramètres!$A$1:$I$89,3,0)*VLOOKUP('Données projet'!$B$14,Paramètres!$A$1:$I$89,5,0)</f>
        <v>93.556319999999999</v>
      </c>
      <c r="DQ12" s="13">
        <f t="shared" si="43"/>
        <v>25.420979659258073</v>
      </c>
      <c r="DR12" s="20">
        <f t="shared" si="16"/>
        <v>207.21879690654114</v>
      </c>
      <c r="DS12" s="59">
        <f t="shared" si="17"/>
        <v>474.88546357320786</v>
      </c>
      <c r="DT12" s="59">
        <f ca="1">AVERAGE(OFFSET($DS$3,0,0,'Données projet'!$E$14+1,1))-AVERAGE(OFFSET($H$3,0,0,'Données projet'!$E$14+1,1))</f>
        <v>436.23918637269577</v>
      </c>
      <c r="DU12" s="59">
        <f t="shared" si="44"/>
        <v>611.43967996341894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8.2637604224711172</v>
      </c>
      <c r="P13" s="13">
        <f t="shared" si="33"/>
        <v>2.9783127206856603</v>
      </c>
      <c r="Q13" s="20">
        <f t="shared" si="2"/>
        <v>19.579944057664719</v>
      </c>
      <c r="R13" s="59">
        <f t="shared" si="0"/>
        <v>288.46883294655356</v>
      </c>
      <c r="S13" s="59">
        <f ca="1">AVERAGE(OFFSET($R$3,0,0,'Données projet'!$E$9+1,1))-AVERAGE(OFFSET($H$3,0,0,'Données projet'!$E$9+1,1))</f>
        <v>430.94515308997018</v>
      </c>
      <c r="T13" s="59">
        <f t="shared" si="34"/>
        <v>294.45557293177131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282.97614497005429</v>
      </c>
      <c r="AN13" s="59">
        <f ca="1">AVERAGE(OFFSET($AM$3,0,0,'Données projet'!$E$10+1,1))-AVERAGE(OFFSET($H$3,0,0,'Données projet'!$E$10+1,1))</f>
        <v>319.22903094674564</v>
      </c>
      <c r="AO13" s="59">
        <f t="shared" si="36"/>
        <v>254.58690973142848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35</v>
      </c>
      <c r="BB13" s="12">
        <f>VLOOKUP(A13,'Données projet'!$A$87:$I$107,9,0)</f>
        <v>3.5</v>
      </c>
      <c r="BC13" s="12">
        <f t="array" ref="BC13">INDEX(BB:BB,MIN(IF(ISNUMBER(BB13:BB209),ROW(BB13:BB209),"")))</f>
        <v>3.5</v>
      </c>
      <c r="BD13" s="12">
        <f>IF('Données projet'!$A$88&gt;35,BD12+BC13-BL12,IF(A13&lt;'Données projet'!$A$88,$BA$205^A13,IF(A13='Données projet'!$A$88,'Données projet'!$B$88,BD12+BC13-BL12)))</f>
        <v>35</v>
      </c>
      <c r="BE13" s="13">
        <f>BD13*VLOOKUP('Données projet'!$B$11,Paramètres!$A$1:$I$89,3,0)*VLOOKUP('Données projet'!$B$11,Paramètres!$A$1:$I$89,5,0)</f>
        <v>30.576000000000004</v>
      </c>
      <c r="BF13" s="13">
        <f t="shared" si="37"/>
        <v>9.4631216842413863</v>
      </c>
      <c r="BG13" s="20">
        <f t="shared" si="7"/>
        <v>69.734803600053766</v>
      </c>
      <c r="BH13" s="59">
        <f t="shared" si="8"/>
        <v>338.62369248894265</v>
      </c>
      <c r="BI13" s="59">
        <f ca="1">AVERAGE(OFFSET($BH$3,0,0,'Données projet'!$E$11+1,1))-AVERAGE(OFFSET($H$3,0,0,'Données projet'!$E$11+1,1))</f>
        <v>395.21779046720553</v>
      </c>
      <c r="BJ13" s="59">
        <f t="shared" si="38"/>
        <v>360.05900046417361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8.6636197977519771</v>
      </c>
      <c r="CA13" s="13">
        <f t="shared" si="39"/>
        <v>3.1052976990698267</v>
      </c>
      <c r="CB13" s="20">
        <f t="shared" si="10"/>
        <v>20.497531306964643</v>
      </c>
      <c r="CC13" s="59">
        <f t="shared" si="11"/>
        <v>289.38642019585347</v>
      </c>
      <c r="CD13" s="59">
        <f ca="1">AVERAGE(OFFSET($CC$3,0,0,'Données projet'!$E$12+1,1))-AVERAGE(OFFSET($H$3,0,0,'Données projet'!$E$12+1,1))</f>
        <v>449.84356201138451</v>
      </c>
      <c r="CE13" s="59">
        <f t="shared" si="40"/>
        <v>306.61893266146666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3.65</v>
      </c>
      <c r="CT13" s="12">
        <f>IF('Données projet'!$A$140&gt;35,CT12+CS13-DB12,IF(A13&lt;'Données projet'!$A$140,$CQ$205^A13,IF(A13='Données projet'!$A$140,'Données projet'!$B$140,CT12+CS13-DB12)))</f>
        <v>8.5440037453175322</v>
      </c>
      <c r="CU13" s="17">
        <f>CT13*VLOOKUP('Données projet'!$B$13,Paramètres!$A$1:$I$89,3,0)*VLOOKUP('Données projet'!$B$13,Paramètres!$A$1:$I$89,5,0)</f>
        <v>9.1967656314597903</v>
      </c>
      <c r="CV13" s="13">
        <f t="shared" si="41"/>
        <v>3.2735581214758165</v>
      </c>
      <c r="CW13" s="20">
        <f t="shared" si="13"/>
        <v>21.719147203029511</v>
      </c>
      <c r="CX13" s="59">
        <f t="shared" si="14"/>
        <v>290.60803609191839</v>
      </c>
      <c r="CY13" s="59">
        <f ca="1">AVERAGE(OFFSET($CX$3,0,0,'Données projet'!$E$13+1,1))-AVERAGE(OFFSET($H$3,0,0,'Données projet'!$E$13+1,1))</f>
        <v>475.01366239340246</v>
      </c>
      <c r="CZ13" s="59">
        <f t="shared" si="42"/>
        <v>322.81767004794284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121</v>
      </c>
      <c r="DM13" s="12">
        <f>VLOOKUP(A13,'Données projet'!$A$165:$I$185,9,0)</f>
        <v>17.600000000000001</v>
      </c>
      <c r="DN13" s="12">
        <f t="array" ref="DN13">INDEX(DM:DM,MIN(IF(ISNUMBER(DM13:DM209),ROW(DM13:DM209),"")))</f>
        <v>17.600000000000001</v>
      </c>
      <c r="DO13" s="12">
        <f>IF('Données projet'!$A$166&gt;35,DO12+DN13-DW12,IF(A13&lt;'Données projet'!$A$166,$DL$205^A13,IF(A13='Données projet'!$A$166,'Données projet'!$B$166,DO12+DN13-DW12)))</f>
        <v>121</v>
      </c>
      <c r="DP13" s="17">
        <f>DO13*VLOOKUP('Données projet'!$B$14,Paramètres!$A$1:$I$89,3,0)*VLOOKUP('Données projet'!$B$14,Paramètres!$A$1:$I$89,5,0)</f>
        <v>109.48079999999999</v>
      </c>
      <c r="DQ13" s="13">
        <f t="shared" si="43"/>
        <v>29.208623339903898</v>
      </c>
      <c r="DR13" s="20">
        <f t="shared" si="16"/>
        <v>241.5507456503326</v>
      </c>
      <c r="DS13" s="59">
        <f t="shared" si="17"/>
        <v>510.43963453922146</v>
      </c>
      <c r="DT13" s="59">
        <f ca="1">AVERAGE(OFFSET($DS$3,0,0,'Données projet'!$E$14+1,1))-AVERAGE(OFFSET($H$3,0,0,'Données projet'!$E$14+1,1))</f>
        <v>436.23918637269577</v>
      </c>
      <c r="DU13" s="59">
        <f t="shared" si="44"/>
        <v>611.43967996341894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37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0.2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6.3174033272786687</v>
      </c>
      <c r="ED13" s="22">
        <f t="shared" si="18"/>
        <v>6.3174033272786687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10.241035248115747</v>
      </c>
      <c r="P14" s="13">
        <f t="shared" si="33"/>
        <v>3.5999121311945652</v>
      </c>
      <c r="Q14" s="20">
        <f t="shared" si="2"/>
        <v>24.106316685632123</v>
      </c>
      <c r="R14" s="59">
        <f t="shared" si="0"/>
        <v>294.21742779674327</v>
      </c>
      <c r="S14" s="59">
        <f ca="1">AVERAGE(OFFSET($R$3,0,0,'Données projet'!$E$9+1,1))-AVERAGE(OFFSET($H$3,0,0,'Données projet'!$E$9+1,1))</f>
        <v>430.94515308997018</v>
      </c>
      <c r="T14" s="59">
        <f t="shared" si="34"/>
        <v>294.45557293177131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288.11253895675651</v>
      </c>
      <c r="AN14" s="59">
        <f ca="1">AVERAGE(OFFSET($AM$3,0,0,'Données projet'!$E$10+1,1))-AVERAGE(OFFSET($H$3,0,0,'Données projet'!$E$10+1,1))</f>
        <v>319.22903094674564</v>
      </c>
      <c r="AO14" s="59">
        <f t="shared" si="36"/>
        <v>254.58690973142848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10.6</v>
      </c>
      <c r="BD14" s="12">
        <f>IF('Données projet'!$A$88&gt;35,BD13+BC14-BL13,IF(A14&lt;'Données projet'!$A$88,$BA$205^A14,IF(A14='Données projet'!$A$88,'Données projet'!$B$88,BD13+BC14-BL13)))</f>
        <v>45.6</v>
      </c>
      <c r="BE14" s="13">
        <f>BD14*VLOOKUP('Données projet'!$B$11,Paramètres!$A$1:$I$89,3,0)*VLOOKUP('Données projet'!$B$11,Paramètres!$A$1:$I$89,5,0)</f>
        <v>39.836160000000007</v>
      </c>
      <c r="BF14" s="13">
        <f t="shared" si="37"/>
        <v>11.955210728675533</v>
      </c>
      <c r="BG14" s="20">
        <f t="shared" si="7"/>
        <v>90.203304019109893</v>
      </c>
      <c r="BH14" s="59">
        <f t="shared" si="8"/>
        <v>360.31441513022105</v>
      </c>
      <c r="BI14" s="59">
        <f ca="1">AVERAGE(OFFSET($BH$3,0,0,'Données projet'!$E$11+1,1))-AVERAGE(OFFSET($H$3,0,0,'Données projet'!$E$11+1,1))</f>
        <v>395.21779046720553</v>
      </c>
      <c r="BJ14" s="59">
        <f t="shared" si="38"/>
        <v>360.05900046417361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10.736569211734251</v>
      </c>
      <c r="CA14" s="13">
        <f t="shared" si="39"/>
        <v>3.7533999637480915</v>
      </c>
      <c r="CB14" s="20">
        <f t="shared" si="10"/>
        <v>25.23669631396508</v>
      </c>
      <c r="CC14" s="59">
        <f t="shared" si="11"/>
        <v>295.34780742507621</v>
      </c>
      <c r="CD14" s="59">
        <f ca="1">AVERAGE(OFFSET($CC$3,0,0,'Données projet'!$E$12+1,1))-AVERAGE(OFFSET($H$3,0,0,'Données projet'!$E$12+1,1))</f>
        <v>449.84356201138451</v>
      </c>
      <c r="CE14" s="59">
        <f t="shared" si="40"/>
        <v>306.61893266146666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3.65</v>
      </c>
      <c r="CT14" s="12">
        <f>IF('Données projet'!$A$140&gt;35,CT13+CS14-DB13,IF(A14&lt;'Données projet'!$A$140,$CQ$205^A14,IF(A14='Données projet'!$A$140,'Données projet'!$B$140,CT13+CS14-DB13)))</f>
        <v>10.588332555950936</v>
      </c>
      <c r="CU14" s="17">
        <f>CT14*VLOOKUP('Données projet'!$B$13,Paramètres!$A$1:$I$89,3,0)*VLOOKUP('Données projet'!$B$13,Paramètres!$A$1:$I$89,5,0)</f>
        <v>11.397281163225587</v>
      </c>
      <c r="CV14" s="13">
        <f t="shared" si="41"/>
        <v>3.9567777795201704</v>
      </c>
      <c r="CW14" s="20">
        <f t="shared" si="13"/>
        <v>26.741652658615525</v>
      </c>
      <c r="CX14" s="59">
        <f t="shared" si="14"/>
        <v>296.85276376972666</v>
      </c>
      <c r="CY14" s="59">
        <f ca="1">AVERAGE(OFFSET($CX$3,0,0,'Données projet'!$E$13+1,1))-AVERAGE(OFFSET($H$3,0,0,'Données projet'!$E$13+1,1))</f>
        <v>475.01366239340246</v>
      </c>
      <c r="CZ14" s="59">
        <f t="shared" si="42"/>
        <v>322.81767004794284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17</v>
      </c>
      <c r="DO14" s="12">
        <f>IF('Données projet'!$A$166&gt;35,DO13+DN14-DW13,IF(A14&lt;'Données projet'!$A$166,$DL$205^A14,IF(A14='Données projet'!$A$166,'Données projet'!$B$166,DO13+DN14-DW13)))</f>
        <v>101</v>
      </c>
      <c r="DP14" s="17">
        <f>DO14*VLOOKUP('Données projet'!$B$14,Paramètres!$A$1:$I$89,3,0)*VLOOKUP('Données projet'!$B$14,Paramètres!$A$1:$I$89,5,0)</f>
        <v>91.384799999999998</v>
      </c>
      <c r="DQ14" s="13">
        <f t="shared" si="43"/>
        <v>24.898908025894642</v>
      </c>
      <c r="DR14" s="20">
        <f t="shared" si="16"/>
        <v>202.52745814509981</v>
      </c>
      <c r="DS14" s="59">
        <f t="shared" si="17"/>
        <v>472.63856925621099</v>
      </c>
      <c r="DT14" s="59">
        <f ca="1">AVERAGE(OFFSET($DS$3,0,0,'Données projet'!$E$14+1,1))-AVERAGE(OFFSET($H$3,0,0,'Données projet'!$E$14+1,1))</f>
        <v>436.23918637269577</v>
      </c>
      <c r="DU14" s="59">
        <f t="shared" si="44"/>
        <v>611.43967996341894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4.4670787322092051</v>
      </c>
      <c r="ED14" s="22">
        <f t="shared" si="18"/>
        <v>4.4670787322092051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12.69141378638699</v>
      </c>
      <c r="P15" s="13">
        <f t="shared" si="33"/>
        <v>4.3512446702837533</v>
      </c>
      <c r="Q15" s="20">
        <f t="shared" si="2"/>
        <v>29.682630145368211</v>
      </c>
      <c r="R15" s="59">
        <f t="shared" si="0"/>
        <v>301.01596347870151</v>
      </c>
      <c r="S15" s="59">
        <f ca="1">AVERAGE(OFFSET($R$3,0,0,'Données projet'!$E$9+1,1))-AVERAGE(OFFSET($H$3,0,0,'Données projet'!$E$9+1,1))</f>
        <v>430.94515308997018</v>
      </c>
      <c r="T15" s="59">
        <f t="shared" si="34"/>
        <v>294.45557293177131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294.3404009375538</v>
      </c>
      <c r="AN15" s="59">
        <f ca="1">AVERAGE(OFFSET($AM$3,0,0,'Données projet'!$E$10+1,1))-AVERAGE(OFFSET($H$3,0,0,'Données projet'!$E$10+1,1))</f>
        <v>319.22903094674564</v>
      </c>
      <c r="AO15" s="59">
        <f t="shared" si="36"/>
        <v>254.58690973142848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10.6</v>
      </c>
      <c r="BD15" s="12">
        <f>IF('Données projet'!$A$88&gt;35,BD14+BC15-BL14,IF(A15&lt;'Données projet'!$A$88,$BA$205^A15,IF(A15='Données projet'!$A$88,'Données projet'!$B$88,BD14+BC15-BL14)))</f>
        <v>56.2</v>
      </c>
      <c r="BE15" s="13">
        <f>BD15*VLOOKUP('Données projet'!$B$11,Paramètres!$A$1:$I$89,3,0)*VLOOKUP('Données projet'!$B$11,Paramètres!$A$1:$I$89,5,0)</f>
        <v>49.096320000000006</v>
      </c>
      <c r="BF15" s="13">
        <f t="shared" si="37"/>
        <v>14.380133207801931</v>
      </c>
      <c r="BG15" s="20">
        <f t="shared" si="7"/>
        <v>110.55482267025504</v>
      </c>
      <c r="BH15" s="59">
        <f t="shared" si="8"/>
        <v>381.88815600358834</v>
      </c>
      <c r="BI15" s="59">
        <f ca="1">AVERAGE(OFFSET($BH$3,0,0,'Données projet'!$E$11+1,1))-AVERAGE(OFFSET($H$3,0,0,'Données projet'!$E$11+1,1))</f>
        <v>395.21779046720553</v>
      </c>
      <c r="BJ15" s="59">
        <f t="shared" si="38"/>
        <v>360.05900046417361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13.305514453470233</v>
      </c>
      <c r="CA15" s="13">
        <f t="shared" si="39"/>
        <v>4.5367667299931158</v>
      </c>
      <c r="CB15" s="20">
        <f t="shared" si="10"/>
        <v>31.075306394532003</v>
      </c>
      <c r="CC15" s="59">
        <f t="shared" si="11"/>
        <v>302.40863972786531</v>
      </c>
      <c r="CD15" s="59">
        <f ca="1">AVERAGE(OFFSET($CC$3,0,0,'Données projet'!$E$12+1,1))-AVERAGE(OFFSET($H$3,0,0,'Données projet'!$E$12+1,1))</f>
        <v>449.84356201138451</v>
      </c>
      <c r="CE15" s="59">
        <f t="shared" si="40"/>
        <v>306.61893266146666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3.65</v>
      </c>
      <c r="CT15" s="12">
        <f>IF('Données projet'!$A$140&gt;35,CT14+CS15-DB14,IF(A15&lt;'Données projet'!$A$140,$CQ$205^A15,IF(A15='Données projet'!$A$140,'Données projet'!$B$140,CT14+CS15-DB14)))</f>
        <v>13.121809125710287</v>
      </c>
      <c r="CU15" s="17">
        <f>CT15*VLOOKUP('Données projet'!$B$13,Paramètres!$A$1:$I$89,3,0)*VLOOKUP('Données projet'!$B$13,Paramètres!$A$1:$I$89,5,0)</f>
        <v>14.124315342914553</v>
      </c>
      <c r="CV15" s="13">
        <f t="shared" si="41"/>
        <v>4.7825912403370845</v>
      </c>
      <c r="CW15" s="20">
        <f t="shared" si="13"/>
        <v>32.929528965829938</v>
      </c>
      <c r="CX15" s="59">
        <f t="shared" si="14"/>
        <v>304.26286229916326</v>
      </c>
      <c r="CY15" s="59">
        <f ca="1">AVERAGE(OFFSET($CX$3,0,0,'Données projet'!$E$13+1,1))-AVERAGE(OFFSET($H$3,0,0,'Données projet'!$E$13+1,1))</f>
        <v>475.01366239340246</v>
      </c>
      <c r="CZ15" s="59">
        <f t="shared" si="42"/>
        <v>322.81767004794284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17</v>
      </c>
      <c r="DO15" s="12">
        <f>IF('Données projet'!$A$166&gt;35,DO14+DN15-DW14,IF(A15&lt;'Données projet'!$A$166,$DL$205^A15,IF(A15='Données projet'!$A$166,'Données projet'!$B$166,DO14+DN15-DW14)))</f>
        <v>118</v>
      </c>
      <c r="DP15" s="17">
        <f>DO15*VLOOKUP('Données projet'!$B$14,Paramètres!$A$1:$I$89,3,0)*VLOOKUP('Données projet'!$B$14,Paramètres!$A$1:$I$89,5,0)</f>
        <v>106.7664</v>
      </c>
      <c r="DQ15" s="13">
        <f t="shared" si="43"/>
        <v>28.5678052620942</v>
      </c>
      <c r="DR15" s="20">
        <f t="shared" si="16"/>
        <v>235.70707416481403</v>
      </c>
      <c r="DS15" s="59">
        <f t="shared" si="17"/>
        <v>507.04040749814737</v>
      </c>
      <c r="DT15" s="59">
        <f ca="1">AVERAGE(OFFSET($DS$3,0,0,'Données projet'!$E$14+1,1))-AVERAGE(OFFSET($H$3,0,0,'Données projet'!$E$14+1,1))</f>
        <v>436.23918637269577</v>
      </c>
      <c r="DU15" s="59">
        <f t="shared" si="44"/>
        <v>611.43967996341894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3.1587016636393348</v>
      </c>
      <c r="ED15" s="22">
        <f t="shared" si="18"/>
        <v>3.1587016636393348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15.728095841377899</v>
      </c>
      <c r="P16" s="13">
        <f t="shared" si="33"/>
        <v>5.2593867546400634</v>
      </c>
      <c r="Q16" s="20">
        <f t="shared" si="2"/>
        <v>36.553198854731285</v>
      </c>
      <c r="R16" s="59">
        <f t="shared" si="0"/>
        <v>309.10875441028685</v>
      </c>
      <c r="S16" s="59">
        <f ca="1">AVERAGE(OFFSET($R$3,0,0,'Données projet'!$E$9+1,1))-AVERAGE(OFFSET($H$3,0,0,'Données projet'!$E$9+1,1))</f>
        <v>430.94515308997018</v>
      </c>
      <c r="T16" s="59">
        <f t="shared" si="34"/>
        <v>294.45557293177131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301.9651025183199</v>
      </c>
      <c r="AN16" s="59">
        <f ca="1">AVERAGE(OFFSET($AM$3,0,0,'Données projet'!$E$10+1,1))-AVERAGE(OFFSET($H$3,0,0,'Données projet'!$E$10+1,1))</f>
        <v>319.22903094674564</v>
      </c>
      <c r="AO16" s="59">
        <f t="shared" si="36"/>
        <v>254.58690973142848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10.6</v>
      </c>
      <c r="BD16" s="12">
        <f>IF('Données projet'!$A$88&gt;35,BD15+BC16-BL15,IF(A16&lt;'Données projet'!$A$88,$BA$205^A16,IF(A16='Données projet'!$A$88,'Données projet'!$B$88,BD15+BC16-BL15)))</f>
        <v>66.8</v>
      </c>
      <c r="BE16" s="13">
        <f>BD16*VLOOKUP('Données projet'!$B$11,Paramètres!$A$1:$I$89,3,0)*VLOOKUP('Données projet'!$B$11,Paramètres!$A$1:$I$89,5,0)</f>
        <v>58.356480000000005</v>
      </c>
      <c r="BF16" s="13">
        <f t="shared" si="37"/>
        <v>16.75206628947662</v>
      </c>
      <c r="BG16" s="20">
        <f t="shared" si="7"/>
        <v>130.81405145417179</v>
      </c>
      <c r="BH16" s="59">
        <f t="shared" si="8"/>
        <v>403.36960700972736</v>
      </c>
      <c r="BI16" s="59">
        <f ca="1">AVERAGE(OFFSET($BH$3,0,0,'Données projet'!$E$11+1,1))-AVERAGE(OFFSET($H$3,0,0,'Données projet'!$E$11+1,1))</f>
        <v>395.21779046720553</v>
      </c>
      <c r="BJ16" s="59">
        <f t="shared" si="38"/>
        <v>360.05900046417361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16.489132736928447</v>
      </c>
      <c r="CA16" s="13">
        <f t="shared" si="39"/>
        <v>5.4836288594779292</v>
      </c>
      <c r="CB16" s="20">
        <f t="shared" si="10"/>
        <v>38.269226447074438</v>
      </c>
      <c r="CC16" s="59">
        <f t="shared" si="11"/>
        <v>310.82478200263</v>
      </c>
      <c r="CD16" s="59">
        <f ca="1">AVERAGE(OFFSET($CC$3,0,0,'Données projet'!$E$12+1,1))-AVERAGE(OFFSET($H$3,0,0,'Données projet'!$E$12+1,1))</f>
        <v>449.84356201138451</v>
      </c>
      <c r="CE16" s="59">
        <f t="shared" si="40"/>
        <v>306.61893266146666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3.65</v>
      </c>
      <c r="CT16" s="12">
        <f>IF('Données projet'!$A$140&gt;35,CT15+CS16-DB15,IF(A16&lt;'Données projet'!$A$140,$CQ$205^A16,IF(A16='Données projet'!$A$140,'Données projet'!$B$140,CT15+CS16-DB15)))</f>
        <v>16.261472127148366</v>
      </c>
      <c r="CU16" s="17">
        <f>CT16*VLOOKUP('Données projet'!$B$13,Paramètres!$A$1:$I$89,3,0)*VLOOKUP('Données projet'!$B$13,Paramètres!$A$1:$I$89,5,0)</f>
        <v>17.5038485976625</v>
      </c>
      <c r="CV16" s="13">
        <f t="shared" si="41"/>
        <v>5.7807590536264062</v>
      </c>
      <c r="CW16" s="20">
        <f t="shared" si="13"/>
        <v>40.55402499266151</v>
      </c>
      <c r="CX16" s="59">
        <f t="shared" si="14"/>
        <v>313.10958054821708</v>
      </c>
      <c r="CY16" s="59">
        <f ca="1">AVERAGE(OFFSET($CX$3,0,0,'Données projet'!$E$13+1,1))-AVERAGE(OFFSET($H$3,0,0,'Données projet'!$E$13+1,1))</f>
        <v>475.01366239340246</v>
      </c>
      <c r="CZ16" s="59">
        <f t="shared" si="42"/>
        <v>322.81767004794284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17</v>
      </c>
      <c r="DO16" s="12">
        <f>IF('Données projet'!$A$166&gt;35,DO15+DN16-DW15,IF(A16&lt;'Données projet'!$A$166,$DL$205^A16,IF(A16='Données projet'!$A$166,'Données projet'!$B$166,DO15+DN16-DW15)))</f>
        <v>135</v>
      </c>
      <c r="DP16" s="17">
        <f>DO16*VLOOKUP('Données projet'!$B$14,Paramètres!$A$1:$I$89,3,0)*VLOOKUP('Données projet'!$B$14,Paramètres!$A$1:$I$89,5,0)</f>
        <v>122.148</v>
      </c>
      <c r="DQ16" s="13">
        <f t="shared" si="43"/>
        <v>32.175466547071615</v>
      </c>
      <c r="DR16" s="20">
        <f t="shared" si="16"/>
        <v>268.78003756948306</v>
      </c>
      <c r="DS16" s="59">
        <f t="shared" si="17"/>
        <v>541.3355931250386</v>
      </c>
      <c r="DT16" s="59">
        <f ca="1">AVERAGE(OFFSET($DS$3,0,0,'Données projet'!$E$14+1,1))-AVERAGE(OFFSET($H$3,0,0,'Données projet'!$E$14+1,1))</f>
        <v>436.23918637269577</v>
      </c>
      <c r="DU16" s="59">
        <f t="shared" si="44"/>
        <v>611.43967996341894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2.233539366104603</v>
      </c>
      <c r="ED16" s="22">
        <f t="shared" si="18"/>
        <v>2.233539366104603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19.491366601009023</v>
      </c>
      <c r="P17" s="13">
        <f t="shared" si="33"/>
        <v>6.3570658813537859</v>
      </c>
      <c r="Q17" s="20">
        <f t="shared" si="2"/>
        <v>45.01935324011523</v>
      </c>
      <c r="R17" s="59">
        <f t="shared" si="0"/>
        <v>318.79713101789298</v>
      </c>
      <c r="S17" s="59">
        <f ca="1">AVERAGE(OFFSET($R$3,0,0,'Données projet'!$E$9+1,1))-AVERAGE(OFFSET($H$3,0,0,'Données projet'!$E$9+1,1))</f>
        <v>430.94515308997018</v>
      </c>
      <c r="T17" s="59">
        <f t="shared" si="34"/>
        <v>294.45557293177131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311.37771528134829</v>
      </c>
      <c r="AN17" s="59">
        <f ca="1">AVERAGE(OFFSET($AM$3,0,0,'Données projet'!$E$10+1,1))-AVERAGE(OFFSET($H$3,0,0,'Données projet'!$E$10+1,1))</f>
        <v>319.22903094674564</v>
      </c>
      <c r="AO17" s="59">
        <f t="shared" si="36"/>
        <v>254.58690973142848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10.6</v>
      </c>
      <c r="BD17" s="12">
        <f>IF('Données projet'!$A$88&gt;35,BD16+BC17-BL16,IF(A17&lt;'Données projet'!$A$88,$BA$205^A17,IF(A17='Données projet'!$A$88,'Données projet'!$B$88,BD16+BC17-BL16)))</f>
        <v>77.399999999999991</v>
      </c>
      <c r="BE17" s="13">
        <f>BD17*VLOOKUP('Données projet'!$B$11,Paramètres!$A$1:$I$89,3,0)*VLOOKUP('Données projet'!$B$11,Paramètres!$A$1:$I$89,5,0)</f>
        <v>67.616640000000004</v>
      </c>
      <c r="BF17" s="13">
        <f t="shared" si="37"/>
        <v>19.080397298873443</v>
      </c>
      <c r="BG17" s="20">
        <f t="shared" si="7"/>
        <v>150.99733996220459</v>
      </c>
      <c r="BH17" s="59">
        <f t="shared" si="8"/>
        <v>424.77511773998236</v>
      </c>
      <c r="BI17" s="59">
        <f ca="1">AVERAGE(OFFSET($BH$3,0,0,'Données projet'!$E$11+1,1))-AVERAGE(OFFSET($H$3,0,0,'Données projet'!$E$11+1,1))</f>
        <v>395.21779046720553</v>
      </c>
      <c r="BJ17" s="59">
        <f t="shared" si="38"/>
        <v>360.05900046417361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20.434497242993334</v>
      </c>
      <c r="CA17" s="13">
        <f t="shared" si="39"/>
        <v>6.6281092368495731</v>
      </c>
      <c r="CB17" s="20">
        <f t="shared" si="10"/>
        <v>47.134039619059727</v>
      </c>
      <c r="CC17" s="59">
        <f t="shared" si="11"/>
        <v>320.91181739683748</v>
      </c>
      <c r="CD17" s="59">
        <f ca="1">AVERAGE(OFFSET($CC$3,0,0,'Données projet'!$E$12+1,1))-AVERAGE(OFFSET($H$3,0,0,'Données projet'!$E$12+1,1))</f>
        <v>449.84356201138451</v>
      </c>
      <c r="CE17" s="59">
        <f t="shared" si="40"/>
        <v>306.61893266146666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3.65</v>
      </c>
      <c r="CT17" s="12">
        <f>IF('Données projet'!$A$140&gt;35,CT16+CS17-DB16,IF(A17&lt;'Données projet'!$A$140,$CQ$205^A17,IF(A17='Données projet'!$A$140,'Données projet'!$B$140,CT16+CS17-DB16)))</f>
        <v>20.152364144963837</v>
      </c>
      <c r="CU17" s="17">
        <f>CT17*VLOOKUP('Données projet'!$B$13,Paramètres!$A$1:$I$89,3,0)*VLOOKUP('Données projet'!$B$13,Paramètres!$A$1:$I$89,5,0)</f>
        <v>21.692004765639073</v>
      </c>
      <c r="CV17" s="13">
        <f t="shared" si="41"/>
        <v>6.9872530510737043</v>
      </c>
      <c r="CW17" s="20">
        <f t="shared" si="13"/>
        <v>49.949707364108086</v>
      </c>
      <c r="CX17" s="59">
        <f t="shared" si="14"/>
        <v>323.72748514188584</v>
      </c>
      <c r="CY17" s="59">
        <f ca="1">AVERAGE(OFFSET($CX$3,0,0,'Données projet'!$E$13+1,1))-AVERAGE(OFFSET($H$3,0,0,'Données projet'!$E$13+1,1))</f>
        <v>475.01366239340246</v>
      </c>
      <c r="CZ17" s="59">
        <f t="shared" si="42"/>
        <v>322.81767004794284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17</v>
      </c>
      <c r="DO17" s="12">
        <f>IF('Données projet'!$A$166&gt;35,DO16+DN17-DW16,IF(A17&lt;'Données projet'!$A$166,$DL$205^A17,IF(A17='Données projet'!$A$166,'Données projet'!$B$166,DO16+DN17-DW16)))</f>
        <v>152</v>
      </c>
      <c r="DP17" s="17">
        <f>DO17*VLOOKUP('Données projet'!$B$14,Paramètres!$A$1:$I$89,3,0)*VLOOKUP('Données projet'!$B$14,Paramètres!$A$1:$I$89,5,0)</f>
        <v>137.52959999999999</v>
      </c>
      <c r="DQ17" s="13">
        <f t="shared" si="43"/>
        <v>35.730486489800548</v>
      </c>
      <c r="DR17" s="20">
        <f t="shared" si="16"/>
        <v>301.76131730306923</v>
      </c>
      <c r="DS17" s="59">
        <f t="shared" si="17"/>
        <v>575.53909508084701</v>
      </c>
      <c r="DT17" s="59">
        <f ca="1">AVERAGE(OFFSET($DS$3,0,0,'Données projet'!$E$14+1,1))-AVERAGE(OFFSET($H$3,0,0,'Données projet'!$E$14+1,1))</f>
        <v>436.23918637269577</v>
      </c>
      <c r="DU17" s="59">
        <f t="shared" si="44"/>
        <v>611.43967996341894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1.5793508318196676</v>
      </c>
      <c r="ED17" s="22">
        <f t="shared" si="18"/>
        <v>1.5793508318196676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24.155077372776663</v>
      </c>
      <c r="P18" s="13">
        <f t="shared" si="33"/>
        <v>7.6838400568695304</v>
      </c>
      <c r="Q18" s="20">
        <f t="shared" si="2"/>
        <v>55.452781189967119</v>
      </c>
      <c r="R18" s="59">
        <f t="shared" si="0"/>
        <v>330.45278118996714</v>
      </c>
      <c r="S18" s="59">
        <f ca="1">AVERAGE(OFFSET($R$3,0,0,'Données projet'!$E$9+1,1))-AVERAGE(OFFSET($H$3,0,0,'Données projet'!$E$9+1,1))</f>
        <v>430.94515308997018</v>
      </c>
      <c r="T18" s="59">
        <f t="shared" si="34"/>
        <v>294.45557293177131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323.07912961223798</v>
      </c>
      <c r="AN18" s="59">
        <f ca="1">AVERAGE(OFFSET($AM$3,0,0,'Données projet'!$E$10+1,1))-AVERAGE(OFFSET($H$3,0,0,'Données projet'!$E$10+1,1))</f>
        <v>319.22903094674564</v>
      </c>
      <c r="AO18" s="59">
        <f t="shared" si="36"/>
        <v>254.58690973142848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88</v>
      </c>
      <c r="BB18" s="12">
        <f>VLOOKUP(A18,'Données projet'!$A$87:$I$107,9,0)</f>
        <v>10.6</v>
      </c>
      <c r="BC18" s="12">
        <f t="array" ref="BC18">INDEX(BB:BB,MIN(IF(ISNUMBER(BB18:BB214),ROW(BB18:BB214),"")))</f>
        <v>10.6</v>
      </c>
      <c r="BD18" s="12">
        <f>IF('Données projet'!$A$88&gt;35,BD17+BC18-BL17,IF(A18&lt;'Données projet'!$A$88,$BA$205^A18,IF(A18='Données projet'!$A$88,'Données projet'!$B$88,BD17+BC18-BL17)))</f>
        <v>87.999999999999986</v>
      </c>
      <c r="BE18" s="13">
        <f>BD18*VLOOKUP('Données projet'!$B$11,Paramètres!$A$1:$I$89,3,0)*VLOOKUP('Données projet'!$B$11,Paramètres!$A$1:$I$89,5,0)</f>
        <v>76.876799999999989</v>
      </c>
      <c r="BF18" s="13">
        <f t="shared" si="37"/>
        <v>21.371784666185118</v>
      </c>
      <c r="BG18" s="20">
        <f t="shared" si="7"/>
        <v>171.1162849602724</v>
      </c>
      <c r="BH18" s="59">
        <f t="shared" si="8"/>
        <v>446.11628496027242</v>
      </c>
      <c r="BI18" s="59">
        <f ca="1">AVERAGE(OFFSET($BH$3,0,0,'Données projet'!$E$11+1,1))-AVERAGE(OFFSET($H$3,0,0,'Données projet'!$E$11+1,1))</f>
        <v>395.21779046720553</v>
      </c>
      <c r="BJ18" s="59">
        <f t="shared" si="38"/>
        <v>360.05900046417361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4.3000000000000003E-2</v>
      </c>
      <c r="BO18" s="16">
        <f>IF(ISNA(VLOOKUP(A18,'Données projet'!$A$87:$I$107,7,0)),0%,VLOOKUP(A18,'Données projet'!$A$87:$I$107,7,0))</f>
        <v>0.5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1.240898009460891</v>
      </c>
      <c r="BR18" s="21">
        <f>EXP(-LN(2)/2)*BR17+(1-EXP(-LN(2)/2))/(LN(2)/2)*BL18*BO18*VLOOKUP('Données projet'!$B$11,Paramètres!$A$1:$I$89,3,0)*0.475*44/12</f>
        <v>12.363976688989007</v>
      </c>
      <c r="BS18" s="22">
        <f t="shared" si="9"/>
        <v>13.604874698449898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25.323871439201337</v>
      </c>
      <c r="CA18" s="13">
        <f t="shared" si="39"/>
        <v>8.0114524854610902</v>
      </c>
      <c r="CB18" s="20">
        <f t="shared" si="10"/>
        <v>58.059022502120392</v>
      </c>
      <c r="CC18" s="59">
        <f t="shared" si="11"/>
        <v>333.0590225021204</v>
      </c>
      <c r="CD18" s="59">
        <f ca="1">AVERAGE(OFFSET($CC$3,0,0,'Données projet'!$E$12+1,1))-AVERAGE(OFFSET($H$3,0,0,'Données projet'!$E$12+1,1))</f>
        <v>449.84356201138451</v>
      </c>
      <c r="CE18" s="59">
        <f t="shared" si="40"/>
        <v>306.61893266146666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3.65</v>
      </c>
      <c r="CT18" s="12">
        <f>IF('Données projet'!$A$140&gt;35,CT17+CS18-DB17,IF(A18&lt;'Données projet'!$A$140,$CQ$205^A18,IF(A18='Données projet'!$A$140,'Données projet'!$B$140,CT17+CS18-DB17)))</f>
        <v>24.974232188561476</v>
      </c>
      <c r="CU18" s="17">
        <f>CT18*VLOOKUP('Données projet'!$B$13,Paramètres!$A$1:$I$89,3,0)*VLOOKUP('Données projet'!$B$13,Paramètres!$A$1:$I$89,5,0)</f>
        <v>26.882263527767574</v>
      </c>
      <c r="CV18" s="13">
        <f t="shared" si="41"/>
        <v>8.4455526941763424</v>
      </c>
      <c r="CW18" s="20">
        <f t="shared" si="13"/>
        <v>61.52927991988566</v>
      </c>
      <c r="CX18" s="59">
        <f t="shared" si="14"/>
        <v>336.52927991988565</v>
      </c>
      <c r="CY18" s="59">
        <f ca="1">AVERAGE(OFFSET($CX$3,0,0,'Données projet'!$E$13+1,1))-AVERAGE(OFFSET($H$3,0,0,'Données projet'!$E$13+1,1))</f>
        <v>475.01366239340246</v>
      </c>
      <c r="CZ18" s="59">
        <f t="shared" si="42"/>
        <v>322.81767004794284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169</v>
      </c>
      <c r="DM18" s="12">
        <f>VLOOKUP(A18,'Données projet'!$A$165:$I$185,9,0)</f>
        <v>17</v>
      </c>
      <c r="DN18" s="12">
        <f t="array" ref="DN18">INDEX(DM:DM,MIN(IF(ISNUMBER(DM18:DM214),ROW(DM18:DM214),"")))</f>
        <v>17</v>
      </c>
      <c r="DO18" s="12">
        <f>IF('Données projet'!$A$166&gt;35,DO17+DN18-DW17,IF(A18&lt;'Données projet'!$A$166,$DL$205^A18,IF(A18='Données projet'!$A$166,'Données projet'!$B$166,DO17+DN18-DW17)))</f>
        <v>169</v>
      </c>
      <c r="DP18" s="17">
        <f>DO18*VLOOKUP('Données projet'!$B$14,Paramètres!$A$1:$I$89,3,0)*VLOOKUP('Données projet'!$B$14,Paramètres!$A$1:$I$89,5,0)</f>
        <v>152.91120000000001</v>
      </c>
      <c r="DQ18" s="13">
        <f t="shared" si="43"/>
        <v>39.239424324197543</v>
      </c>
      <c r="DR18" s="20">
        <f t="shared" si="16"/>
        <v>334.66233736464409</v>
      </c>
      <c r="DS18" s="59">
        <f t="shared" si="17"/>
        <v>609.66233736464415</v>
      </c>
      <c r="DT18" s="59">
        <f ca="1">AVERAGE(OFFSET($DS$3,0,0,'Données projet'!$E$14+1,1))-AVERAGE(OFFSET($H$3,0,0,'Données projet'!$E$14+1,1))</f>
        <v>436.23918637269577</v>
      </c>
      <c r="DU18" s="59">
        <f t="shared" si="44"/>
        <v>611.43967996341894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29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0.5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13.495465391909153</v>
      </c>
      <c r="ED18" s="22">
        <f t="shared" si="18"/>
        <v>13.495465391909153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29.934676968962361</v>
      </c>
      <c r="P19" s="13">
        <f t="shared" si="33"/>
        <v>9.2875233828754098</v>
      </c>
      <c r="Q19" s="20">
        <f t="shared" si="2"/>
        <v>68.311998946117441</v>
      </c>
      <c r="R19" s="59">
        <f t="shared" si="0"/>
        <v>344.53422116833968</v>
      </c>
      <c r="S19" s="59">
        <f ca="1">AVERAGE(OFFSET($R$3,0,0,'Données projet'!$E$9+1,1))-AVERAGE(OFFSET($H$3,0,0,'Données projet'!$E$9+1,1))</f>
        <v>430.94515308997018</v>
      </c>
      <c r="T19" s="59">
        <f t="shared" si="34"/>
        <v>294.45557293177131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337.71097882304434</v>
      </c>
      <c r="AN19" s="59">
        <f ca="1">AVERAGE(OFFSET($AM$3,0,0,'Données projet'!$E$10+1,1))-AVERAGE(OFFSET($H$3,0,0,'Données projet'!$E$10+1,1))</f>
        <v>319.22903094674564</v>
      </c>
      <c r="AO19" s="59">
        <f t="shared" si="36"/>
        <v>254.58690973142848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11.8</v>
      </c>
      <c r="BD19" s="12">
        <f>IF('Données projet'!$A$88&gt;35,BD18+BC19-BL18,IF(A19&lt;'Données projet'!$A$88,$BA$205^A19,IF(A19='Données projet'!$A$88,'Données projet'!$B$88,BD18+BC19-BL18)))</f>
        <v>69.799999999999983</v>
      </c>
      <c r="BE19" s="13">
        <f>BD19*VLOOKUP('Données projet'!$B$11,Paramètres!$A$1:$I$89,3,0)*VLOOKUP('Données projet'!$B$11,Paramètres!$A$1:$I$89,5,0)</f>
        <v>60.977279999999993</v>
      </c>
      <c r="BF19" s="13">
        <f t="shared" si="37"/>
        <v>17.415123237238468</v>
      </c>
      <c r="BG19" s="20">
        <f t="shared" si="7"/>
        <v>136.5334356381903</v>
      </c>
      <c r="BH19" s="59">
        <f t="shared" si="8"/>
        <v>412.7556578604125</v>
      </c>
      <c r="BI19" s="59">
        <f ca="1">AVERAGE(OFFSET($BH$3,0,0,'Données projet'!$E$11+1,1))-AVERAGE(OFFSET($H$3,0,0,'Données projet'!$E$11+1,1))</f>
        <v>395.21779046720553</v>
      </c>
      <c r="BJ19" s="59">
        <f t="shared" si="38"/>
        <v>360.05900046417361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1.2069655881361927</v>
      </c>
      <c r="BR19" s="21">
        <f>EXP(-LN(2)/2)*BR18+(1-EXP(-LN(2)/2))/(LN(2)/2)*BL19*BO19*VLOOKUP('Données projet'!$B$11,Paramètres!$A$1:$I$89,3,0)*0.475*44/12</f>
        <v>8.7426517592165247</v>
      </c>
      <c r="BS19" s="22">
        <f t="shared" si="9"/>
        <v>9.9496173473527172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31.383129080363769</v>
      </c>
      <c r="CA19" s="13">
        <f t="shared" si="39"/>
        <v>9.6835113353243223</v>
      </c>
      <c r="CB19" s="20">
        <f t="shared" si="10"/>
        <v>71.524398723990075</v>
      </c>
      <c r="CC19" s="59">
        <f t="shared" si="11"/>
        <v>347.74662094621232</v>
      </c>
      <c r="CD19" s="59">
        <f ca="1">AVERAGE(OFFSET($CC$3,0,0,'Données projet'!$E$12+1,1))-AVERAGE(OFFSET($H$3,0,0,'Données projet'!$E$12+1,1))</f>
        <v>449.84356201138451</v>
      </c>
      <c r="CE19" s="59">
        <f t="shared" si="40"/>
        <v>306.61893266146666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3.65</v>
      </c>
      <c r="CT19" s="12">
        <f>IF('Données projet'!$A$140&gt;35,CT18+CS19-DB18,IF(A19&lt;'Données projet'!$A$140,$CQ$205^A19,IF(A19='Données projet'!$A$140,'Données projet'!$B$140,CT18+CS19-DB18)))</f>
        <v>30.949831440200953</v>
      </c>
      <c r="CU19" s="17">
        <f>CT19*VLOOKUP('Données projet'!$B$13,Paramètres!$A$1:$I$89,3,0)*VLOOKUP('Données projet'!$B$13,Paramètres!$A$1:$I$89,5,0)</f>
        <v>33.314398562232306</v>
      </c>
      <c r="CV19" s="13">
        <f t="shared" si="41"/>
        <v>10.208211980979948</v>
      </c>
      <c r="CW19" s="20">
        <f t="shared" si="13"/>
        <v>75.801880029428006</v>
      </c>
      <c r="CX19" s="59">
        <f t="shared" si="14"/>
        <v>352.02410225165022</v>
      </c>
      <c r="CY19" s="59">
        <f ca="1">AVERAGE(OFFSET($CX$3,0,0,'Données projet'!$E$13+1,1))-AVERAGE(OFFSET($H$3,0,0,'Données projet'!$E$13+1,1))</f>
        <v>475.01366239340246</v>
      </c>
      <c r="CZ19" s="59">
        <f t="shared" si="42"/>
        <v>322.81767004794284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15.4</v>
      </c>
      <c r="DO19" s="12">
        <f>IF('Données projet'!$A$166&gt;35,DO18+DN19-DW18,IF(A19&lt;'Données projet'!$A$166,$DL$205^A19,IF(A19='Données projet'!$A$166,'Données projet'!$B$166,DO18+DN19-DW18)))</f>
        <v>155.4</v>
      </c>
      <c r="DP19" s="17">
        <f>DO19*VLOOKUP('Données projet'!$B$14,Paramètres!$A$1:$I$89,3,0)*VLOOKUP('Données projet'!$B$14,Paramètres!$A$1:$I$89,5,0)</f>
        <v>140.60592</v>
      </c>
      <c r="DQ19" s="13">
        <f t="shared" si="43"/>
        <v>36.435778350352258</v>
      </c>
      <c r="DR19" s="20">
        <f t="shared" si="16"/>
        <v>308.34762462686348</v>
      </c>
      <c r="DS19" s="59">
        <f t="shared" si="17"/>
        <v>584.56984684908571</v>
      </c>
      <c r="DT19" s="59">
        <f ca="1">AVERAGE(OFFSET($DS$3,0,0,'Données projet'!$E$14+1,1))-AVERAGE(OFFSET($H$3,0,0,'Données projet'!$E$14+1,1))</f>
        <v>436.23918637269577</v>
      </c>
      <c r="DU19" s="59">
        <f t="shared" si="44"/>
        <v>611.43967996341894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9.5427350938873321</v>
      </c>
      <c r="ED19" s="22">
        <f t="shared" si="18"/>
        <v>9.5427350938873321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37.097164766113913</v>
      </c>
      <c r="P20" s="13">
        <f t="shared" si="33"/>
        <v>11.225909174194843</v>
      </c>
      <c r="Q20" s="20">
        <f t="shared" si="2"/>
        <v>84.162687112704418</v>
      </c>
      <c r="R20" s="59">
        <f t="shared" si="0"/>
        <v>361.60713155714888</v>
      </c>
      <c r="S20" s="59">
        <f ca="1">AVERAGE(OFFSET($R$3,0,0,'Données projet'!$E$9+1,1))-AVERAGE(OFFSET($H$3,0,0,'Données projet'!$E$9+1,1))</f>
        <v>430.94515308997018</v>
      </c>
      <c r="T20" s="59">
        <f t="shared" si="34"/>
        <v>294.45557293177131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356.09529321188012</v>
      </c>
      <c r="AN20" s="59">
        <f ca="1">AVERAGE(OFFSET($AM$3,0,0,'Données projet'!$E$10+1,1))-AVERAGE(OFFSET($H$3,0,0,'Données projet'!$E$10+1,1))</f>
        <v>319.22903094674564</v>
      </c>
      <c r="AO20" s="59">
        <f t="shared" si="36"/>
        <v>254.58690973142848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11.8</v>
      </c>
      <c r="BD20" s="12">
        <f>IF('Données projet'!$A$88&gt;35,BD19+BC20-BL19,IF(A20&lt;'Données projet'!$A$88,$BA$205^A20,IF(A20='Données projet'!$A$88,'Données projet'!$B$88,BD19+BC20-BL19)))</f>
        <v>81.59999999999998</v>
      </c>
      <c r="BE20" s="13">
        <f>BD20*VLOOKUP('Données projet'!$B$11,Paramètres!$A$1:$I$89,3,0)*VLOOKUP('Données projet'!$B$11,Paramètres!$A$1:$I$89,5,0)</f>
        <v>71.285759999999982</v>
      </c>
      <c r="BF20" s="13">
        <f t="shared" si="37"/>
        <v>19.992418069182566</v>
      </c>
      <c r="BG20" s="20">
        <f t="shared" si="7"/>
        <v>158.97616013715958</v>
      </c>
      <c r="BH20" s="59">
        <f t="shared" si="8"/>
        <v>436.42060458160404</v>
      </c>
      <c r="BI20" s="59">
        <f ca="1">AVERAGE(OFFSET($BH$3,0,0,'Données projet'!$E$11+1,1))-AVERAGE(OFFSET($H$3,0,0,'Données projet'!$E$11+1,1))</f>
        <v>395.21779046720553</v>
      </c>
      <c r="BJ20" s="59">
        <f t="shared" si="38"/>
        <v>360.05900046417361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1.1739610506570468</v>
      </c>
      <c r="BR20" s="21">
        <f>EXP(-LN(2)/2)*BR19+(1-EXP(-LN(2)/2))/(LN(2)/2)*BL20*BO20*VLOOKUP('Données projet'!$B$11,Paramètres!$A$1:$I$89,3,0)*0.475*44/12</f>
        <v>6.1819883444945045</v>
      </c>
      <c r="BS20" s="22">
        <f t="shared" si="9"/>
        <v>7.3559493951515513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38.892188867700071</v>
      </c>
      <c r="CA20" s="13">
        <f t="shared" si="39"/>
        <v>11.704543208803392</v>
      </c>
      <c r="CB20" s="20">
        <f t="shared" si="10"/>
        <v>88.122641699910204</v>
      </c>
      <c r="CC20" s="59">
        <f t="shared" si="11"/>
        <v>365.56708614435468</v>
      </c>
      <c r="CD20" s="59">
        <f ca="1">AVERAGE(OFFSET($CC$3,0,0,'Données projet'!$E$12+1,1))-AVERAGE(OFFSET($H$3,0,0,'Données projet'!$E$12+1,1))</f>
        <v>449.84356201138451</v>
      </c>
      <c r="CE20" s="59">
        <f t="shared" si="40"/>
        <v>306.61893266146666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3.65</v>
      </c>
      <c r="CT20" s="12">
        <f>IF('Données projet'!$A$140&gt;35,CT19+CS20-DB19,IF(A20&lt;'Données projet'!$A$140,$CQ$205^A20,IF(A20='Données projet'!$A$140,'Données projet'!$B$140,CT19+CS20-DB19)))</f>
        <v>38.355215845858055</v>
      </c>
      <c r="CU20" s="17">
        <f>CT20*VLOOKUP('Données projet'!$B$13,Paramètres!$A$1:$I$89,3,0)*VLOOKUP('Données projet'!$B$13,Paramètres!$A$1:$I$89,5,0)</f>
        <v>41.28555433648161</v>
      </c>
      <c r="CV20" s="13">
        <f t="shared" si="41"/>
        <v>12.338753379690502</v>
      </c>
      <c r="CW20" s="20">
        <f t="shared" si="13"/>
        <v>93.39566927233308</v>
      </c>
      <c r="CX20" s="59">
        <f t="shared" si="14"/>
        <v>370.84011371677752</v>
      </c>
      <c r="CY20" s="59">
        <f ca="1">AVERAGE(OFFSET($CX$3,0,0,'Données projet'!$E$13+1,1))-AVERAGE(OFFSET($H$3,0,0,'Données projet'!$E$13+1,1))</f>
        <v>475.01366239340246</v>
      </c>
      <c r="CZ20" s="59">
        <f t="shared" si="42"/>
        <v>322.81767004794284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15.4</v>
      </c>
      <c r="DO20" s="12">
        <f>IF('Données projet'!$A$166&gt;35,DO19+DN20-DW19,IF(A20&lt;'Données projet'!$A$166,$DL$205^A20,IF(A20='Données projet'!$A$166,'Données projet'!$B$166,DO19+DN20-DW19)))</f>
        <v>170.8</v>
      </c>
      <c r="DP20" s="17">
        <f>DO20*VLOOKUP('Données projet'!$B$14,Paramètres!$A$1:$I$89,3,0)*VLOOKUP('Données projet'!$B$14,Paramètres!$A$1:$I$89,5,0)</f>
        <v>154.53984</v>
      </c>
      <c r="DQ20" s="13">
        <f t="shared" si="43"/>
        <v>39.608483410353038</v>
      </c>
      <c r="DR20" s="20">
        <f t="shared" si="16"/>
        <v>338.14166327303155</v>
      </c>
      <c r="DS20" s="59">
        <f t="shared" si="17"/>
        <v>615.58610771747601</v>
      </c>
      <c r="DT20" s="59">
        <f ca="1">AVERAGE(OFFSET($DS$3,0,0,'Données projet'!$E$14+1,1))-AVERAGE(OFFSET($H$3,0,0,'Données projet'!$E$14+1,1))</f>
        <v>436.23918637269577</v>
      </c>
      <c r="DU20" s="59">
        <f t="shared" si="44"/>
        <v>611.43967996341894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6.7477326959545785</v>
      </c>
      <c r="ED20" s="22">
        <f t="shared" si="18"/>
        <v>6.7477326959545785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45.973425238933089</v>
      </c>
      <c r="P21" s="13">
        <f t="shared" si="33"/>
        <v>13.56885270616201</v>
      </c>
      <c r="Q21" s="20">
        <f t="shared" si="2"/>
        <v>103.70280075437397</v>
      </c>
      <c r="R21" s="59">
        <f t="shared" si="0"/>
        <v>382.36946742104067</v>
      </c>
      <c r="S21" s="59">
        <f ca="1">AVERAGE(OFFSET($R$3,0,0,'Données projet'!$E$9+1,1))-AVERAGE(OFFSET($H$3,0,0,'Données projet'!$E$9+1,1))</f>
        <v>430.94515308997018</v>
      </c>
      <c r="T21" s="59">
        <f t="shared" si="34"/>
        <v>294.45557293177131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379.28535416224724</v>
      </c>
      <c r="AN21" s="59">
        <f ca="1">AVERAGE(OFFSET($AM$3,0,0,'Données projet'!$E$10+1,1))-AVERAGE(OFFSET($H$3,0,0,'Données projet'!$E$10+1,1))</f>
        <v>319.22903094674564</v>
      </c>
      <c r="AO21" s="59">
        <f t="shared" si="36"/>
        <v>254.58690973142848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11.8</v>
      </c>
      <c r="BD21" s="12">
        <f>IF('Données projet'!$A$88&gt;35,BD20+BC21-BL20,IF(A21&lt;'Données projet'!$A$88,$BA$205^A21,IF(A21='Données projet'!$A$88,'Données projet'!$B$88,BD20+BC21-BL20)))</f>
        <v>93.399999999999977</v>
      </c>
      <c r="BE21" s="13">
        <f>BD21*VLOOKUP('Données projet'!$B$11,Paramètres!$A$1:$I$89,3,0)*VLOOKUP('Données projet'!$B$11,Paramètres!$A$1:$I$89,5,0)</f>
        <v>81.594239999999999</v>
      </c>
      <c r="BF21" s="13">
        <f t="shared" si="37"/>
        <v>22.526535320646335</v>
      </c>
      <c r="BG21" s="20">
        <f t="shared" si="7"/>
        <v>181.34368368345903</v>
      </c>
      <c r="BH21" s="59">
        <f t="shared" si="8"/>
        <v>460.01035035012569</v>
      </c>
      <c r="BI21" s="59">
        <f ca="1">AVERAGE(OFFSET($BH$3,0,0,'Données projet'!$E$11+1,1))-AVERAGE(OFFSET($H$3,0,0,'Données projet'!$E$11+1,1))</f>
        <v>395.21779046720553</v>
      </c>
      <c r="BJ21" s="59">
        <f t="shared" si="38"/>
        <v>360.05900046417361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1.1418590239909014</v>
      </c>
      <c r="BR21" s="21">
        <f>EXP(-LN(2)/2)*BR20+(1-EXP(-LN(2)/2))/(LN(2)/2)*BL21*BO21*VLOOKUP('Données projet'!$B$11,Paramètres!$A$1:$I$89,3,0)*0.475*44/12</f>
        <v>4.3713258796082632</v>
      </c>
      <c r="BS21" s="22">
        <f t="shared" si="9"/>
        <v>5.5131849035991642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48.197945815010499</v>
      </c>
      <c r="CA21" s="13">
        <f t="shared" si="39"/>
        <v>14.147381769152156</v>
      </c>
      <c r="CB21" s="20">
        <f t="shared" si="10"/>
        <v>108.58477887574996</v>
      </c>
      <c r="CC21" s="59">
        <f t="shared" si="11"/>
        <v>387.25144554241666</v>
      </c>
      <c r="CD21" s="59">
        <f ca="1">AVERAGE(OFFSET($CC$3,0,0,'Données projet'!$E$12+1,1))-AVERAGE(OFFSET($H$3,0,0,'Données projet'!$E$12+1,1))</f>
        <v>449.84356201138451</v>
      </c>
      <c r="CE21" s="59">
        <f t="shared" si="40"/>
        <v>306.61893266146666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3.65</v>
      </c>
      <c r="CT21" s="12">
        <f>IF('Données projet'!$A$140&gt;35,CT20+CS21-DB20,IF(A21&lt;'Données projet'!$A$140,$CQ$205^A21,IF(A21='Données projet'!$A$140,'Données projet'!$B$140,CT20+CS21-DB20)))</f>
        <v>47.532490941824946</v>
      </c>
      <c r="CU21" s="17">
        <f>CT21*VLOOKUP('Données projet'!$B$13,Paramètres!$A$1:$I$89,3,0)*VLOOKUP('Données projet'!$B$13,Paramètres!$A$1:$I$89,5,0)</f>
        <v>51.163973249780369</v>
      </c>
      <c r="CV21" s="13">
        <f t="shared" si="41"/>
        <v>14.913957042476</v>
      </c>
      <c r="CW21" s="20">
        <f t="shared" si="13"/>
        <v>115.08572859234651</v>
      </c>
      <c r="CX21" s="59">
        <f t="shared" si="14"/>
        <v>393.75239525901321</v>
      </c>
      <c r="CY21" s="59">
        <f ca="1">AVERAGE(OFFSET($CX$3,0,0,'Données projet'!$E$13+1,1))-AVERAGE(OFFSET($H$3,0,0,'Données projet'!$E$13+1,1))</f>
        <v>475.01366239340246</v>
      </c>
      <c r="CZ21" s="59">
        <f t="shared" si="42"/>
        <v>322.81767004794284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15.4</v>
      </c>
      <c r="DO21" s="12">
        <f>IF('Données projet'!$A$166&gt;35,DO20+DN21-DW20,IF(A21&lt;'Données projet'!$A$166,$DL$205^A21,IF(A21='Données projet'!$A$166,'Données projet'!$B$166,DO20+DN21-DW20)))</f>
        <v>186.20000000000002</v>
      </c>
      <c r="DP21" s="17">
        <f>DO21*VLOOKUP('Données projet'!$B$14,Paramètres!$A$1:$I$89,3,0)*VLOOKUP('Données projet'!$B$14,Paramètres!$A$1:$I$89,5,0)</f>
        <v>168.47376000000003</v>
      </c>
      <c r="DQ21" s="13">
        <f t="shared" si="43"/>
        <v>42.748017388135018</v>
      </c>
      <c r="DR21" s="20">
        <f t="shared" si="16"/>
        <v>367.87792895100188</v>
      </c>
      <c r="DS21" s="59">
        <f t="shared" si="17"/>
        <v>646.54459561766862</v>
      </c>
      <c r="DT21" s="59">
        <f ca="1">AVERAGE(OFFSET($DS$3,0,0,'Données projet'!$E$14+1,1))-AVERAGE(OFFSET($H$3,0,0,'Données projet'!$E$14+1,1))</f>
        <v>436.23918637269577</v>
      </c>
      <c r="DU21" s="59">
        <f t="shared" si="44"/>
        <v>611.43967996341894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4.7713675469436669</v>
      </c>
      <c r="ED21" s="22">
        <f t="shared" si="18"/>
        <v>4.7713675469436669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56.973513785354818</v>
      </c>
      <c r="P22" s="13">
        <f t="shared" si="33"/>
        <v>16.400788649238766</v>
      </c>
      <c r="Q22" s="20">
        <f t="shared" si="2"/>
        <v>127.7935767402505</v>
      </c>
      <c r="R22" s="59">
        <f t="shared" si="0"/>
        <v>407.68246562913936</v>
      </c>
      <c r="S22" s="59">
        <f ca="1">AVERAGE(OFFSET($R$3,0,0,'Données projet'!$E$9+1,1))-AVERAGE(OFFSET($H$3,0,0,'Données projet'!$E$9+1,1))</f>
        <v>430.94515308997018</v>
      </c>
      <c r="T22" s="59">
        <f t="shared" si="34"/>
        <v>294.45557293177131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408.63091873093396</v>
      </c>
      <c r="AN22" s="59">
        <f ca="1">AVERAGE(OFFSET($AM$3,0,0,'Données projet'!$E$10+1,1))-AVERAGE(OFFSET($H$3,0,0,'Données projet'!$E$10+1,1))</f>
        <v>319.22903094674564</v>
      </c>
      <c r="AO22" s="59">
        <f t="shared" si="36"/>
        <v>254.58690973142848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11.8</v>
      </c>
      <c r="BD22" s="12">
        <f>IF('Données projet'!$A$88&gt;35,BD21+BC22-BL21,IF(A22&lt;'Données projet'!$A$88,$BA$205^A22,IF(A22='Données projet'!$A$88,'Données projet'!$B$88,BD21+BC22-BL21)))</f>
        <v>105.19999999999997</v>
      </c>
      <c r="BE22" s="13">
        <f>BD22*VLOOKUP('Données projet'!$B$11,Paramètres!$A$1:$I$89,3,0)*VLOOKUP('Données projet'!$B$11,Paramètres!$A$1:$I$89,5,0)</f>
        <v>91.902719999999988</v>
      </c>
      <c r="BF22" s="13">
        <f t="shared" si="37"/>
        <v>25.023555003327861</v>
      </c>
      <c r="BG22" s="20">
        <f t="shared" si="7"/>
        <v>203.64659563079599</v>
      </c>
      <c r="BH22" s="59">
        <f t="shared" si="8"/>
        <v>483.53548451968481</v>
      </c>
      <c r="BI22" s="59">
        <f ca="1">AVERAGE(OFFSET($BH$3,0,0,'Données projet'!$E$11+1,1))-AVERAGE(OFFSET($H$3,0,0,'Données projet'!$E$11+1,1))</f>
        <v>395.21779046720553</v>
      </c>
      <c r="BJ22" s="59">
        <f t="shared" si="38"/>
        <v>360.05900046417361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1.110634828932114</v>
      </c>
      <c r="BR22" s="21">
        <f>EXP(-LN(2)/2)*BR21+(1-EXP(-LN(2)/2))/(LN(2)/2)*BL22*BO22*VLOOKUP('Données projet'!$B$11,Paramètres!$A$1:$I$89,3,0)*0.475*44/12</f>
        <v>3.0909941722472527</v>
      </c>
      <c r="BS22" s="22">
        <f t="shared" si="9"/>
        <v>4.2016290011793664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59.730296710452635</v>
      </c>
      <c r="CA22" s="13">
        <f t="shared" si="39"/>
        <v>17.100061689857345</v>
      </c>
      <c r="CB22" s="20">
        <f t="shared" si="10"/>
        <v>133.81287421387319</v>
      </c>
      <c r="CC22" s="59">
        <f t="shared" si="11"/>
        <v>413.70176310276202</v>
      </c>
      <c r="CD22" s="59">
        <f ca="1">AVERAGE(OFFSET($CC$3,0,0,'Données projet'!$E$12+1,1))-AVERAGE(OFFSET($H$3,0,0,'Données projet'!$E$12+1,1))</f>
        <v>449.84356201138451</v>
      </c>
      <c r="CE22" s="59">
        <f t="shared" si="40"/>
        <v>306.61893266146666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3.65</v>
      </c>
      <c r="CT22" s="12">
        <f>IF('Données projet'!$A$140&gt;35,CT21+CS22-DB21,IF(A22&lt;'Données projet'!$A$140,$CQ$205^A22,IF(A22='Données projet'!$A$140,'Données projet'!$B$140,CT21+CS22-DB21)))</f>
        <v>58.90561805764559</v>
      </c>
      <c r="CU22" s="17">
        <f>CT22*VLOOKUP('Données projet'!$B$13,Paramètres!$A$1:$I$89,3,0)*VLOOKUP('Données projet'!$B$13,Paramètres!$A$1:$I$89,5,0)</f>
        <v>63.406007277249707</v>
      </c>
      <c r="CV22" s="13">
        <f t="shared" si="41"/>
        <v>18.026627797823672</v>
      </c>
      <c r="CW22" s="20">
        <f t="shared" si="13"/>
        <v>141.82850608908612</v>
      </c>
      <c r="CX22" s="59">
        <f t="shared" si="14"/>
        <v>421.717394977975</v>
      </c>
      <c r="CY22" s="59">
        <f ca="1">AVERAGE(OFFSET($CX$3,0,0,'Données projet'!$E$13+1,1))-AVERAGE(OFFSET($H$3,0,0,'Données projet'!$E$13+1,1))</f>
        <v>475.01366239340246</v>
      </c>
      <c r="CZ22" s="59">
        <f t="shared" si="42"/>
        <v>322.81767004794284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15.4</v>
      </c>
      <c r="DO22" s="12">
        <f>IF('Données projet'!$A$166&gt;35,DO21+DN22-DW21,IF(A22&lt;'Données projet'!$A$166,$DL$205^A22,IF(A22='Données projet'!$A$166,'Données projet'!$B$166,DO21+DN22-DW21)))</f>
        <v>201.60000000000002</v>
      </c>
      <c r="DP22" s="17">
        <f>DO22*VLOOKUP('Données projet'!$B$14,Paramètres!$A$1:$I$89,3,0)*VLOOKUP('Données projet'!$B$14,Paramètres!$A$1:$I$89,5,0)</f>
        <v>182.40768000000003</v>
      </c>
      <c r="DQ22" s="13">
        <f t="shared" si="43"/>
        <v>45.857435663065921</v>
      </c>
      <c r="DR22" s="20">
        <f t="shared" si="16"/>
        <v>397.56174311317318</v>
      </c>
      <c r="DS22" s="59">
        <f t="shared" si="17"/>
        <v>677.45063200206209</v>
      </c>
      <c r="DT22" s="59">
        <f ca="1">AVERAGE(OFFSET($DS$3,0,0,'Données projet'!$E$14+1,1))-AVERAGE(OFFSET($H$3,0,0,'Données projet'!$E$14+1,1))</f>
        <v>436.23918637269577</v>
      </c>
      <c r="DU22" s="59">
        <f t="shared" si="44"/>
        <v>611.43967996341894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3.3738663479772897</v>
      </c>
      <c r="ED22" s="22">
        <f t="shared" si="18"/>
        <v>3.3738663479772897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70.605599999999995</v>
      </c>
      <c r="P23" s="13">
        <f t="shared" si="33"/>
        <v>19.823773913828742</v>
      </c>
      <c r="Q23" s="20">
        <f t="shared" si="2"/>
        <v>157.49782623325171</v>
      </c>
      <c r="R23" s="59">
        <f t="shared" si="0"/>
        <v>438.60893734436286</v>
      </c>
      <c r="S23" s="59">
        <f ca="1">AVERAGE(OFFSET($R$3,0,0,'Données projet'!$E$9+1,1))-AVERAGE(OFFSET($H$3,0,0,'Données projet'!$E$9+1,1))</f>
        <v>430.94515308997018</v>
      </c>
      <c r="T23" s="59">
        <f t="shared" si="34"/>
        <v>294.45557293177131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8.6000000000000007E-2</v>
      </c>
      <c r="X23" s="16">
        <f>IF(ISNA(VLOOKUP(A23,'Données projet'!$A$35:$I$55,6,0)),0%,VLOOKUP(A23,'Données projet'!$A$35:$I$55,6,0)*VLOOKUP('Données projet'!$B$9,Paramètres!$A$1:$I$89,7,0))</f>
        <v>8.6000000000000007E-2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0.55171285075948318</v>
      </c>
      <c r="AA23" s="21">
        <f>EXP(-LN(2)/25)*AA22+(1-EXP(-LN(2)/25))/(LN(2)/25)*Calculateur!V23*Calculateur!X23*VLOOKUP('Données projet'!$B$9,Paramètres!$A$1:$I$89,3,0)*0.475*44/12</f>
        <v>0.54954054704696598</v>
      </c>
      <c r="AB23" s="21">
        <f>EXP(-LN(2)/2)*AB22+(1-EXP(-LN(2)/2))/(LN(2)/2)*V23*Y23*VLOOKUP('Données projet'!$B$9,Paramètres!$A$1:$I$89,3,0)*0.475*44/12</f>
        <v>3.2852852345027928</v>
      </c>
      <c r="AC23" s="22">
        <f t="shared" si="3"/>
        <v>4.3865386323092421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445.86188445423306</v>
      </c>
      <c r="AN23" s="59">
        <f ca="1">AVERAGE(OFFSET($AM$3,0,0,'Données projet'!$E$10+1,1))-AVERAGE(OFFSET($H$3,0,0,'Données projet'!$E$10+1,1))</f>
        <v>319.22903094674564</v>
      </c>
      <c r="AO23" s="59">
        <f t="shared" si="36"/>
        <v>254.58690973142848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39.5</v>
      </c>
      <c r="AR23" s="16">
        <f>IF(ISNA(VLOOKUP(A23,'Données projet'!$A$61:$I$81,5,0)),0%,VLOOKUP(A23,'Données projet'!$A$61:$I$81,5,0)*VLOOKUP('Données projet'!$B$10,Paramètres!$A$1:$I$89,7,0))</f>
        <v>0.11000000000000001</v>
      </c>
      <c r="AS23" s="16">
        <f>IF(ISNA(VLOOKUP(A23,'Données projet'!$A$61:$I$81,6,0)),0%,VLOOKUP(A23,'Données projet'!$A$61:$I$81,6,0)*VLOOKUP('Données projet'!$B$10,Paramètres!$A$1:$I$89,7,0))</f>
        <v>0.11000000000000001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2.6975157575580879</v>
      </c>
      <c r="AV23" s="21">
        <f>EXP(-LN(2)/25)*AV22+(1-EXP(-LN(2)/25))/(LN(2)/25)*Calculateur!AQ23*Calculateur!AS23*VLOOKUP('Données projet'!$B$10,Paramètres!$A$1:$I$89,3,0)*0.475*44/12</f>
        <v>2.686894610186497</v>
      </c>
      <c r="AW23" s="21">
        <f>EXP(-LN(2)/2)*AW22+(1-EXP(-LN(2)/2))/(LN(2)/2)*AQ23*AT23*VLOOKUP('Données projet'!$B$10,Paramètres!$A$1:$I$89,3,0)*0.475*44/12</f>
        <v>12.558267751244545</v>
      </c>
      <c r="AX23" s="21">
        <f t="shared" si="6"/>
        <v>17.942678118989129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117</v>
      </c>
      <c r="BB23" s="12">
        <f>VLOOKUP(A23,'Données projet'!$A$87:$I$107,9,0)</f>
        <v>11.8</v>
      </c>
      <c r="BC23" s="12">
        <f t="array" ref="BC23">INDEX(BB:BB,MIN(IF(ISNUMBER(BB23:BB219),ROW(BB23:BB219),"")))</f>
        <v>11.8</v>
      </c>
      <c r="BD23" s="12">
        <f>IF('Données projet'!$A$88&gt;35,BD22+BC23-BL22,IF(A23&lt;'Données projet'!$A$88,$BA$205^A23,IF(A23='Données projet'!$A$88,'Données projet'!$B$88,BD22+BC23-BL22)))</f>
        <v>116.99999999999997</v>
      </c>
      <c r="BE23" s="13">
        <f>BD23*VLOOKUP('Données projet'!$B$11,Paramètres!$A$1:$I$89,3,0)*VLOOKUP('Données projet'!$B$11,Paramètres!$A$1:$I$89,5,0)</f>
        <v>102.21119999999999</v>
      </c>
      <c r="BF23" s="13">
        <f t="shared" si="37"/>
        <v>27.488113037666018</v>
      </c>
      <c r="BG23" s="20">
        <f t="shared" si="7"/>
        <v>225.89297020726829</v>
      </c>
      <c r="BH23" s="59">
        <f t="shared" si="8"/>
        <v>507.00408131837946</v>
      </c>
      <c r="BI23" s="59">
        <f ca="1">AVERAGE(OFFSET($BH$3,0,0,'Données projet'!$E$11+1,1))-AVERAGE(OFFSET($H$3,0,0,'Données projet'!$E$11+1,1))</f>
        <v>395.21779046720553</v>
      </c>
      <c r="BJ23" s="59">
        <f t="shared" si="38"/>
        <v>360.05900046417361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4.3000000000000003E-2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0.4</v>
      </c>
      <c r="BP23" s="21">
        <f>EXP(-LN(2)/35)*BP22+(1-EXP(-LN(2)/35))/(LN(2)/35)*BL23*BM23*VLOOKUP('Données projet'!$B$11,Paramètres!$A$1:$I$89,3,0)*0.475*44/12</f>
        <v>1.2042764376793018</v>
      </c>
      <c r="BQ23" s="21">
        <f>EXP(-LN(2)/25)*BQ22+(1-EXP(-LN(2)/25))/(LN(2)/25)*Calculateur!BL23*Calculateur!BN23*VLOOKUP('Données projet'!$B$11,Paramètres!$A$1:$I$89,3,0)*0.475*44/12</f>
        <v>3.4793339460869404</v>
      </c>
      <c r="BR23" s="21">
        <f>EXP(-LN(2)/2)*BR22+(1-EXP(-LN(2)/2))/(LN(2)/2)*BL23*BO23*VLOOKUP('Données projet'!$B$11,Paramètres!$A$1:$I$89,3,0)*0.475*44/12</f>
        <v>11.747138245955634</v>
      </c>
      <c r="BS23" s="22">
        <f t="shared" si="9"/>
        <v>16.430748629721876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74.022000000000006</v>
      </c>
      <c r="CA23" s="13">
        <f t="shared" si="39"/>
        <v>20.668991235856851</v>
      </c>
      <c r="CB23" s="20">
        <f t="shared" si="10"/>
        <v>164.92014306911736</v>
      </c>
      <c r="CC23" s="59">
        <f t="shared" si="11"/>
        <v>446.03125418022853</v>
      </c>
      <c r="CD23" s="59">
        <f ca="1">AVERAGE(OFFSET($CC$3,0,0,'Données projet'!$E$12+1,1))-AVERAGE(OFFSET($H$3,0,0,'Données projet'!$E$12+1,1))</f>
        <v>449.84356201138451</v>
      </c>
      <c r="CE23" s="59">
        <f t="shared" si="40"/>
        <v>306.61893266146666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8.6000000000000007E-2</v>
      </c>
      <c r="CI23" s="16">
        <f>IF(ISNA(VLOOKUP(A23,'Données projet'!$A$113:$I$133,6,0)),0%,VLOOKUP(A23,'Données projet'!$A$113:$I$133,6,0)*VLOOKUP('Données projet'!$B$12,Paramètres!$A$1:$I$89,7,0))</f>
        <v>8.6000000000000007E-2</v>
      </c>
      <c r="CJ23" s="16">
        <f>IF(ISNA(VLOOKUP(A23,'Données projet'!$A$113:$I$133,7,0)),0%,VLOOKUP(A23,'Données projet'!$A$113:$I$133,7,0))</f>
        <v>0.6</v>
      </c>
      <c r="CK23" s="21">
        <f>EXP(-LN(2)/35)*CK22+(1-EXP(-LN(2)/35))/(LN(2)/35)*CG23*CH23*VLOOKUP('Données projet'!$B$12,Paramètres!$A$1:$I$89,3,0)*0.475*44/12</f>
        <v>0.57840863386074848</v>
      </c>
      <c r="CL23" s="21">
        <f>EXP(-LN(2)/25)*CL22+(1-EXP(-LN(2)/25))/(LN(2)/25)*Calculateur!CG23*Calculateur!CI23*VLOOKUP('Données projet'!$B$12,Paramètres!$A$1:$I$89,3,0)*0.475*44/12</f>
        <v>0.57613121867827077</v>
      </c>
      <c r="CM23" s="21">
        <f>EXP(-LN(2)/2)*CM22+(1-EXP(-LN(2)/2))/(LN(2)/2)*CG23*CJ23*VLOOKUP('Données projet'!$B$12,Paramètres!$A$1:$I$89,3,0)*0.475*44/12</f>
        <v>3.4442506490755087</v>
      </c>
      <c r="CN23" s="22">
        <f t="shared" si="12"/>
        <v>4.5987905016145278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73</v>
      </c>
      <c r="CR23" s="12">
        <f>VLOOKUP(A23,'Données projet'!$A$139:$I$159,9,0)</f>
        <v>3.65</v>
      </c>
      <c r="CS23" s="12">
        <f t="array" ref="CS23">INDEX(CR:CR,MIN(IF(ISNUMBER(CR23:CR219),ROW(CR23:CR219),"")))</f>
        <v>3.65</v>
      </c>
      <c r="CT23" s="12">
        <f>IF('Données projet'!$A$140&gt;35,CT22+CS23-DB22,IF(A23&lt;'Données projet'!$A$140,$CQ$205^A23,IF(A23='Données projet'!$A$140,'Données projet'!$B$140,CT22+CS23-DB22)))</f>
        <v>73</v>
      </c>
      <c r="CU23" s="17">
        <f>CT23*VLOOKUP('Données projet'!$B$13,Paramètres!$A$1:$I$89,3,0)*VLOOKUP('Données projet'!$B$13,Paramètres!$A$1:$I$89,5,0)</f>
        <v>78.577200000000005</v>
      </c>
      <c r="CV23" s="13">
        <f t="shared" si="41"/>
        <v>21.788939637935243</v>
      </c>
      <c r="CW23" s="20">
        <f t="shared" si="13"/>
        <v>174.8043598694039</v>
      </c>
      <c r="CX23" s="59">
        <f t="shared" si="14"/>
        <v>455.91547098051501</v>
      </c>
      <c r="CY23" s="59">
        <f ca="1">AVERAGE(OFFSET($CX$3,0,0,'Données projet'!$E$13+1,1))-AVERAGE(OFFSET($H$3,0,0,'Données projet'!$E$13+1,1))</f>
        <v>475.01366239340246</v>
      </c>
      <c r="CZ23" s="59">
        <f t="shared" si="42"/>
        <v>322.81767004794284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</v>
      </c>
      <c r="DC23" s="16">
        <f>IF(ISNA(VLOOKUP(A23,'Données projet'!$A$139:$I$159,5,0)),0%,VLOOKUP(A23,'Données projet'!$A$139:$I$159,5,0)*VLOOKUP('Données projet'!$B$13,Paramètres!$A$1:$I$89,7,0))</f>
        <v>8.6000000000000007E-2</v>
      </c>
      <c r="DD23" s="16">
        <f>IF(ISNA(VLOOKUP(A23,'Données projet'!$A$139:$I$159,6,0)),0%,VLOOKUP(A23,'Données projet'!$A$139:$I$159,6,0)*VLOOKUP('Données projet'!$B$13,Paramètres!$A$1:$I$89,7,0))</f>
        <v>8.6000000000000007E-2</v>
      </c>
      <c r="DE23" s="16">
        <f>IF(ISNA(VLOOKUP(A23,'Données projet'!$A$139:$I$159,7,0)),0%,VLOOKUP(A23,'Données projet'!$A$139:$I$159,7,0))</f>
        <v>0.6</v>
      </c>
      <c r="DF23" s="21">
        <f>EXP(-LN(2)/35)*DF22+(1-EXP(-LN(2)/35))/(LN(2)/35)*DB23*DC23*VLOOKUP('Données projet'!$B$13,Paramètres!$A$1:$I$89,3,0)*0.475*44/12</f>
        <v>0.61400301132910218</v>
      </c>
      <c r="DG23" s="21">
        <f>EXP(-LN(2)/25)*DG22+(1-EXP(-LN(2)/25))/(LN(2)/25)*Calculateur!DB23*Calculateur!DD23*VLOOKUP('Données projet'!$B$13,Paramètres!$A$1:$I$89,3,0)*0.475*44/12</f>
        <v>0.61158544752001032</v>
      </c>
      <c r="DH23" s="21">
        <f>EXP(-LN(2)/2)*DH22+(1-EXP(-LN(2)/2))/(LN(2)/2)*DB23*DE23*VLOOKUP('Données projet'!$B$13,Paramètres!$A$1:$I$89,3,0)*0.475*44/12</f>
        <v>3.656204535172463</v>
      </c>
      <c r="DI23" s="22">
        <f t="shared" si="15"/>
        <v>4.8817929940215752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217</v>
      </c>
      <c r="DM23" s="12">
        <f>VLOOKUP(A23,'Données projet'!$A$165:$I$185,9,0)</f>
        <v>15.4</v>
      </c>
      <c r="DN23" s="12">
        <f t="array" ref="DN23">INDEX(DM:DM,MIN(IF(ISNUMBER(DM23:DM219),ROW(DM23:DM219),"")))</f>
        <v>15.4</v>
      </c>
      <c r="DO23" s="12">
        <f>IF('Données projet'!$A$166&gt;35,DO22+DN23-DW22,IF(A23&lt;'Données projet'!$A$166,$DL$205^A23,IF(A23='Données projet'!$A$166,'Données projet'!$B$166,DO22+DN23-DW22)))</f>
        <v>217.00000000000003</v>
      </c>
      <c r="DP23" s="17">
        <f>DO23*VLOOKUP('Données projet'!$B$14,Paramètres!$A$1:$I$89,3,0)*VLOOKUP('Données projet'!$B$14,Paramètres!$A$1:$I$89,5,0)</f>
        <v>196.34160000000003</v>
      </c>
      <c r="DQ23" s="13">
        <f t="shared" si="43"/>
        <v>48.939300310809159</v>
      </c>
      <c r="DR23" s="20">
        <f t="shared" si="16"/>
        <v>427.19756804132595</v>
      </c>
      <c r="DS23" s="59">
        <f t="shared" si="17"/>
        <v>708.30867915243709</v>
      </c>
      <c r="DT23" s="59">
        <f ca="1">AVERAGE(OFFSET($DS$3,0,0,'Données projet'!$E$14+1,1))-AVERAGE(OFFSET($H$3,0,0,'Données projet'!$E$14+1,1))</f>
        <v>436.23918637269577</v>
      </c>
      <c r="DU23" s="59">
        <f t="shared" si="44"/>
        <v>611.43967996341894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23</v>
      </c>
      <c r="DX23" s="16">
        <f>IF(ISNA(VLOOKUP(A23,'Données projet'!$A$165:$I$185,5,0)),0%,VLOOKUP(A23,'Données projet'!$A$165:$I$185,5,0)*VLOOKUP('Données projet'!$B$14,Paramètres!$A$1:$I$89,7,0))</f>
        <v>0.03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0.4</v>
      </c>
      <c r="EA23" s="21">
        <f>EXP(-LN(2)/35)*EA22+(1-EXP(-LN(2)/35))/(LN(2)/35)*DW23*DX23*VLOOKUP('Données projet'!$B$14,Paramètres!$A$1:$I$89,3,0)*0.475*44/12</f>
        <v>0.6901584235869751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10.239752774953422</v>
      </c>
      <c r="ED23" s="22">
        <f t="shared" si="18"/>
        <v>10.929911198540397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71.76624000000001</v>
      </c>
      <c r="P24" s="13">
        <f t="shared" si="33"/>
        <v>20.111439068025625</v>
      </c>
      <c r="Q24" s="20">
        <f t="shared" si="2"/>
        <v>160.02029104347795</v>
      </c>
      <c r="R24" s="59">
        <f t="shared" si="0"/>
        <v>442.35362437681124</v>
      </c>
      <c r="S24" s="59">
        <f ca="1">AVERAGE(OFFSET($R$3,0,0,'Données projet'!$E$9+1,1))-AVERAGE(OFFSET($H$3,0,0,'Données projet'!$E$9+1,1))</f>
        <v>430.94515308997018</v>
      </c>
      <c r="T24" s="59">
        <f t="shared" si="34"/>
        <v>294.45557293177131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0.54089409826770096</v>
      </c>
      <c r="AA24" s="21">
        <f>EXP(-LN(2)/25)*AA23+(1-EXP(-LN(2)/25))/(LN(2)/25)*Calculateur!V24*Calculateur!X24*VLOOKUP('Données projet'!$B$9,Paramètres!$A$1:$I$89,3,0)*0.475*44/12</f>
        <v>0.53451333188888528</v>
      </c>
      <c r="AB24" s="21">
        <f>EXP(-LN(2)/2)*AB23+(1-EXP(-LN(2)/2))/(LN(2)/2)*V24*Y24*VLOOKUP('Données projet'!$B$9,Paramètres!$A$1:$I$89,3,0)*0.475*44/12</f>
        <v>2.3230474674489621</v>
      </c>
      <c r="AC24" s="22">
        <f t="shared" si="3"/>
        <v>3.3984548976055482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127.69999999999999</v>
      </c>
      <c r="AJ24" s="13">
        <f>AI24*VLOOKUP('Données projet'!$B$10,Paramètres!$A$1:$I$89,3,0)*VLOOKUP('Données projet'!$B$10,Paramètres!$A$1:$I$89,5,0)</f>
        <v>59.763599999999997</v>
      </c>
      <c r="AK24" s="13">
        <f t="shared" si="35"/>
        <v>17.108485949725164</v>
      </c>
      <c r="AL24" s="20">
        <f t="shared" si="4"/>
        <v>133.88554969577129</v>
      </c>
      <c r="AM24" s="59">
        <f t="shared" si="5"/>
        <v>416.21888302910463</v>
      </c>
      <c r="AN24" s="59">
        <f ca="1">AVERAGE(OFFSET($AM$3,0,0,'Données projet'!$E$10+1,1))-AVERAGE(OFFSET($H$3,0,0,'Données projet'!$E$10+1,1))</f>
        <v>319.22903094674564</v>
      </c>
      <c r="AO24" s="59">
        <f t="shared" si="36"/>
        <v>254.58690973142848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2.6446191188745241</v>
      </c>
      <c r="AV24" s="21">
        <f>EXP(-LN(2)/25)*AV23+(1-EXP(-LN(2)/25))/(LN(2)/25)*Calculateur!AQ24*Calculateur!AS24*VLOOKUP('Données projet'!$B$10,Paramètres!$A$1:$I$89,3,0)*0.475*44/12</f>
        <v>2.6134213357733005</v>
      </c>
      <c r="AW24" s="21">
        <f>EXP(-LN(2)/2)*AW23+(1-EXP(-LN(2)/2))/(LN(2)/2)*AQ24*AT24*VLOOKUP('Données projet'!$B$10,Paramètres!$A$1:$I$89,3,0)*0.475*44/12</f>
        <v>8.8800362868613529</v>
      </c>
      <c r="AX24" s="21">
        <f t="shared" si="6"/>
        <v>14.138076741509177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11.4</v>
      </c>
      <c r="BD24" s="12">
        <f>IF('Données projet'!$A$88&gt;35,BD23+BC24-BL23,IF(A24&lt;'Données projet'!$A$88,$BA$205^A24,IF(A24='Données projet'!$A$88,'Données projet'!$B$88,BD23+BC24-BL23)))</f>
        <v>99.399999999999977</v>
      </c>
      <c r="BE24" s="13">
        <f>BD24*VLOOKUP('Données projet'!$B$11,Paramètres!$A$1:$I$89,3,0)*VLOOKUP('Données projet'!$B$11,Paramètres!$A$1:$I$89,5,0)</f>
        <v>86.83583999999999</v>
      </c>
      <c r="BF24" s="13">
        <f t="shared" si="37"/>
        <v>23.800523515695954</v>
      </c>
      <c r="BG24" s="20">
        <f t="shared" si="7"/>
        <v>192.69166645650375</v>
      </c>
      <c r="BH24" s="59">
        <f t="shared" si="8"/>
        <v>475.02499978983707</v>
      </c>
      <c r="BI24" s="59">
        <f ca="1">AVERAGE(OFFSET($BH$3,0,0,'Données projet'!$E$11+1,1))-AVERAGE(OFFSET($H$3,0,0,'Données projet'!$E$11+1,1))</f>
        <v>395.21779046720553</v>
      </c>
      <c r="BJ24" s="59">
        <f t="shared" si="38"/>
        <v>360.05900046417361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1.1806613112725082</v>
      </c>
      <c r="BQ24" s="21">
        <f>EXP(-LN(2)/25)*BQ23+(1-EXP(-LN(2)/25))/(LN(2)/25)*Calculateur!BL24*Calculateur!BN24*VLOOKUP('Données projet'!$B$11,Paramètres!$A$1:$I$89,3,0)*0.475*44/12</f>
        <v>3.384191376360973</v>
      </c>
      <c r="BR24" s="21">
        <f>EXP(-LN(2)/2)*BR23+(1-EXP(-LN(2)/2))/(LN(2)/2)*BL24*BO24*VLOOKUP('Données projet'!$B$11,Paramètres!$A$1:$I$89,3,0)*0.475*44/12</f>
        <v>8.3064811132510741</v>
      </c>
      <c r="BS24" s="22">
        <f t="shared" si="9"/>
        <v>12.871333800884555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7.2</v>
      </c>
      <c r="BY24" s="12">
        <f>IF('Données projet'!$A$114&gt;35,BY23+BX24-CG23,IF(A24&lt;'Données projet'!$A$114,$BV$205^A24,IF(A24='Données projet'!$A$114,'Données projet'!$B$114,BY23+BX24-CG23)))</f>
        <v>74.2</v>
      </c>
      <c r="BZ24" s="13">
        <f>BY24*VLOOKUP('Données projet'!$B$12,Paramètres!$A$1:$I$89,3,0)*VLOOKUP('Données projet'!$B$12,Paramètres!$A$1:$I$89,5,0)</f>
        <v>75.238800000000012</v>
      </c>
      <c r="CA24" s="13">
        <f t="shared" si="39"/>
        <v>20.96892143970209</v>
      </c>
      <c r="CB24" s="20">
        <f t="shared" si="10"/>
        <v>167.56178150748116</v>
      </c>
      <c r="CC24" s="59">
        <f t="shared" si="11"/>
        <v>449.89511484081447</v>
      </c>
      <c r="CD24" s="59">
        <f ca="1">AVERAGE(OFFSET($CC$3,0,0,'Données projet'!$E$12+1,1))-AVERAGE(OFFSET($H$3,0,0,'Données projet'!$E$12+1,1))</f>
        <v>449.84356201138451</v>
      </c>
      <c r="CE24" s="59">
        <f t="shared" si="40"/>
        <v>306.61893266146666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0.56706639334517028</v>
      </c>
      <c r="CL24" s="21">
        <f>EXP(-LN(2)/25)*CL23+(1-EXP(-LN(2)/25))/(LN(2)/25)*Calculateur!CG24*Calculateur!CI24*VLOOKUP('Données projet'!$B$12,Paramètres!$A$1:$I$89,3,0)*0.475*44/12</f>
        <v>0.56037688020608944</v>
      </c>
      <c r="CM24" s="21">
        <f>EXP(-LN(2)/2)*CM23+(1-EXP(-LN(2)/2))/(LN(2)/2)*CG24*CJ24*VLOOKUP('Données projet'!$B$12,Paramètres!$A$1:$I$89,3,0)*0.475*44/12</f>
        <v>2.4354529900674602</v>
      </c>
      <c r="CN24" s="22">
        <f t="shared" si="12"/>
        <v>3.56289626361872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</v>
      </c>
      <c r="CT24" s="12">
        <f>IF('Données projet'!$A$140&gt;35,CT23+CS24-DB23,IF(A24&lt;'Données projet'!$A$140,$CQ$205^A24,IF(A24='Données projet'!$A$140,'Données projet'!$B$140,CT23+CS24-DB23)))</f>
        <v>74.2</v>
      </c>
      <c r="CU24" s="17">
        <f>CT24*VLOOKUP('Données projet'!$B$13,Paramètres!$A$1:$I$89,3,0)*VLOOKUP('Données projet'!$B$13,Paramètres!$A$1:$I$89,5,0)</f>
        <v>79.868880000000004</v>
      </c>
      <c r="CV24" s="13">
        <f t="shared" si="41"/>
        <v>22.105121546989441</v>
      </c>
      <c r="CW24" s="20">
        <f t="shared" si="13"/>
        <v>177.6047193610066</v>
      </c>
      <c r="CX24" s="59">
        <f t="shared" si="14"/>
        <v>459.93805269433994</v>
      </c>
      <c r="CY24" s="59">
        <f ca="1">AVERAGE(OFFSET($CX$3,0,0,'Données projet'!$E$13+1,1))-AVERAGE(OFFSET($H$3,0,0,'Données projet'!$E$13+1,1))</f>
        <v>475.01366239340246</v>
      </c>
      <c r="CZ24" s="59">
        <f t="shared" si="42"/>
        <v>322.81767004794284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0.60196278678179616</v>
      </c>
      <c r="DG24" s="21">
        <f>EXP(-LN(2)/25)*DG23+(1-EXP(-LN(2)/25))/(LN(2)/25)*Calculateur!DB24*Calculateur!DD24*VLOOKUP('Données projet'!$B$13,Paramètres!$A$1:$I$89,3,0)*0.475*44/12</f>
        <v>0.5948616112956947</v>
      </c>
      <c r="DH24" s="21">
        <f>EXP(-LN(2)/2)*DH23+(1-EXP(-LN(2)/2))/(LN(2)/2)*DB24*DE24*VLOOKUP('Données projet'!$B$13,Paramètres!$A$1:$I$89,3,0)*0.475*44/12</f>
        <v>2.5853270202254577</v>
      </c>
      <c r="DI24" s="22">
        <f t="shared" si="15"/>
        <v>3.7821514183029485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</v>
      </c>
      <c r="DO24" s="12">
        <f>IF('Données projet'!$A$166&gt;35,DO23+DN24-DW23,IF(A24&lt;'Données projet'!$A$166,$DL$205^A24,IF(A24='Données projet'!$A$166,'Données projet'!$B$166,DO23+DN24-DW23)))</f>
        <v>207.00000000000003</v>
      </c>
      <c r="DP24" s="17">
        <f>DO24*VLOOKUP('Données projet'!$B$14,Paramètres!$A$1:$I$89,3,0)*VLOOKUP('Données projet'!$B$14,Paramètres!$A$1:$I$89,5,0)</f>
        <v>187.2936</v>
      </c>
      <c r="DQ24" s="13">
        <f t="shared" si="43"/>
        <v>46.941107550760421</v>
      </c>
      <c r="DR24" s="20">
        <f t="shared" si="16"/>
        <v>407.95878231757439</v>
      </c>
      <c r="DS24" s="59">
        <f t="shared" si="17"/>
        <v>690.2921156509077</v>
      </c>
      <c r="DT24" s="59">
        <f ca="1">AVERAGE(OFFSET($DS$3,0,0,'Données projet'!$E$14+1,1))-AVERAGE(OFFSET($H$3,0,0,'Données projet'!$E$14+1,1))</f>
        <v>436.23918637269577</v>
      </c>
      <c r="DU24" s="59">
        <f t="shared" si="44"/>
        <v>611.43967996341894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0.67662483785550709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7.2405986248433321</v>
      </c>
      <c r="ED24" s="22">
        <f t="shared" si="18"/>
        <v>7.9172234626988391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78.730080000000015</v>
      </c>
      <c r="P25" s="13">
        <f t="shared" si="33"/>
        <v>21.826393515256996</v>
      </c>
      <c r="Q25" s="20">
        <f t="shared" si="2"/>
        <v>175.13585803907259</v>
      </c>
      <c r="R25" s="59">
        <f t="shared" si="0"/>
        <v>458.6914135946281</v>
      </c>
      <c r="S25" s="59">
        <f ca="1">AVERAGE(OFFSET($R$3,0,0,'Données projet'!$E$9+1,1))-AVERAGE(OFFSET($H$3,0,0,'Données projet'!$E$9+1,1))</f>
        <v>430.94515308997018</v>
      </c>
      <c r="T25" s="59">
        <f t="shared" si="34"/>
        <v>294.45557293177131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0.53028749491349514</v>
      </c>
      <c r="AA25" s="21">
        <f>EXP(-LN(2)/25)*AA24+(1-EXP(-LN(2)/25))/(LN(2)/25)*Calculateur!V25*Calculateur!X25*VLOOKUP('Données projet'!$B$9,Paramètres!$A$1:$I$89,3,0)*0.475*44/12</f>
        <v>0.51989703671954923</v>
      </c>
      <c r="AB25" s="21">
        <f>EXP(-LN(2)/2)*AB24+(1-EXP(-LN(2)/2))/(LN(2)/2)*V25*Y25*VLOOKUP('Données projet'!$B$9,Paramètres!$A$1:$I$89,3,0)*0.475*44/12</f>
        <v>1.6426426172513968</v>
      </c>
      <c r="AC25" s="22">
        <f t="shared" si="3"/>
        <v>2.6928271488844411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136.89999999999998</v>
      </c>
      <c r="AJ25" s="13">
        <f>AI25*VLOOKUP('Données projet'!$B$10,Paramètres!$A$1:$I$89,3,0)*VLOOKUP('Données projet'!$B$10,Paramètres!$A$1:$I$89,5,0)</f>
        <v>64.069199999999995</v>
      </c>
      <c r="AK25" s="13">
        <f t="shared" si="35"/>
        <v>18.193128517714101</v>
      </c>
      <c r="AL25" s="20">
        <f t="shared" si="4"/>
        <v>143.27355550168537</v>
      </c>
      <c r="AM25" s="59">
        <f t="shared" si="5"/>
        <v>426.82911105724088</v>
      </c>
      <c r="AN25" s="59">
        <f ca="1">AVERAGE(OFFSET($AM$3,0,0,'Données projet'!$E$10+1,1))-AVERAGE(OFFSET($H$3,0,0,'Données projet'!$E$10+1,1))</f>
        <v>319.22903094674564</v>
      </c>
      <c r="AO25" s="59">
        <f t="shared" si="36"/>
        <v>254.58690973142848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2.5927597510117808</v>
      </c>
      <c r="AV25" s="21">
        <f>EXP(-LN(2)/25)*AV24+(1-EXP(-LN(2)/25))/(LN(2)/25)*Calculateur!AQ25*Calculateur!AS25*VLOOKUP('Données projet'!$B$10,Paramètres!$A$1:$I$89,3,0)*0.475*44/12</f>
        <v>2.5419571919127244</v>
      </c>
      <c r="AW25" s="21">
        <f>EXP(-LN(2)/2)*AW24+(1-EXP(-LN(2)/2))/(LN(2)/2)*AQ25*AT25*VLOOKUP('Données projet'!$B$10,Paramètres!$A$1:$I$89,3,0)*0.475*44/12</f>
        <v>6.2791338756222732</v>
      </c>
      <c r="AX25" s="21">
        <f t="shared" si="6"/>
        <v>11.413850818546779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11.4</v>
      </c>
      <c r="BD25" s="12">
        <f>IF('Données projet'!$A$88&gt;35,BD24+BC25-BL24,IF(A25&lt;'Données projet'!$A$88,$BA$205^A25,IF(A25='Données projet'!$A$88,'Données projet'!$B$88,BD24+BC25-BL24)))</f>
        <v>110.79999999999998</v>
      </c>
      <c r="BE25" s="13">
        <f>BD25*VLOOKUP('Données projet'!$B$11,Paramètres!$A$1:$I$89,3,0)*VLOOKUP('Données projet'!$B$11,Paramètres!$A$1:$I$89,5,0)</f>
        <v>96.794879999999992</v>
      </c>
      <c r="BF25" s="13">
        <f t="shared" si="37"/>
        <v>26.196980264498734</v>
      </c>
      <c r="BG25" s="20">
        <f t="shared" si="7"/>
        <v>214.21082329400193</v>
      </c>
      <c r="BH25" s="59">
        <f t="shared" si="8"/>
        <v>497.76637884955744</v>
      </c>
      <c r="BI25" s="59">
        <f ca="1">AVERAGE(OFFSET($BH$3,0,0,'Données projet'!$E$11+1,1))-AVERAGE(OFFSET($H$3,0,0,'Données projet'!$E$11+1,1))</f>
        <v>395.21779046720553</v>
      </c>
      <c r="BJ25" s="59">
        <f t="shared" si="38"/>
        <v>360.05900046417361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1.1575092630907471</v>
      </c>
      <c r="BQ25" s="21">
        <f>EXP(-LN(2)/25)*BQ24+(1-EXP(-LN(2)/25))/(LN(2)/25)*Calculateur!BL25*Calculateur!BN25*VLOOKUP('Données projet'!$B$11,Paramètres!$A$1:$I$89,3,0)*0.475*44/12</f>
        <v>3.2916504852074926</v>
      </c>
      <c r="BR25" s="21">
        <f>EXP(-LN(2)/2)*BR24+(1-EXP(-LN(2)/2))/(LN(2)/2)*BL25*BO25*VLOOKUP('Données projet'!$B$11,Paramètres!$A$1:$I$89,3,0)*0.475*44/12</f>
        <v>5.8735691229778171</v>
      </c>
      <c r="BS25" s="22">
        <f t="shared" si="9"/>
        <v>10.322728871276055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7.2</v>
      </c>
      <c r="BY25" s="12">
        <f>IF('Données projet'!$A$114&gt;35,BY24+BX25-CG24,IF(A25&lt;'Données projet'!$A$114,$BV$205^A25,IF(A25='Données projet'!$A$114,'Données projet'!$B$114,BY24+BX25-CG24)))</f>
        <v>81.400000000000006</v>
      </c>
      <c r="BZ25" s="13">
        <f>BY25*VLOOKUP('Données projet'!$B$12,Paramètres!$A$1:$I$89,3,0)*VLOOKUP('Données projet'!$B$12,Paramètres!$A$1:$I$89,5,0)</f>
        <v>82.539600000000007</v>
      </c>
      <c r="CA25" s="13">
        <f t="shared" si="39"/>
        <v>22.756995627482848</v>
      </c>
      <c r="CB25" s="20">
        <f t="shared" si="10"/>
        <v>183.39157071786599</v>
      </c>
      <c r="CC25" s="59">
        <f t="shared" si="11"/>
        <v>466.94712627342153</v>
      </c>
      <c r="CD25" s="59">
        <f ca="1">AVERAGE(OFFSET($CC$3,0,0,'Données projet'!$E$12+1,1))-AVERAGE(OFFSET($H$3,0,0,'Données projet'!$E$12+1,1))</f>
        <v>449.84356201138451</v>
      </c>
      <c r="CE25" s="59">
        <f t="shared" si="40"/>
        <v>306.61893266146666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0.55594656724801894</v>
      </c>
      <c r="CL25" s="21">
        <f>EXP(-LN(2)/25)*CL24+(1-EXP(-LN(2)/25))/(LN(2)/25)*Calculateur!CG25*Calculateur!CI25*VLOOKUP('Données projet'!$B$12,Paramètres!$A$1:$I$89,3,0)*0.475*44/12</f>
        <v>0.54505334494791458</v>
      </c>
      <c r="CM25" s="21">
        <f>EXP(-LN(2)/2)*CM24+(1-EXP(-LN(2)/2))/(LN(2)/2)*CG25*CJ25*VLOOKUP('Données projet'!$B$12,Paramètres!$A$1:$I$89,3,0)*0.475*44/12</f>
        <v>1.7221253245377546</v>
      </c>
      <c r="CN25" s="22">
        <f t="shared" si="12"/>
        <v>2.8231252367336879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</v>
      </c>
      <c r="CT25" s="12">
        <f>IF('Données projet'!$A$140&gt;35,CT24+CS25-DB24,IF(A25&lt;'Données projet'!$A$140,$CQ$205^A25,IF(A25='Données projet'!$A$140,'Données projet'!$B$140,CT24+CS25-DB24)))</f>
        <v>81.400000000000006</v>
      </c>
      <c r="CU25" s="17">
        <f>CT25*VLOOKUP('Données projet'!$B$13,Paramètres!$A$1:$I$89,3,0)*VLOOKUP('Données projet'!$B$13,Paramètres!$A$1:$I$89,5,0)</f>
        <v>87.618960000000001</v>
      </c>
      <c r="CV25" s="13">
        <f t="shared" si="41"/>
        <v>23.990082457811074</v>
      </c>
      <c r="CW25" s="20">
        <f t="shared" si="13"/>
        <v>194.38574894735427</v>
      </c>
      <c r="CX25" s="59">
        <f t="shared" si="14"/>
        <v>477.94130450290982</v>
      </c>
      <c r="CY25" s="59">
        <f ca="1">AVERAGE(OFFSET($CX$3,0,0,'Données projet'!$E$13+1,1))-AVERAGE(OFFSET($H$3,0,0,'Données projet'!$E$13+1,1))</f>
        <v>475.01366239340246</v>
      </c>
      <c r="CZ25" s="59">
        <f t="shared" si="42"/>
        <v>322.81767004794284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0.5901586636940509</v>
      </c>
      <c r="DG25" s="21">
        <f>EXP(-LN(2)/25)*DG24+(1-EXP(-LN(2)/25))/(LN(2)/25)*Calculateur!DB25*Calculateur!DD25*VLOOKUP('Données projet'!$B$13,Paramètres!$A$1:$I$89,3,0)*0.475*44/12</f>
        <v>0.57859508925240133</v>
      </c>
      <c r="DH25" s="21">
        <f>EXP(-LN(2)/2)*DH24+(1-EXP(-LN(2)/2))/(LN(2)/2)*DB25*DE25*VLOOKUP('Données projet'!$B$13,Paramètres!$A$1:$I$89,3,0)*0.475*44/12</f>
        <v>1.8281022675862317</v>
      </c>
      <c r="DI25" s="22">
        <f t="shared" si="15"/>
        <v>2.9968560205326842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</v>
      </c>
      <c r="DO25" s="12">
        <f>IF('Données projet'!$A$166&gt;35,DO24+DN25-DW24,IF(A25&lt;'Données projet'!$A$166,$DL$205^A25,IF(A25='Données projet'!$A$166,'Données projet'!$B$166,DO24+DN25-DW24)))</f>
        <v>220.00000000000003</v>
      </c>
      <c r="DP25" s="17">
        <f>DO25*VLOOKUP('Données projet'!$B$14,Paramètres!$A$1:$I$89,3,0)*VLOOKUP('Données projet'!$B$14,Paramètres!$A$1:$I$89,5,0)</f>
        <v>199.05600000000001</v>
      </c>
      <c r="DQ25" s="13">
        <f t="shared" si="43"/>
        <v>49.536648006253934</v>
      </c>
      <c r="DR25" s="20">
        <f t="shared" si="16"/>
        <v>432.96552861089231</v>
      </c>
      <c r="DS25" s="59">
        <f t="shared" si="17"/>
        <v>716.52108416644785</v>
      </c>
      <c r="DT25" s="59">
        <f ca="1">AVERAGE(OFFSET($DS$3,0,0,'Données projet'!$E$14+1,1))-AVERAGE(OFFSET($H$3,0,0,'Données projet'!$E$14+1,1))</f>
        <v>436.23918637269577</v>
      </c>
      <c r="DU25" s="59">
        <f t="shared" si="44"/>
        <v>611.43967996341894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0.66335663748556095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5.1198763874767117</v>
      </c>
      <c r="ED25" s="22">
        <f t="shared" si="18"/>
        <v>5.7832330249622723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85.693920000000006</v>
      </c>
      <c r="P26" s="13">
        <f t="shared" si="33"/>
        <v>23.523757486236178</v>
      </c>
      <c r="Q26" s="20">
        <f t="shared" si="2"/>
        <v>190.22078828852798</v>
      </c>
      <c r="R26" s="59">
        <f t="shared" si="0"/>
        <v>474.99856606630578</v>
      </c>
      <c r="S26" s="59">
        <f ca="1">AVERAGE(OFFSET($R$3,0,0,'Données projet'!$E$9+1,1))-AVERAGE(OFFSET($H$3,0,0,'Données projet'!$E$9+1,1))</f>
        <v>430.94515308997018</v>
      </c>
      <c r="T26" s="59">
        <f t="shared" si="34"/>
        <v>294.45557293177131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0.51988888058167604</v>
      </c>
      <c r="AA26" s="21">
        <f>EXP(-LN(2)/25)*AA25+(1-EXP(-LN(2)/25))/(LN(2)/25)*Calculateur!V26*Calculateur!X26*VLOOKUP('Données projet'!$B$9,Paramètres!$A$1:$I$89,3,0)*0.475*44/12</f>
        <v>0.50568042491025622</v>
      </c>
      <c r="AB26" s="21">
        <f>EXP(-LN(2)/2)*AB25+(1-EXP(-LN(2)/2))/(LN(2)/2)*V26*Y26*VLOOKUP('Données projet'!$B$9,Paramètres!$A$1:$I$89,3,0)*0.475*44/12</f>
        <v>1.1615237337244813</v>
      </c>
      <c r="AC26" s="22">
        <f t="shared" si="3"/>
        <v>2.1870930392164132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146.09999999999997</v>
      </c>
      <c r="AJ26" s="13">
        <f>AI26*VLOOKUP('Données projet'!$B$10,Paramètres!$A$1:$I$89,3,0)*VLOOKUP('Données projet'!$B$10,Paramètres!$A$1:$I$89,5,0)</f>
        <v>68.374799999999979</v>
      </c>
      <c r="AK26" s="13">
        <f t="shared" si="35"/>
        <v>19.269313009600907</v>
      </c>
      <c r="AL26" s="20">
        <f t="shared" si="4"/>
        <v>152.64683015838821</v>
      </c>
      <c r="AM26" s="59">
        <f t="shared" si="5"/>
        <v>437.42460793616601</v>
      </c>
      <c r="AN26" s="59">
        <f ca="1">AVERAGE(OFFSET($AM$3,0,0,'Données projet'!$E$10+1,1))-AVERAGE(OFFSET($H$3,0,0,'Données projet'!$E$10+1,1))</f>
        <v>319.22903094674564</v>
      </c>
      <c r="AO26" s="59">
        <f t="shared" si="36"/>
        <v>254.58690973142848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2.541917313721735</v>
      </c>
      <c r="AV26" s="21">
        <f>EXP(-LN(2)/25)*AV25+(1-EXP(-LN(2)/25))/(LN(2)/25)*Calculateur!AQ26*Calculateur!AS26*VLOOKUP('Données projet'!$B$10,Paramètres!$A$1:$I$89,3,0)*0.475*44/12</f>
        <v>2.4724472388241518</v>
      </c>
      <c r="AW26" s="21">
        <f>EXP(-LN(2)/2)*AW25+(1-EXP(-LN(2)/2))/(LN(2)/2)*AQ26*AT26*VLOOKUP('Données projet'!$B$10,Paramètres!$A$1:$I$89,3,0)*0.475*44/12</f>
        <v>4.4400181434306774</v>
      </c>
      <c r="AX26" s="21">
        <f t="shared" si="6"/>
        <v>9.4543826959765642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11.4</v>
      </c>
      <c r="BD26" s="12">
        <f>IF('Données projet'!$A$88&gt;35,BD25+BC26-BL25,IF(A26&lt;'Données projet'!$A$88,$BA$205^A26,IF(A26='Données projet'!$A$88,'Données projet'!$B$88,BD25+BC26-BL25)))</f>
        <v>122.19999999999999</v>
      </c>
      <c r="BE26" s="13">
        <f>BD26*VLOOKUP('Données projet'!$B$11,Paramètres!$A$1:$I$89,3,0)*VLOOKUP('Données projet'!$B$11,Paramètres!$A$1:$I$89,5,0)</f>
        <v>106.75392000000001</v>
      </c>
      <c r="BF26" s="13">
        <f t="shared" si="37"/>
        <v>28.564854626855976</v>
      </c>
      <c r="BG26" s="20">
        <f t="shared" si="7"/>
        <v>235.68019914177421</v>
      </c>
      <c r="BH26" s="59">
        <f t="shared" si="8"/>
        <v>520.45797691955204</v>
      </c>
      <c r="BI26" s="59">
        <f ca="1">AVERAGE(OFFSET($BH$3,0,0,'Données projet'!$E$11+1,1))-AVERAGE(OFFSET($H$3,0,0,'Données projet'!$E$11+1,1))</f>
        <v>395.21779046720553</v>
      </c>
      <c r="BJ26" s="59">
        <f t="shared" si="38"/>
        <v>360.05900046417361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1.1348112124524752</v>
      </c>
      <c r="BQ26" s="21">
        <f>EXP(-LN(2)/25)*BQ25+(1-EXP(-LN(2)/25))/(LN(2)/25)*Calculateur!BL26*Calculateur!BN26*VLOOKUP('Données projet'!$B$11,Paramètres!$A$1:$I$89,3,0)*0.475*44/12</f>
        <v>3.2016401295891179</v>
      </c>
      <c r="BR26" s="21">
        <f>EXP(-LN(2)/2)*BR25+(1-EXP(-LN(2)/2))/(LN(2)/2)*BL26*BO26*VLOOKUP('Données projet'!$B$11,Paramètres!$A$1:$I$89,3,0)*0.475*44/12</f>
        <v>4.153240556625537</v>
      </c>
      <c r="BS26" s="22">
        <f t="shared" si="9"/>
        <v>8.4896918986671306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89.840400000000017</v>
      </c>
      <c r="CA26" s="13">
        <f t="shared" si="39"/>
        <v>24.526729341796202</v>
      </c>
      <c r="CB26" s="20">
        <f t="shared" si="10"/>
        <v>199.18941693696172</v>
      </c>
      <c r="CC26" s="59">
        <f t="shared" si="11"/>
        <v>483.96719471473949</v>
      </c>
      <c r="CD26" s="59">
        <f ca="1">AVERAGE(OFFSET($CC$3,0,0,'Données projet'!$E$12+1,1))-AVERAGE(OFFSET($H$3,0,0,'Données projet'!$E$12+1,1))</f>
        <v>449.84356201138451</v>
      </c>
      <c r="CE26" s="59">
        <f t="shared" si="40"/>
        <v>306.61893266146666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0.54504479415820861</v>
      </c>
      <c r="CL26" s="21">
        <f>EXP(-LN(2)/25)*CL25+(1-EXP(-LN(2)/25))/(LN(2)/25)*Calculateur!CG26*Calculateur!CI26*VLOOKUP('Données projet'!$B$12,Paramètres!$A$1:$I$89,3,0)*0.475*44/12</f>
        <v>0.53014883256720413</v>
      </c>
      <c r="CM26" s="21">
        <f>EXP(-LN(2)/2)*CM25+(1-EXP(-LN(2)/2))/(LN(2)/2)*CG26*CJ26*VLOOKUP('Données projet'!$B$12,Paramètres!$A$1:$I$89,3,0)*0.475*44/12</f>
        <v>1.2177264950337303</v>
      </c>
      <c r="CN26" s="22">
        <f t="shared" si="12"/>
        <v>2.2929201217591428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95.369039999999998</v>
      </c>
      <c r="CV26" s="13">
        <f t="shared" si="41"/>
        <v>25.855709117398451</v>
      </c>
      <c r="CW26" s="20">
        <f t="shared" si="13"/>
        <v>211.13310471280226</v>
      </c>
      <c r="CX26" s="59">
        <f t="shared" si="14"/>
        <v>495.91088249058004</v>
      </c>
      <c r="CY26" s="59">
        <f ca="1">AVERAGE(OFFSET($CX$3,0,0,'Données projet'!$E$13+1,1))-AVERAGE(OFFSET($H$3,0,0,'Données projet'!$E$13+1,1))</f>
        <v>475.01366239340246</v>
      </c>
      <c r="CZ26" s="59">
        <f t="shared" si="42"/>
        <v>322.81767004794284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0.57858601226025219</v>
      </c>
      <c r="DG26" s="21">
        <f>EXP(-LN(2)/25)*DG25+(1-EXP(-LN(2)/25))/(LN(2)/25)*Calculateur!DB26*Calculateur!DD26*VLOOKUP('Données projet'!$B$13,Paramètres!$A$1:$I$89,3,0)*0.475*44/12</f>
        <v>0.56277337610980105</v>
      </c>
      <c r="DH26" s="21">
        <f>EXP(-LN(2)/2)*DH25+(1-EXP(-LN(2)/2))/(LN(2)/2)*DB26*DE26*VLOOKUP('Données projet'!$B$13,Paramètres!$A$1:$I$89,3,0)*0.475*44/12</f>
        <v>1.2926635101127291</v>
      </c>
      <c r="DI26" s="22">
        <f t="shared" si="15"/>
        <v>2.4340228984827821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</v>
      </c>
      <c r="DO26" s="12">
        <f>IF('Données projet'!$A$166&gt;35,DO25+DN26-DW25,IF(A26&lt;'Données projet'!$A$166,$DL$205^A26,IF(A26='Données projet'!$A$166,'Données projet'!$B$166,DO25+DN26-DW25)))</f>
        <v>233.00000000000003</v>
      </c>
      <c r="DP26" s="17">
        <f>DO26*VLOOKUP('Données projet'!$B$14,Paramètres!$A$1:$I$89,3,0)*VLOOKUP('Données projet'!$B$14,Paramètres!$A$1:$I$89,5,0)</f>
        <v>210.81840000000003</v>
      </c>
      <c r="DQ26" s="13">
        <f t="shared" si="43"/>
        <v>52.114386184062198</v>
      </c>
      <c r="DR26" s="20">
        <f t="shared" si="16"/>
        <v>457.94126927057505</v>
      </c>
      <c r="DS26" s="59">
        <f t="shared" si="17"/>
        <v>742.71904704835288</v>
      </c>
      <c r="DT26" s="59">
        <f ca="1">AVERAGE(OFFSET($DS$3,0,0,'Données projet'!$E$14+1,1))-AVERAGE(OFFSET($H$3,0,0,'Données projet'!$E$14+1,1))</f>
        <v>436.23918637269577</v>
      </c>
      <c r="DU26" s="59">
        <f t="shared" si="44"/>
        <v>611.43967996341894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0.65034861843206626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3.6202993124216669</v>
      </c>
      <c r="ED26" s="22">
        <f t="shared" si="18"/>
        <v>4.2706479308537331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92.65776000000001</v>
      </c>
      <c r="P27" s="13">
        <f t="shared" si="33"/>
        <v>25.205122972074609</v>
      </c>
      <c r="Q27" s="20">
        <f t="shared" si="2"/>
        <v>205.2778545096966</v>
      </c>
      <c r="R27" s="59">
        <f t="shared" si="0"/>
        <v>491.27785450969657</v>
      </c>
      <c r="S27" s="59">
        <f ca="1">AVERAGE(OFFSET($R$3,0,0,'Données projet'!$E$9+1,1))-AVERAGE(OFFSET($H$3,0,0,'Données projet'!$E$9+1,1))</f>
        <v>430.94515308997018</v>
      </c>
      <c r="T27" s="59">
        <f t="shared" si="34"/>
        <v>294.45557293177131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0.50969417673437545</v>
      </c>
      <c r="AA27" s="21">
        <f>EXP(-LN(2)/25)*AA26+(1-EXP(-LN(2)/25))/(LN(2)/25)*Calculateur!V27*Calculateur!X27*VLOOKUP('Données projet'!$B$9,Paramètres!$A$1:$I$89,3,0)*0.475*44/12</f>
        <v>0.49185256709850744</v>
      </c>
      <c r="AB27" s="21">
        <f>EXP(-LN(2)/2)*AB26+(1-EXP(-LN(2)/2))/(LN(2)/2)*V27*Y27*VLOOKUP('Données projet'!$B$9,Paramètres!$A$1:$I$89,3,0)*0.475*44/12</f>
        <v>0.82132130862569852</v>
      </c>
      <c r="AC27" s="22">
        <f t="shared" si="3"/>
        <v>1.8228680524585814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155.29999999999995</v>
      </c>
      <c r="AJ27" s="13">
        <f>AI27*VLOOKUP('Données projet'!$B$10,Paramètres!$A$1:$I$89,3,0)*VLOOKUP('Données projet'!$B$10,Paramètres!$A$1:$I$89,5,0)</f>
        <v>72.680399999999977</v>
      </c>
      <c r="AK27" s="13">
        <f t="shared" si="35"/>
        <v>20.337632665681216</v>
      </c>
      <c r="AL27" s="20">
        <f t="shared" si="4"/>
        <v>162.00640689272805</v>
      </c>
      <c r="AM27" s="59">
        <f t="shared" si="5"/>
        <v>448.00640689272802</v>
      </c>
      <c r="AN27" s="59">
        <f ca="1">AVERAGE(OFFSET($AM$3,0,0,'Données projet'!$E$10+1,1))-AVERAGE(OFFSET($H$3,0,0,'Données projet'!$E$10+1,1))</f>
        <v>319.22903094674564</v>
      </c>
      <c r="AO27" s="59">
        <f t="shared" si="36"/>
        <v>254.58690973142848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2.492071865616122</v>
      </c>
      <c r="AV27" s="21">
        <f>EXP(-LN(2)/25)*AV26+(1-EXP(-LN(2)/25))/(LN(2)/25)*Calculateur!AQ27*Calculateur!AS27*VLOOKUP('Données projet'!$B$10,Paramètres!$A$1:$I$89,3,0)*0.475*44/12</f>
        <v>2.4048380390581561</v>
      </c>
      <c r="AW27" s="21">
        <f>EXP(-LN(2)/2)*AW26+(1-EXP(-LN(2)/2))/(LN(2)/2)*AQ27*AT27*VLOOKUP('Données projet'!$B$10,Paramètres!$A$1:$I$89,3,0)*0.475*44/12</f>
        <v>3.139566937811137</v>
      </c>
      <c r="AX27" s="21">
        <f t="shared" si="6"/>
        <v>8.0364768424854152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11.4</v>
      </c>
      <c r="BD27" s="12">
        <f>IF('Données projet'!$A$88&gt;35,BD26+BC27-BL26,IF(A27&lt;'Données projet'!$A$88,$BA$205^A27,IF(A27='Données projet'!$A$88,'Données projet'!$B$88,BD26+BC27-BL26)))</f>
        <v>133.6</v>
      </c>
      <c r="BE27" s="13">
        <f>BD27*VLOOKUP('Données projet'!$B$11,Paramètres!$A$1:$I$89,3,0)*VLOOKUP('Données projet'!$B$11,Paramètres!$A$1:$I$89,5,0)</f>
        <v>116.71296000000001</v>
      </c>
      <c r="BF27" s="13">
        <f t="shared" si="37"/>
        <v>30.90711634982064</v>
      </c>
      <c r="BG27" s="20">
        <f t="shared" si="7"/>
        <v>257.10496630927094</v>
      </c>
      <c r="BH27" s="59">
        <f t="shared" si="8"/>
        <v>543.10496630927094</v>
      </c>
      <c r="BI27" s="59">
        <f ca="1">AVERAGE(OFFSET($BH$3,0,0,'Données projet'!$E$11+1,1))-AVERAGE(OFFSET($H$3,0,0,'Données projet'!$E$11+1,1))</f>
        <v>395.21779046720553</v>
      </c>
      <c r="BJ27" s="59">
        <f t="shared" si="38"/>
        <v>360.05900046417361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1.1125582567427761</v>
      </c>
      <c r="BQ27" s="21">
        <f>EXP(-LN(2)/25)*BQ26+(1-EXP(-LN(2)/25))/(LN(2)/25)*Calculateur!BL27*Calculateur!BN27*VLOOKUP('Données projet'!$B$11,Paramètres!$A$1:$I$89,3,0)*0.475*44/12</f>
        <v>3.1140911118785666</v>
      </c>
      <c r="BR27" s="21">
        <f>EXP(-LN(2)/2)*BR26+(1-EXP(-LN(2)/2))/(LN(2)/2)*BL27*BO27*VLOOKUP('Données projet'!$B$11,Paramètres!$A$1:$I$89,3,0)*0.475*44/12</f>
        <v>2.9367845614889085</v>
      </c>
      <c r="BS27" s="22">
        <f t="shared" si="9"/>
        <v>7.1634339301102514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7.2</v>
      </c>
      <c r="BY27" s="12">
        <f>IF('Données projet'!$A$114&gt;35,BY26+BX27-CG26,IF(A27&lt;'Données projet'!$A$114,$BV$205^A27,IF(A27='Données projet'!$A$114,'Données projet'!$B$114,BY26+BX27-CG26)))</f>
        <v>95.800000000000011</v>
      </c>
      <c r="BZ27" s="13">
        <f>BY27*VLOOKUP('Données projet'!$B$12,Paramètres!$A$1:$I$89,3,0)*VLOOKUP('Données projet'!$B$12,Paramètres!$A$1:$I$89,5,0)</f>
        <v>97.141200000000026</v>
      </c>
      <c r="CA27" s="13">
        <f t="shared" si="39"/>
        <v>26.279782450761708</v>
      </c>
      <c r="CB27" s="20">
        <f t="shared" si="10"/>
        <v>214.95821110174333</v>
      </c>
      <c r="CC27" s="59">
        <f t="shared" si="11"/>
        <v>500.95821110174336</v>
      </c>
      <c r="CD27" s="59">
        <f ca="1">AVERAGE(OFFSET($CC$3,0,0,'Données projet'!$E$12+1,1))-AVERAGE(OFFSET($H$3,0,0,'Données projet'!$E$12+1,1))</f>
        <v>449.84356201138451</v>
      </c>
      <c r="CE27" s="59">
        <f t="shared" si="40"/>
        <v>306.61893266146666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0.5343567981892644</v>
      </c>
      <c r="CL27" s="21">
        <f>EXP(-LN(2)/25)*CL26+(1-EXP(-LN(2)/25))/(LN(2)/25)*Calculateur!CG27*Calculateur!CI27*VLOOKUP('Données projet'!$B$12,Paramètres!$A$1:$I$89,3,0)*0.475*44/12</f>
        <v>0.51565188486133851</v>
      </c>
      <c r="CM27" s="21">
        <f>EXP(-LN(2)/2)*CM26+(1-EXP(-LN(2)/2))/(LN(2)/2)*CG27*CJ27*VLOOKUP('Données projet'!$B$12,Paramètres!$A$1:$I$89,3,0)*0.475*44/12</f>
        <v>0.8610626622688774</v>
      </c>
      <c r="CN27" s="22">
        <f t="shared" si="12"/>
        <v>1.9110713453194803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</v>
      </c>
      <c r="CT27" s="12">
        <f>IF('Données projet'!$A$140&gt;35,CT26+CS27-DB26,IF(A27&lt;'Données projet'!$A$140,$CQ$205^A27,IF(A27='Données projet'!$A$140,'Données projet'!$B$140,CT26+CS27-DB26)))</f>
        <v>95.800000000000011</v>
      </c>
      <c r="CU27" s="17">
        <f>CT27*VLOOKUP('Données projet'!$B$13,Paramètres!$A$1:$I$89,3,0)*VLOOKUP('Données projet'!$B$13,Paramètres!$A$1:$I$89,5,0)</f>
        <v>103.11912000000001</v>
      </c>
      <c r="CV27" s="13">
        <f t="shared" si="41"/>
        <v>27.703751333753903</v>
      </c>
      <c r="CW27" s="20">
        <f t="shared" si="13"/>
        <v>227.84983423962137</v>
      </c>
      <c r="CX27" s="59">
        <f t="shared" si="14"/>
        <v>513.84983423962137</v>
      </c>
      <c r="CY27" s="59">
        <f ca="1">AVERAGE(OFFSET($CX$3,0,0,'Données projet'!$E$13+1,1))-AVERAGE(OFFSET($H$3,0,0,'Données projet'!$E$13+1,1))</f>
        <v>475.01366239340246</v>
      </c>
      <c r="CZ27" s="59">
        <f t="shared" si="42"/>
        <v>322.81767004794284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0.56724029346244986</v>
      </c>
      <c r="DG27" s="21">
        <f>EXP(-LN(2)/25)*DG26+(1-EXP(-LN(2)/25))/(LN(2)/25)*Calculateur!DB27*Calculateur!DD27*VLOOKUP('Données projet'!$B$13,Paramètres!$A$1:$I$89,3,0)*0.475*44/12</f>
        <v>0.54738430854511289</v>
      </c>
      <c r="DH27" s="21">
        <f>EXP(-LN(2)/2)*DH26+(1-EXP(-LN(2)/2))/(LN(2)/2)*DB27*DE27*VLOOKUP('Données projet'!$B$13,Paramètres!$A$1:$I$89,3,0)*0.475*44/12</f>
        <v>0.91405113379311609</v>
      </c>
      <c r="DI27" s="22">
        <f t="shared" si="15"/>
        <v>2.0286757358006788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</v>
      </c>
      <c r="DO27" s="12">
        <f>IF('Données projet'!$A$166&gt;35,DO26+DN27-DW26,IF(A27&lt;'Données projet'!$A$166,$DL$205^A27,IF(A27='Données projet'!$A$166,'Données projet'!$B$166,DO26+DN27-DW26)))</f>
        <v>246.00000000000003</v>
      </c>
      <c r="DP27" s="17">
        <f>DO27*VLOOKUP('Données projet'!$B$14,Paramètres!$A$1:$I$89,3,0)*VLOOKUP('Données projet'!$B$14,Paramètres!$A$1:$I$89,5,0)</f>
        <v>222.58080000000001</v>
      </c>
      <c r="DQ27" s="13">
        <f t="shared" si="43"/>
        <v>54.675428546153249</v>
      </c>
      <c r="DR27" s="20">
        <f t="shared" si="16"/>
        <v>482.8879313845502</v>
      </c>
      <c r="DS27" s="59">
        <f t="shared" si="17"/>
        <v>768.88793138455026</v>
      </c>
      <c r="DT27" s="59">
        <f ca="1">AVERAGE(OFFSET($DS$3,0,0,'Données projet'!$E$14+1,1))-AVERAGE(OFFSET($H$3,0,0,'Données projet'!$E$14+1,1))</f>
        <v>436.23918637269577</v>
      </c>
      <c r="DU27" s="59">
        <f t="shared" si="44"/>
        <v>611.43967996341894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0.63759567869810241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2.5599381937383563</v>
      </c>
      <c r="ED27" s="22">
        <f t="shared" si="18"/>
        <v>3.1975338724364586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99.621600000000015</v>
      </c>
      <c r="P28" s="13">
        <f t="shared" si="33"/>
        <v>26.871829085032747</v>
      </c>
      <c r="Q28" s="20">
        <f t="shared" si="2"/>
        <v>220.30938898976538</v>
      </c>
      <c r="R28" s="59">
        <f t="shared" si="0"/>
        <v>507.53161121198764</v>
      </c>
      <c r="S28" s="59">
        <f ca="1">AVERAGE(OFFSET($R$3,0,0,'Données projet'!$E$9+1,1))-AVERAGE(OFFSET($H$3,0,0,'Données projet'!$E$9+1,1))</f>
        <v>430.94515308997018</v>
      </c>
      <c r="T28" s="59">
        <f t="shared" si="34"/>
        <v>294.45557293177131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0.129</v>
      </c>
      <c r="X28" s="16">
        <f>IF(ISNA(VLOOKUP(A28,'Données projet'!$A$35:$I$55,6,0)),0%,VLOOKUP(A28,'Données projet'!$A$35:$I$55,6,0)*VLOOKUP('Données projet'!$B$9,Paramètres!$A$1:$I$89,7,0))</f>
        <v>0.17200000000000001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4.3616893401277466</v>
      </c>
      <c r="AA28" s="21">
        <f>EXP(-LN(2)/25)*AA27+(1-EXP(-LN(2)/25))/(LN(2)/25)*Calculateur!V28*Calculateur!X28*VLOOKUP('Données projet'!$B$9,Paramètres!$A$1:$I$89,3,0)*0.475*44/12</f>
        <v>5.6074479385574794</v>
      </c>
      <c r="AB28" s="21">
        <f>EXP(-LN(2)/2)*AB27+(1-EXP(-LN(2)/2))/(LN(2)/2)*V28*Y28*VLOOKUP('Données projet'!$B$9,Paramètres!$A$1:$I$89,3,0)*0.475*44/12</f>
        <v>8.2464274140354252</v>
      </c>
      <c r="AC28" s="22">
        <f t="shared" si="3"/>
        <v>18.215564692720651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164.49999999999994</v>
      </c>
      <c r="AJ28" s="13">
        <f>AI28*VLOOKUP('Données projet'!$B$10,Paramètres!$A$1:$I$89,3,0)*VLOOKUP('Données projet'!$B$10,Paramètres!$A$1:$I$89,5,0)</f>
        <v>76.985999999999976</v>
      </c>
      <c r="AK28" s="13">
        <f t="shared" si="35"/>
        <v>21.398606468170591</v>
      </c>
      <c r="AL28" s="20">
        <f t="shared" si="4"/>
        <v>171.35318959873041</v>
      </c>
      <c r="AM28" s="59">
        <f t="shared" si="5"/>
        <v>458.57541182095264</v>
      </c>
      <c r="AN28" s="59">
        <f ca="1">AVERAGE(OFFSET($AM$3,0,0,'Données projet'!$E$10+1,1))-AVERAGE(OFFSET($H$3,0,0,'Données projet'!$E$10+1,1))</f>
        <v>319.22903094674564</v>
      </c>
      <c r="AO28" s="59">
        <f t="shared" si="36"/>
        <v>254.58690973142848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2.4432038563451388</v>
      </c>
      <c r="AV28" s="21">
        <f>EXP(-LN(2)/25)*AV27+(1-EXP(-LN(2)/25))/(LN(2)/25)*Calculateur!AQ28*Calculateur!AS28*VLOOKUP('Données projet'!$B$10,Paramètres!$A$1:$I$89,3,0)*0.475*44/12</f>
        <v>2.3390776164151745</v>
      </c>
      <c r="AW28" s="21">
        <f>EXP(-LN(2)/2)*AW27+(1-EXP(-LN(2)/2))/(LN(2)/2)*AQ28*AT28*VLOOKUP('Données projet'!$B$10,Paramètres!$A$1:$I$89,3,0)*0.475*44/12</f>
        <v>2.2200090717153387</v>
      </c>
      <c r="AX28" s="21">
        <f t="shared" si="6"/>
        <v>7.0022905444756525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145</v>
      </c>
      <c r="BB28" s="12">
        <f>VLOOKUP(A28,'Données projet'!$A$87:$I$107,9,0)</f>
        <v>11.4</v>
      </c>
      <c r="BC28" s="12">
        <f t="array" ref="BC28">INDEX(BB:BB,MIN(IF(ISNUMBER(BB28:BB224),ROW(BB28:BB224),"")))</f>
        <v>11.4</v>
      </c>
      <c r="BD28" s="12">
        <f>IF('Données projet'!$A$88&gt;35,BD27+BC28-BL27,IF(A28&lt;'Données projet'!$A$88,$BA$205^A28,IF(A28='Données projet'!$A$88,'Données projet'!$B$88,BD27+BC28-BL27)))</f>
        <v>145</v>
      </c>
      <c r="BE28" s="13">
        <f>BD28*VLOOKUP('Données projet'!$B$11,Paramètres!$A$1:$I$89,3,0)*VLOOKUP('Données projet'!$B$11,Paramètres!$A$1:$I$89,5,0)</f>
        <v>126.67200000000001</v>
      </c>
      <c r="BF28" s="13">
        <f t="shared" si="37"/>
        <v>33.226199426361347</v>
      </c>
      <c r="BG28" s="20">
        <f t="shared" si="7"/>
        <v>278.48936400091276</v>
      </c>
      <c r="BH28" s="59">
        <f t="shared" si="8"/>
        <v>565.71158622313499</v>
      </c>
      <c r="BI28" s="59">
        <f ca="1">AVERAGE(OFFSET($BH$3,0,0,'Données projet'!$E$11+1,1))-AVERAGE(OFFSET($H$3,0,0,'Données projet'!$E$11+1,1))</f>
        <v>395.21779046720553</v>
      </c>
      <c r="BJ28" s="59">
        <f t="shared" si="38"/>
        <v>360.05900046417361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31</v>
      </c>
      <c r="BM28" s="16">
        <f>IF(ISNA(VLOOKUP(A28,'Données projet'!$A$87:$I$107,5,0)),0%,VLOOKUP(A28,'Données projet'!$A$87:$I$107,5,0)*VLOOKUP('Données projet'!$B$11,Paramètres!$A$1:$I$89,7,0))</f>
        <v>4.3000000000000003E-2</v>
      </c>
      <c r="BN28" s="16">
        <f>IF(ISNA(VLOOKUP(A28,'Données projet'!$A$87:$I$107,6,0)),0%,VLOOKUP(A28,'Données projet'!$A$87:$I$107,6,0)*VLOOKUP('Données projet'!$B$11,Paramètres!$A$1:$I$89,7,0))</f>
        <v>0.129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2.378071653027042</v>
      </c>
      <c r="BQ28" s="21">
        <f>EXP(-LN(2)/25)*BQ27+(1-EXP(-LN(2)/25))/(LN(2)/25)*Calculateur!BL28*Calculateur!BN28*VLOOKUP('Données projet'!$B$11,Paramètres!$A$1:$I$89,3,0)*0.475*44/12</f>
        <v>6.8757199559900748</v>
      </c>
      <c r="BR28" s="21">
        <f>EXP(-LN(2)/2)*BR27+(1-EXP(-LN(2)/2))/(LN(2)/2)*BL28*BO28*VLOOKUP('Données projet'!$B$11,Paramètres!$A$1:$I$89,3,0)*0.475*44/12</f>
        <v>9.7422858254859541</v>
      </c>
      <c r="BS28" s="22">
        <f t="shared" si="9"/>
        <v>18.996077434503071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103</v>
      </c>
      <c r="BW28" s="12">
        <f>VLOOKUP(A28,'Données projet'!$A$113:$I$133,9,0)</f>
        <v>7.2</v>
      </c>
      <c r="BX28" s="12">
        <f t="array" ref="BX28">INDEX(BW:BW,MIN(IF(ISNUMBER(BW28:BW224),ROW(BW28:BW224),"")))</f>
        <v>7.2</v>
      </c>
      <c r="BY28" s="12">
        <f>IF('Données projet'!$A$114&gt;35,BY27+BX28-CG27,IF(A28&lt;'Données projet'!$A$114,$BV$205^A28,IF(A28='Données projet'!$A$114,'Données projet'!$B$114,BY27+BX28-CG27)))</f>
        <v>103.00000000000001</v>
      </c>
      <c r="BZ28" s="13">
        <f>BY28*VLOOKUP('Données projet'!$B$12,Paramètres!$A$1:$I$89,3,0)*VLOOKUP('Données projet'!$B$12,Paramètres!$A$1:$I$89,5,0)</f>
        <v>104.44200000000004</v>
      </c>
      <c r="CA28" s="13">
        <f t="shared" si="39"/>
        <v>28.01755116176631</v>
      </c>
      <c r="CB28" s="20">
        <f t="shared" si="10"/>
        <v>230.70038494007636</v>
      </c>
      <c r="CC28" s="59">
        <f t="shared" si="11"/>
        <v>517.92260716229862</v>
      </c>
      <c r="CD28" s="59">
        <f ca="1">AVERAGE(OFFSET($CC$3,0,0,'Données projet'!$E$12+1,1))-AVERAGE(OFFSET($H$3,0,0,'Données projet'!$E$12+1,1))</f>
        <v>449.84356201138451</v>
      </c>
      <c r="CE28" s="59">
        <f t="shared" si="40"/>
        <v>306.61893266146666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0.129</v>
      </c>
      <c r="CI28" s="16">
        <f>IF(ISNA(VLOOKUP(A28,'Données projet'!$A$113:$I$133,6,0)),0%,VLOOKUP(A28,'Données projet'!$A$113:$I$133,6,0)*VLOOKUP('Données projet'!$B$12,Paramètres!$A$1:$I$89,7,0))</f>
        <v>0.17200000000000001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4.5727388243274758</v>
      </c>
      <c r="CL28" s="21">
        <f>EXP(-LN(2)/25)*CL27+(1-EXP(-LN(2)/25))/(LN(2)/25)*Calculateur!CG28*Calculateur!CI28*VLOOKUP('Données projet'!$B$12,Paramètres!$A$1:$I$89,3,0)*0.475*44/12</f>
        <v>5.8787760646167122</v>
      </c>
      <c r="CM28" s="21">
        <f>EXP(-LN(2)/2)*CM27+(1-EXP(-LN(2)/2))/(LN(2)/2)*CG28*CJ28*VLOOKUP('Données projet'!$B$12,Paramètres!$A$1:$I$89,3,0)*0.475*44/12</f>
        <v>8.6454480953597201</v>
      </c>
      <c r="CN28" s="22">
        <f t="shared" si="12"/>
        <v>19.096962984303907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103</v>
      </c>
      <c r="CR28" s="12">
        <f>VLOOKUP(A28,'Données projet'!$A$139:$I$159,9,0)</f>
        <v>7.2</v>
      </c>
      <c r="CS28" s="12">
        <f t="array" ref="CS28">INDEX(CR:CR,MIN(IF(ISNUMBER(CR28:CR224),ROW(CR28:CR224),"")))</f>
        <v>7.2</v>
      </c>
      <c r="CT28" s="12">
        <f>IF('Données projet'!$A$140&gt;35,CT27+CS28-DB27,IF(A28&lt;'Données projet'!$A$140,$CQ$205^A28,IF(A28='Données projet'!$A$140,'Données projet'!$B$140,CT27+CS28-DB27)))</f>
        <v>103.00000000000001</v>
      </c>
      <c r="CU28" s="17">
        <f>CT28*VLOOKUP('Données projet'!$B$13,Paramètres!$A$1:$I$89,3,0)*VLOOKUP('Données projet'!$B$13,Paramètres!$A$1:$I$89,5,0)</f>
        <v>110.86920000000002</v>
      </c>
      <c r="CV28" s="13">
        <f t="shared" si="41"/>
        <v>29.535680967701619</v>
      </c>
      <c r="CW28" s="20">
        <f t="shared" si="13"/>
        <v>244.53850101874704</v>
      </c>
      <c r="CX28" s="59">
        <f t="shared" si="14"/>
        <v>531.76072324096924</v>
      </c>
      <c r="CY28" s="59">
        <f ca="1">AVERAGE(OFFSET($CX$3,0,0,'Données projet'!$E$13+1,1))-AVERAGE(OFFSET($H$3,0,0,'Données projet'!$E$13+1,1))</f>
        <v>475.01366239340246</v>
      </c>
      <c r="CZ28" s="59">
        <f t="shared" si="42"/>
        <v>322.81767004794284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0.129</v>
      </c>
      <c r="DD28" s="16">
        <f>IF(ISNA(VLOOKUP(A28,'Données projet'!$A$139:$I$159,6,0)),0%,VLOOKUP(A28,'Données projet'!$A$139:$I$159,6,0)*VLOOKUP('Données projet'!$B$13,Paramètres!$A$1:$I$89,7,0))</f>
        <v>0.17200000000000001</v>
      </c>
      <c r="DE28" s="16">
        <f>IF(ISNA(VLOOKUP(A28,'Données projet'!$A$139:$I$159,7,0)),0%,VLOOKUP(A28,'Données projet'!$A$139:$I$159,7,0))</f>
        <v>0.3</v>
      </c>
      <c r="DF28" s="21">
        <f>EXP(-LN(2)/35)*DF27+(1-EXP(-LN(2)/35))/(LN(2)/35)*DB28*DC28*VLOOKUP('Données projet'!$B$13,Paramètres!$A$1:$I$89,3,0)*0.475*44/12</f>
        <v>4.8541381365937806</v>
      </c>
      <c r="DG28" s="21">
        <f>EXP(-LN(2)/25)*DG27+(1-EXP(-LN(2)/25))/(LN(2)/25)*Calculateur!DB28*Calculateur!DD28*VLOOKUP('Données projet'!$B$13,Paramètres!$A$1:$I$89,3,0)*0.475*44/12</f>
        <v>6.2405468993623554</v>
      </c>
      <c r="DH28" s="21">
        <f>EXP(-LN(2)/2)*DH27+(1-EXP(-LN(2)/2))/(LN(2)/2)*DB28*DE28*VLOOKUP('Données projet'!$B$13,Paramètres!$A$1:$I$89,3,0)*0.475*44/12</f>
        <v>9.1774756704587794</v>
      </c>
      <c r="DI28" s="22">
        <f t="shared" si="15"/>
        <v>20.272160706414915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259</v>
      </c>
      <c r="DM28" s="12">
        <f>VLOOKUP(A28,'Données projet'!$A$165:$I$185,9,0)</f>
        <v>13</v>
      </c>
      <c r="DN28" s="12">
        <f t="array" ref="DN28">INDEX(DM:DM,MIN(IF(ISNUMBER(DM28:DM224),ROW(DM28:DM224),"")))</f>
        <v>13</v>
      </c>
      <c r="DO28" s="12">
        <f>IF('Données projet'!$A$166&gt;35,DO27+DN28-DW27,IF(A28&lt;'Données projet'!$A$166,$DL$205^A28,IF(A28='Données projet'!$A$166,'Données projet'!$B$166,DO27+DN28-DW27)))</f>
        <v>259</v>
      </c>
      <c r="DP28" s="17">
        <f>DO28*VLOOKUP('Données projet'!$B$14,Paramètres!$A$1:$I$89,3,0)*VLOOKUP('Données projet'!$B$14,Paramètres!$A$1:$I$89,5,0)</f>
        <v>234.3432</v>
      </c>
      <c r="DQ28" s="13">
        <f t="shared" si="43"/>
        <v>57.220758006491664</v>
      </c>
      <c r="DR28" s="20">
        <f t="shared" si="16"/>
        <v>507.80722686130622</v>
      </c>
      <c r="DS28" s="59">
        <f t="shared" si="17"/>
        <v>795.02944908352845</v>
      </c>
      <c r="DT28" s="59">
        <f ca="1">AVERAGE(OFFSET($DS$3,0,0,'Données projet'!$E$14+1,1))-AVERAGE(OFFSET($H$3,0,0,'Données projet'!$E$14+1,1))</f>
        <v>436.23918637269577</v>
      </c>
      <c r="DU28" s="59">
        <f t="shared" si="44"/>
        <v>611.43967996341894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18</v>
      </c>
      <c r="DX28" s="16">
        <f>IF(ISNA(VLOOKUP(A28,'Données projet'!$A$165:$I$185,5,0)),0%,VLOOKUP(A28,'Données projet'!$A$165:$I$185,5,0)*VLOOKUP('Données projet'!$B$14,Paramètres!$A$1:$I$89,7,0))</f>
        <v>0.09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2.2454647673640857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6.4201466788195916</v>
      </c>
      <c r="ED28" s="22">
        <f t="shared" si="18"/>
        <v>8.6656114461836768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81.438240000000022</v>
      </c>
      <c r="P29" s="13">
        <f t="shared" si="33"/>
        <v>22.488475778344696</v>
      </c>
      <c r="Q29" s="20">
        <f t="shared" si="2"/>
        <v>181.00569664728371</v>
      </c>
      <c r="R29" s="59">
        <f t="shared" si="0"/>
        <v>469.45014109172814</v>
      </c>
      <c r="S29" s="59">
        <f ca="1">AVERAGE(OFFSET($R$3,0,0,'Données projet'!$E$9+1,1))-AVERAGE(OFFSET($H$3,0,0,'Données projet'!$E$9+1,1))</f>
        <v>430.94515308997018</v>
      </c>
      <c r="T29" s="59">
        <f t="shared" si="34"/>
        <v>294.45557293177131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4.2761592725356499</v>
      </c>
      <c r="AA29" s="21">
        <f>EXP(-LN(2)/25)*AA28+(1-EXP(-LN(2)/25))/(LN(2)/25)*Calculateur!V29*Calculateur!X29*VLOOKUP('Données projet'!$B$9,Paramètres!$A$1:$I$89,3,0)*0.475*44/12</f>
        <v>5.4541119797947539</v>
      </c>
      <c r="AB29" s="21">
        <f>EXP(-LN(2)/2)*AB28+(1-EXP(-LN(2)/2))/(LN(2)/2)*V29*Y29*VLOOKUP('Données projet'!$B$9,Paramètres!$A$1:$I$89,3,0)*0.475*44/12</f>
        <v>5.831104745027095</v>
      </c>
      <c r="AC29" s="22">
        <f t="shared" si="3"/>
        <v>15.561375997357498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173.69999999999993</v>
      </c>
      <c r="AJ29" s="13">
        <f>AI29*VLOOKUP('Données projet'!$B$10,Paramètres!$A$1:$I$89,3,0)*VLOOKUP('Données projet'!$B$10,Paramètres!$A$1:$I$89,5,0)</f>
        <v>81.291599999999974</v>
      </c>
      <c r="AK29" s="13">
        <f t="shared" si="35"/>
        <v>22.452692070336486</v>
      </c>
      <c r="AL29" s="20">
        <f t="shared" si="4"/>
        <v>180.68797535583599</v>
      </c>
      <c r="AM29" s="59">
        <f t="shared" si="5"/>
        <v>469.13241980028045</v>
      </c>
      <c r="AN29" s="59">
        <f ca="1">AVERAGE(OFFSET($AM$3,0,0,'Données projet'!$E$10+1,1))-AVERAGE(OFFSET($H$3,0,0,'Données projet'!$E$10+1,1))</f>
        <v>319.22903094674564</v>
      </c>
      <c r="AO29" s="59">
        <f t="shared" si="36"/>
        <v>254.58690973142848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2.3952941189294172</v>
      </c>
      <c r="AV29" s="21">
        <f>EXP(-LN(2)/25)*AV28+(1-EXP(-LN(2)/25))/(LN(2)/25)*Calculateur!AQ29*Calculateur!AS29*VLOOKUP('Données projet'!$B$10,Paramètres!$A$1:$I$89,3,0)*0.475*44/12</f>
        <v>2.275115415987556</v>
      </c>
      <c r="AW29" s="21">
        <f>EXP(-LN(2)/2)*AW28+(1-EXP(-LN(2)/2))/(LN(2)/2)*AQ29*AT29*VLOOKUP('Données projet'!$B$10,Paramètres!$A$1:$I$89,3,0)*0.475*44/12</f>
        <v>1.5697834689055685</v>
      </c>
      <c r="AX29" s="21">
        <f t="shared" si="6"/>
        <v>6.2401930038225419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</v>
      </c>
      <c r="BD29" s="12">
        <f>IF('Données projet'!$A$88&gt;35,BD28+BC29-BL28,IF(A29&lt;'Données projet'!$A$88,$BA$205^A29,IF(A29='Données projet'!$A$88,'Données projet'!$B$88,BD28+BC29-BL28)))</f>
        <v>125</v>
      </c>
      <c r="BE29" s="13">
        <f>BD29*VLOOKUP('Données projet'!$B$11,Paramètres!$A$1:$I$89,3,0)*VLOOKUP('Données projet'!$B$11,Paramètres!$A$1:$I$89,5,0)</f>
        <v>109.2</v>
      </c>
      <c r="BF29" s="13">
        <f t="shared" si="37"/>
        <v>29.142418334948612</v>
      </c>
      <c r="BG29" s="20">
        <f t="shared" si="7"/>
        <v>240.94637860003544</v>
      </c>
      <c r="BH29" s="59">
        <f t="shared" si="8"/>
        <v>529.39082304447993</v>
      </c>
      <c r="BI29" s="59">
        <f ca="1">AVERAGE(OFFSET($BH$3,0,0,'Données projet'!$E$11+1,1))-AVERAGE(OFFSET($H$3,0,0,'Données projet'!$E$11+1,1))</f>
        <v>395.21779046720553</v>
      </c>
      <c r="BJ29" s="59">
        <f t="shared" si="38"/>
        <v>360.05900046417361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2.3314391183916672</v>
      </c>
      <c r="BQ29" s="21">
        <f>EXP(-LN(2)/25)*BQ28+(1-EXP(-LN(2)/25))/(LN(2)/25)*Calculateur!BL29*Calculateur!BN29*VLOOKUP('Données projet'!$B$11,Paramètres!$A$1:$I$89,3,0)*0.475*44/12</f>
        <v>6.6877030322151283</v>
      </c>
      <c r="BR29" s="21">
        <f>EXP(-LN(2)/2)*BR28+(1-EXP(-LN(2)/2))/(LN(2)/2)*BL29*BO29*VLOOKUP('Données projet'!$B$11,Paramètres!$A$1:$I$89,3,0)*0.475*44/12</f>
        <v>6.8888363714587006</v>
      </c>
      <c r="BS29" s="22">
        <f t="shared" si="9"/>
        <v>15.907978522065495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84.200000000000017</v>
      </c>
      <c r="BZ29" s="13">
        <f>BY29*VLOOKUP('Données projet'!$B$12,Paramètres!$A$1:$I$89,3,0)*VLOOKUP('Données projet'!$B$12,Paramètres!$A$1:$I$89,5,0)</f>
        <v>85.378800000000027</v>
      </c>
      <c r="CA29" s="13">
        <f t="shared" si="39"/>
        <v>23.447306793896516</v>
      </c>
      <c r="CB29" s="20">
        <f t="shared" si="10"/>
        <v>189.53880266603645</v>
      </c>
      <c r="CC29" s="59">
        <f t="shared" si="11"/>
        <v>477.98324711048087</v>
      </c>
      <c r="CD29" s="59">
        <f ca="1">AVERAGE(OFFSET($CC$3,0,0,'Données projet'!$E$12+1,1))-AVERAGE(OFFSET($H$3,0,0,'Données projet'!$E$12+1,1))</f>
        <v>449.84356201138451</v>
      </c>
      <c r="CE29" s="59">
        <f t="shared" si="40"/>
        <v>306.61893266146666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4.4830702050776967</v>
      </c>
      <c r="CL29" s="21">
        <f>EXP(-LN(2)/25)*CL28+(1-EXP(-LN(2)/25))/(LN(2)/25)*Calculateur!CG29*Calculateur!CI29*VLOOKUP('Données projet'!$B$12,Paramètres!$A$1:$I$89,3,0)*0.475*44/12</f>
        <v>5.7180206239783713</v>
      </c>
      <c r="CM29" s="21">
        <f>EXP(-LN(2)/2)*CM28+(1-EXP(-LN(2)/2))/(LN(2)/2)*CG29*CJ29*VLOOKUP('Données projet'!$B$12,Paramètres!$A$1:$I$89,3,0)*0.475*44/12</f>
        <v>6.1132549746251801</v>
      </c>
      <c r="CN29" s="22">
        <f t="shared" si="12"/>
        <v>16.314345803681249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84.200000000000017</v>
      </c>
      <c r="CU29" s="17">
        <f>CT29*VLOOKUP('Données projet'!$B$13,Paramètres!$A$1:$I$89,3,0)*VLOOKUP('Données projet'!$B$13,Paramètres!$A$1:$I$89,5,0)</f>
        <v>90.632880000000014</v>
      </c>
      <c r="CV29" s="13">
        <f t="shared" si="41"/>
        <v>24.717798105117861</v>
      </c>
      <c r="CW29" s="20">
        <f t="shared" si="13"/>
        <v>200.90243103308026</v>
      </c>
      <c r="CX29" s="59">
        <f t="shared" si="14"/>
        <v>489.34687547752469</v>
      </c>
      <c r="CY29" s="59">
        <f ca="1">AVERAGE(OFFSET($CX$3,0,0,'Données projet'!$E$13+1,1))-AVERAGE(OFFSET($H$3,0,0,'Données projet'!$E$13+1,1))</f>
        <v>475.01366239340246</v>
      </c>
      <c r="CZ29" s="59">
        <f t="shared" si="42"/>
        <v>322.81767004794284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4.7589514484670916</v>
      </c>
      <c r="DG29" s="21">
        <f>EXP(-LN(2)/25)*DG28+(1-EXP(-LN(2)/25))/(LN(2)/25)*Calculateur!DB29*Calculateur!DD29*VLOOKUP('Données projet'!$B$13,Paramètres!$A$1:$I$89,3,0)*0.475*44/12</f>
        <v>6.0698988162231933</v>
      </c>
      <c r="DH29" s="21">
        <f>EXP(-LN(2)/2)*DH28+(1-EXP(-LN(2)/2))/(LN(2)/2)*DB29*DE29*VLOOKUP('Données projet'!$B$13,Paramètres!$A$1:$I$89,3,0)*0.475*44/12</f>
        <v>6.4894552807559602</v>
      </c>
      <c r="DI29" s="22">
        <f t="shared" si="15"/>
        <v>17.318305545446243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10.6</v>
      </c>
      <c r="DO29" s="12">
        <f>IF('Données projet'!$A$166&gt;35,DO28+DN29-DW28,IF(A29&lt;'Données projet'!$A$166,$DL$205^A29,IF(A29='Données projet'!$A$166,'Données projet'!$B$166,DO28+DN29-DW28)))</f>
        <v>251.60000000000002</v>
      </c>
      <c r="DP29" s="17">
        <f>DO29*VLOOKUP('Données projet'!$B$14,Paramètres!$A$1:$I$89,3,0)*VLOOKUP('Données projet'!$B$14,Paramètres!$A$1:$I$89,5,0)</f>
        <v>227.64768000000001</v>
      </c>
      <c r="DQ29" s="13">
        <f t="shared" si="43"/>
        <v>55.773751036838362</v>
      </c>
      <c r="DR29" s="20">
        <f t="shared" si="16"/>
        <v>493.62565905582687</v>
      </c>
      <c r="DS29" s="59">
        <f t="shared" si="17"/>
        <v>782.07010350027133</v>
      </c>
      <c r="DT29" s="59">
        <f ca="1">AVERAGE(OFFSET($DS$3,0,0,'Données projet'!$E$14+1,1))-AVERAGE(OFFSET($H$3,0,0,'Données projet'!$E$14+1,1))</f>
        <v>436.23918637269577</v>
      </c>
      <c r="DU29" s="59">
        <f t="shared" si="44"/>
        <v>611.43967996341894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2.2014325728743476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4.5397292528056248</v>
      </c>
      <c r="ED29" s="22">
        <f t="shared" si="18"/>
        <v>6.7411618256799724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90.336480000000023</v>
      </c>
      <c r="P30" s="13">
        <f t="shared" si="33"/>
        <v>24.646358234355564</v>
      </c>
      <c r="Q30" s="20">
        <f t="shared" si="2"/>
        <v>200.26177659150264</v>
      </c>
      <c r="R30" s="59">
        <f t="shared" si="0"/>
        <v>489.9284432581693</v>
      </c>
      <c r="S30" s="59">
        <f ca="1">AVERAGE(OFFSET($R$3,0,0,'Données projet'!$E$9+1,1))-AVERAGE(OFFSET($H$3,0,0,'Données projet'!$E$9+1,1))</f>
        <v>430.94515308997018</v>
      </c>
      <c r="T30" s="59">
        <f t="shared" si="34"/>
        <v>294.45557293177131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4.1923063974008441</v>
      </c>
      <c r="AA30" s="21">
        <f>EXP(-LN(2)/25)*AA29+(1-EXP(-LN(2)/25))/(LN(2)/25)*Calculateur!V30*Calculateur!X30*VLOOKUP('Données projet'!$B$9,Paramètres!$A$1:$I$89,3,0)*0.475*44/12</f>
        <v>5.3049690008879828</v>
      </c>
      <c r="AB30" s="21">
        <f>EXP(-LN(2)/2)*AB29+(1-EXP(-LN(2)/2))/(LN(2)/2)*V30*Y30*VLOOKUP('Données projet'!$B$9,Paramètres!$A$1:$I$89,3,0)*0.475*44/12</f>
        <v>4.1232137070177135</v>
      </c>
      <c r="AC30" s="22">
        <f t="shared" si="3"/>
        <v>13.620489105306541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182.89999999999992</v>
      </c>
      <c r="AJ30" s="13">
        <f>AI30*VLOOKUP('Données projet'!$B$10,Paramètres!$A$1:$I$89,3,0)*VLOOKUP('Données projet'!$B$10,Paramètres!$A$1:$I$89,5,0)</f>
        <v>85.597199999999958</v>
      </c>
      <c r="AK30" s="13">
        <f t="shared" si="35"/>
        <v>23.500295908287228</v>
      </c>
      <c r="AL30" s="20">
        <f t="shared" si="4"/>
        <v>190.01147204026685</v>
      </c>
      <c r="AM30" s="59">
        <f t="shared" si="5"/>
        <v>479.67813870693351</v>
      </c>
      <c r="AN30" s="59">
        <f ca="1">AVERAGE(OFFSET($AM$3,0,0,'Données projet'!$E$10+1,1))-AVERAGE(OFFSET($H$3,0,0,'Données projet'!$E$10+1,1))</f>
        <v>319.22903094674564</v>
      </c>
      <c r="AO30" s="59">
        <f t="shared" si="36"/>
        <v>254.58690973142848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2.3483238622423634</v>
      </c>
      <c r="AV30" s="21">
        <f>EXP(-LN(2)/25)*AV29+(1-EXP(-LN(2)/25))/(LN(2)/25)*Calculateur!AQ30*Calculateur!AS30*VLOOKUP('Données projet'!$B$10,Paramètres!$A$1:$I$89,3,0)*0.475*44/12</f>
        <v>2.2129022652942565</v>
      </c>
      <c r="AW30" s="21">
        <f>EXP(-LN(2)/2)*AW29+(1-EXP(-LN(2)/2))/(LN(2)/2)*AQ30*AT30*VLOOKUP('Données projet'!$B$10,Paramètres!$A$1:$I$89,3,0)*0.475*44/12</f>
        <v>1.1100045358576693</v>
      </c>
      <c r="AX30" s="21">
        <f t="shared" si="6"/>
        <v>5.6712306633942893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</v>
      </c>
      <c r="BD30" s="12">
        <f>IF('Données projet'!$A$88&gt;35,BD29+BC30-BL29,IF(A30&lt;'Données projet'!$A$88,$BA$205^A30,IF(A30='Données projet'!$A$88,'Données projet'!$B$88,BD29+BC30-BL29)))</f>
        <v>136</v>
      </c>
      <c r="BE30" s="13">
        <f>BD30*VLOOKUP('Données projet'!$B$11,Paramètres!$A$1:$I$89,3,0)*VLOOKUP('Données projet'!$B$11,Paramètres!$A$1:$I$89,5,0)</f>
        <v>118.80960000000002</v>
      </c>
      <c r="BF30" s="13">
        <f t="shared" si="37"/>
        <v>31.39719715333722</v>
      </c>
      <c r="BG30" s="20">
        <f t="shared" si="7"/>
        <v>261.61017170872901</v>
      </c>
      <c r="BH30" s="59">
        <f t="shared" si="8"/>
        <v>551.27683837539576</v>
      </c>
      <c r="BI30" s="59">
        <f ca="1">AVERAGE(OFFSET($BH$3,0,0,'Données projet'!$E$11+1,1))-AVERAGE(OFFSET($H$3,0,0,'Données projet'!$E$11+1,1))</f>
        <v>395.21779046720553</v>
      </c>
      <c r="BJ30" s="59">
        <f t="shared" si="38"/>
        <v>360.05900046417361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2.2857210193174544</v>
      </c>
      <c r="BQ30" s="21">
        <f>EXP(-LN(2)/25)*BQ29+(1-EXP(-LN(2)/25))/(LN(2)/25)*Calculateur!BL30*Calculateur!BN30*VLOOKUP('Données projet'!$B$11,Paramètres!$A$1:$I$89,3,0)*0.475*44/12</f>
        <v>6.5048274411081879</v>
      </c>
      <c r="BR30" s="21">
        <f>EXP(-LN(2)/2)*BR29+(1-EXP(-LN(2)/2))/(LN(2)/2)*BL30*BO30*VLOOKUP('Données projet'!$B$11,Paramètres!$A$1:$I$89,3,0)*0.475*44/12</f>
        <v>4.8711429127429779</v>
      </c>
      <c r="BS30" s="22">
        <f t="shared" si="9"/>
        <v>13.661691373168619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93.40000000000002</v>
      </c>
      <c r="BZ30" s="13">
        <f>BY30*VLOOKUP('Données projet'!$B$12,Paramètres!$A$1:$I$89,3,0)*VLOOKUP('Données projet'!$B$12,Paramètres!$A$1:$I$89,5,0)</f>
        <v>94.707600000000028</v>
      </c>
      <c r="CA30" s="13">
        <f t="shared" si="39"/>
        <v>25.697193912523566</v>
      </c>
      <c r="CB30" s="20">
        <f t="shared" si="10"/>
        <v>209.70501606431188</v>
      </c>
      <c r="CC30" s="59">
        <f t="shared" si="11"/>
        <v>499.37168273097859</v>
      </c>
      <c r="CD30" s="59">
        <f ca="1">AVERAGE(OFFSET($CC$3,0,0,'Données projet'!$E$12+1,1))-AVERAGE(OFFSET($H$3,0,0,'Données projet'!$E$12+1,1))</f>
        <v>449.84356201138451</v>
      </c>
      <c r="CE30" s="59">
        <f t="shared" si="40"/>
        <v>306.61893266146666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4.3951599327589479</v>
      </c>
      <c r="CL30" s="21">
        <f>EXP(-LN(2)/25)*CL29+(1-EXP(-LN(2)/25))/(LN(2)/25)*Calculateur!CG30*Calculateur!CI30*VLOOKUP('Données projet'!$B$12,Paramètres!$A$1:$I$89,3,0)*0.475*44/12</f>
        <v>5.5616610493180465</v>
      </c>
      <c r="CM30" s="21">
        <f>EXP(-LN(2)/2)*CM29+(1-EXP(-LN(2)/2))/(LN(2)/2)*CG30*CJ30*VLOOKUP('Données projet'!$B$12,Paramètres!$A$1:$I$89,3,0)*0.475*44/12</f>
        <v>4.322724047679861</v>
      </c>
      <c r="CN30" s="22">
        <f t="shared" si="12"/>
        <v>14.279545029756855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93.40000000000002</v>
      </c>
      <c r="CU30" s="17">
        <f>CT30*VLOOKUP('Données projet'!$B$13,Paramètres!$A$1:$I$89,3,0)*VLOOKUP('Données projet'!$B$13,Paramètres!$A$1:$I$89,5,0)</f>
        <v>100.53576000000002</v>
      </c>
      <c r="CV30" s="13">
        <f t="shared" si="41"/>
        <v>27.08959526060206</v>
      </c>
      <c r="CW30" s="20">
        <f t="shared" si="13"/>
        <v>222.28082707888197</v>
      </c>
      <c r="CX30" s="59">
        <f t="shared" si="14"/>
        <v>511.94749374554863</v>
      </c>
      <c r="CY30" s="59">
        <f ca="1">AVERAGE(OFFSET($CX$3,0,0,'Données projet'!$E$13+1,1))-AVERAGE(OFFSET($H$3,0,0,'Données projet'!$E$13+1,1))</f>
        <v>475.01366239340246</v>
      </c>
      <c r="CZ30" s="59">
        <f t="shared" si="42"/>
        <v>322.81767004794284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4.6656313132364202</v>
      </c>
      <c r="DG30" s="21">
        <f>EXP(-LN(2)/25)*DG29+(1-EXP(-LN(2)/25))/(LN(2)/25)*Calculateur!DB30*Calculateur!DD30*VLOOKUP('Données projet'!$B$13,Paramètres!$A$1:$I$89,3,0)*0.475*44/12</f>
        <v>5.9039171138914641</v>
      </c>
      <c r="DH30" s="21">
        <f>EXP(-LN(2)/2)*DH29+(1-EXP(-LN(2)/2))/(LN(2)/2)*DB30*DE30*VLOOKUP('Données projet'!$B$13,Paramètres!$A$1:$I$89,3,0)*0.475*44/12</f>
        <v>4.5887378352293906</v>
      </c>
      <c r="DI30" s="22">
        <f t="shared" si="15"/>
        <v>15.158286262357276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10.6</v>
      </c>
      <c r="DO30" s="12">
        <f>IF('Données projet'!$A$166&gt;35,DO29+DN30-DW29,IF(A30&lt;'Données projet'!$A$166,$DL$205^A30,IF(A30='Données projet'!$A$166,'Données projet'!$B$166,DO29+DN30-DW29)))</f>
        <v>262.20000000000005</v>
      </c>
      <c r="DP30" s="17">
        <f>DO30*VLOOKUP('Données projet'!$B$14,Paramètres!$A$1:$I$89,3,0)*VLOOKUP('Données projet'!$B$14,Paramètres!$A$1:$I$89,5,0)</f>
        <v>237.23856000000004</v>
      </c>
      <c r="DQ30" s="13">
        <f t="shared" si="43"/>
        <v>57.84499363660688</v>
      </c>
      <c r="DR30" s="20">
        <f t="shared" si="16"/>
        <v>513.93718925042367</v>
      </c>
      <c r="DS30" s="59">
        <f t="shared" si="17"/>
        <v>803.60385591709041</v>
      </c>
      <c r="DT30" s="59">
        <f ca="1">AVERAGE(OFFSET($DS$3,0,0,'Données projet'!$E$14+1,1))-AVERAGE(OFFSET($H$3,0,0,'Données projet'!$E$14+1,1))</f>
        <v>436.23918637269577</v>
      </c>
      <c r="DU30" s="59">
        <f t="shared" si="44"/>
        <v>611.43967996341894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2.1582638228615663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3.2100733394097962</v>
      </c>
      <c r="ED30" s="22">
        <f t="shared" si="18"/>
        <v>5.3683371622713629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99.234720000000024</v>
      </c>
      <c r="P31" s="13">
        <f t="shared" si="33"/>
        <v>26.779598706219044</v>
      </c>
      <c r="Q31" s="20">
        <f t="shared" si="2"/>
        <v>219.47493841333153</v>
      </c>
      <c r="R31" s="59">
        <f t="shared" si="0"/>
        <v>510.36382730222039</v>
      </c>
      <c r="S31" s="59">
        <f ca="1">AVERAGE(OFFSET($R$3,0,0,'Données projet'!$E$9+1,1))-AVERAGE(OFFSET($H$3,0,0,'Données projet'!$E$9+1,1))</f>
        <v>430.94515308997018</v>
      </c>
      <c r="T31" s="59">
        <f t="shared" si="34"/>
        <v>294.45557293177131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4.1100978260022281</v>
      </c>
      <c r="AA31" s="21">
        <f>EXP(-LN(2)/25)*AA30+(1-EXP(-LN(2)/25))/(LN(2)/25)*Calculateur!V31*Calculateur!X31*VLOOKUP('Données projet'!$B$9,Paramètres!$A$1:$I$89,3,0)*0.475*44/12</f>
        <v>5.1599043445825057</v>
      </c>
      <c r="AB31" s="21">
        <f>EXP(-LN(2)/2)*AB30+(1-EXP(-LN(2)/2))/(LN(2)/2)*V31*Y31*VLOOKUP('Données projet'!$B$9,Paramètres!$A$1:$I$89,3,0)*0.475*44/12</f>
        <v>2.9155523725135479</v>
      </c>
      <c r="AC31" s="22">
        <f t="shared" si="3"/>
        <v>12.185554543098281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192.09999999999991</v>
      </c>
      <c r="AJ31" s="13">
        <f>AI31*VLOOKUP('Données projet'!$B$10,Paramètres!$A$1:$I$89,3,0)*VLOOKUP('Données projet'!$B$10,Paramètres!$A$1:$I$89,5,0)</f>
        <v>89.902799999999957</v>
      </c>
      <c r="AK31" s="13">
        <f t="shared" si="35"/>
        <v>24.541781220398729</v>
      </c>
      <c r="AL31" s="20">
        <f t="shared" si="4"/>
        <v>199.32431229219435</v>
      </c>
      <c r="AM31" s="59">
        <f t="shared" si="5"/>
        <v>490.21320118108321</v>
      </c>
      <c r="AN31" s="59">
        <f ca="1">AVERAGE(OFFSET($AM$3,0,0,'Données projet'!$E$10+1,1))-AVERAGE(OFFSET($H$3,0,0,'Données projet'!$E$10+1,1))</f>
        <v>319.22903094674564</v>
      </c>
      <c r="AO31" s="59">
        <f t="shared" si="36"/>
        <v>254.58690973142848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2.3022746636399152</v>
      </c>
      <c r="AV31" s="21">
        <f>EXP(-LN(2)/25)*AV30+(1-EXP(-LN(2)/25))/(LN(2)/25)*Calculateur!AQ31*Calculateur!AS31*VLOOKUP('Données projet'!$B$10,Paramètres!$A$1:$I$89,3,0)*0.475*44/12</f>
        <v>2.1523903364783123</v>
      </c>
      <c r="AW31" s="21">
        <f>EXP(-LN(2)/2)*AW30+(1-EXP(-LN(2)/2))/(LN(2)/2)*AQ31*AT31*VLOOKUP('Données projet'!$B$10,Paramètres!$A$1:$I$89,3,0)*0.475*44/12</f>
        <v>0.78489173445278426</v>
      </c>
      <c r="AX31" s="21">
        <f t="shared" si="6"/>
        <v>5.2395567345710115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</v>
      </c>
      <c r="BD31" s="12">
        <f>IF('Données projet'!$A$88&gt;35,BD30+BC31-BL30,IF(A31&lt;'Données projet'!$A$88,$BA$205^A31,IF(A31='Données projet'!$A$88,'Données projet'!$B$88,BD30+BC31-BL30)))</f>
        <v>147</v>
      </c>
      <c r="BE31" s="13">
        <f>BD31*VLOOKUP('Données projet'!$B$11,Paramètres!$A$1:$I$89,3,0)*VLOOKUP('Données projet'!$B$11,Paramètres!$A$1:$I$89,5,0)</f>
        <v>128.41920000000002</v>
      </c>
      <c r="BF31" s="13">
        <f t="shared" si="37"/>
        <v>33.630823177860762</v>
      </c>
      <c r="BG31" s="20">
        <f t="shared" si="7"/>
        <v>282.23712370144091</v>
      </c>
      <c r="BH31" s="59">
        <f t="shared" si="8"/>
        <v>573.12601259032976</v>
      </c>
      <c r="BI31" s="59">
        <f ca="1">AVERAGE(OFFSET($BH$3,0,0,'Données projet'!$E$11+1,1))-AVERAGE(OFFSET($H$3,0,0,'Données projet'!$E$11+1,1))</f>
        <v>395.21779046720553</v>
      </c>
      <c r="BJ31" s="59">
        <f t="shared" si="38"/>
        <v>360.05900046417361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2.2408994242808</v>
      </c>
      <c r="BQ31" s="21">
        <f>EXP(-LN(2)/25)*BQ30+(1-EXP(-LN(2)/25))/(LN(2)/25)*Calculateur!BL31*Calculateur!BN31*VLOOKUP('Données projet'!$B$11,Paramètres!$A$1:$I$89,3,0)*0.475*44/12</f>
        <v>6.3269525926570767</v>
      </c>
      <c r="BR31" s="21">
        <f>EXP(-LN(2)/2)*BR30+(1-EXP(-LN(2)/2))/(LN(2)/2)*BL31*BO31*VLOOKUP('Données projet'!$B$11,Paramètres!$A$1:$I$89,3,0)*0.475*44/12</f>
        <v>3.4444181857293508</v>
      </c>
      <c r="BS31" s="22">
        <f t="shared" si="9"/>
        <v>12.012270202667228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102.60000000000002</v>
      </c>
      <c r="BZ31" s="13">
        <f>BY31*VLOOKUP('Données projet'!$B$12,Paramètres!$A$1:$I$89,3,0)*VLOOKUP('Données projet'!$B$12,Paramètres!$A$1:$I$89,5,0)</f>
        <v>104.03640000000003</v>
      </c>
      <c r="CA31" s="13">
        <f t="shared" si="39"/>
        <v>27.921388397820998</v>
      </c>
      <c r="CB31" s="20">
        <f t="shared" si="10"/>
        <v>229.82648145953826</v>
      </c>
      <c r="CC31" s="59">
        <f t="shared" si="11"/>
        <v>520.71537034842709</v>
      </c>
      <c r="CD31" s="59">
        <f ca="1">AVERAGE(OFFSET($CC$3,0,0,'Données projet'!$E$12+1,1))-AVERAGE(OFFSET($H$3,0,0,'Données projet'!$E$12+1,1))</f>
        <v>449.84356201138451</v>
      </c>
      <c r="CE31" s="59">
        <f t="shared" si="40"/>
        <v>306.61893266146666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4.3089735272603988</v>
      </c>
      <c r="CL31" s="21">
        <f>EXP(-LN(2)/25)*CL30+(1-EXP(-LN(2)/25))/(LN(2)/25)*Calculateur!CG31*Calculateur!CI31*VLOOKUP('Données projet'!$B$12,Paramètres!$A$1:$I$89,3,0)*0.475*44/12</f>
        <v>5.4095771354494016</v>
      </c>
      <c r="CM31" s="21">
        <f>EXP(-LN(2)/2)*CM30+(1-EXP(-LN(2)/2))/(LN(2)/2)*CG31*CJ31*VLOOKUP('Données projet'!$B$12,Paramètres!$A$1:$I$89,3,0)*0.475*44/12</f>
        <v>3.0566274873125905</v>
      </c>
      <c r="CN31" s="22">
        <f t="shared" si="12"/>
        <v>12.775178150022391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102.60000000000002</v>
      </c>
      <c r="CU31" s="17">
        <f>CT31*VLOOKUP('Données projet'!$B$13,Paramètres!$A$1:$I$89,3,0)*VLOOKUP('Données projet'!$B$13,Paramètres!$A$1:$I$89,5,0)</f>
        <v>110.43864000000002</v>
      </c>
      <c r="CV31" s="13">
        <f t="shared" si="41"/>
        <v>29.434307628523538</v>
      </c>
      <c r="CW31" s="20">
        <f t="shared" si="13"/>
        <v>243.61205045301185</v>
      </c>
      <c r="CX31" s="59">
        <f t="shared" si="14"/>
        <v>534.50093934190068</v>
      </c>
      <c r="CY31" s="59">
        <f ca="1">AVERAGE(OFFSET($CX$3,0,0,'Données projet'!$E$13+1,1))-AVERAGE(OFFSET($H$3,0,0,'Données projet'!$E$13+1,1))</f>
        <v>475.01366239340246</v>
      </c>
      <c r="CZ31" s="59">
        <f t="shared" si="42"/>
        <v>322.81767004794284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4.5741411289379599</v>
      </c>
      <c r="DG31" s="21">
        <f>EXP(-LN(2)/25)*DG30+(1-EXP(-LN(2)/25))/(LN(2)/25)*Calculateur!DB31*Calculateur!DD31*VLOOKUP('Données projet'!$B$13,Paramètres!$A$1:$I$89,3,0)*0.475*44/12</f>
        <v>5.7424741899385943</v>
      </c>
      <c r="DH31" s="21">
        <f>EXP(-LN(2)/2)*DH30+(1-EXP(-LN(2)/2))/(LN(2)/2)*DB31*DE31*VLOOKUP('Données projet'!$B$13,Paramètres!$A$1:$I$89,3,0)*0.475*44/12</f>
        <v>3.2447276403779806</v>
      </c>
      <c r="DI31" s="22">
        <f t="shared" si="15"/>
        <v>13.561342959254535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10.6</v>
      </c>
      <c r="DO31" s="12">
        <f>IF('Données projet'!$A$166&gt;35,DO30+DN31-DW30,IF(A31&lt;'Données projet'!$A$166,$DL$205^A31,IF(A31='Données projet'!$A$166,'Données projet'!$B$166,DO30+DN31-DW30)))</f>
        <v>272.80000000000007</v>
      </c>
      <c r="DP31" s="17">
        <f>DO31*VLOOKUP('Données projet'!$B$14,Paramètres!$A$1:$I$89,3,0)*VLOOKUP('Données projet'!$B$14,Paramètres!$A$1:$I$89,5,0)</f>
        <v>246.82944000000003</v>
      </c>
      <c r="DQ31" s="13">
        <f t="shared" si="43"/>
        <v>59.906509645447485</v>
      </c>
      <c r="DR31" s="20">
        <f t="shared" si="16"/>
        <v>534.23177896582104</v>
      </c>
      <c r="DS31" s="59">
        <f t="shared" si="17"/>
        <v>825.12066785470984</v>
      </c>
      <c r="DT31" s="59">
        <f ca="1">AVERAGE(OFFSET($DS$3,0,0,'Données projet'!$E$14+1,1))-AVERAGE(OFFSET($H$3,0,0,'Données projet'!$E$14+1,1))</f>
        <v>436.23918637269577</v>
      </c>
      <c r="DU31" s="59">
        <f t="shared" si="44"/>
        <v>611.43967996341894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2.1159415857061981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2.2698646264028128</v>
      </c>
      <c r="ED31" s="22">
        <f t="shared" si="18"/>
        <v>4.3858062121090109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108.13296000000003</v>
      </c>
      <c r="P32" s="13">
        <f t="shared" si="33"/>
        <v>28.890658079177882</v>
      </c>
      <c r="Q32" s="20">
        <f t="shared" si="2"/>
        <v>238.64946815456821</v>
      </c>
      <c r="R32" s="59">
        <f t="shared" si="0"/>
        <v>530.76057926567933</v>
      </c>
      <c r="S32" s="59">
        <f ca="1">AVERAGE(OFFSET($R$3,0,0,'Données projet'!$E$9+1,1))-AVERAGE(OFFSET($H$3,0,0,'Données projet'!$E$9+1,1))</f>
        <v>430.94515308997018</v>
      </c>
      <c r="T32" s="59">
        <f t="shared" si="34"/>
        <v>294.45557293177131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4.0295013145464615</v>
      </c>
      <c r="AA32" s="21">
        <f>EXP(-LN(2)/25)*AA31+(1-EXP(-LN(2)/25))/(LN(2)/25)*Calculateur!V32*Calculateur!X32*VLOOKUP('Données projet'!$B$9,Paramètres!$A$1:$I$89,3,0)*0.475*44/12</f>
        <v>5.018806488932321</v>
      </c>
      <c r="AB32" s="21">
        <f>EXP(-LN(2)/2)*AB31+(1-EXP(-LN(2)/2))/(LN(2)/2)*V32*Y32*VLOOKUP('Données projet'!$B$9,Paramètres!$A$1:$I$89,3,0)*0.475*44/12</f>
        <v>2.0616068535088572</v>
      </c>
      <c r="AC32" s="22">
        <f t="shared" si="3"/>
        <v>11.109914656987639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201.2999999999999</v>
      </c>
      <c r="AJ32" s="13">
        <f>AI32*VLOOKUP('Données projet'!$B$10,Paramètres!$A$1:$I$89,3,0)*VLOOKUP('Données projet'!$B$10,Paramètres!$A$1:$I$89,5,0)</f>
        <v>94.208399999999955</v>
      </c>
      <c r="AK32" s="13">
        <f t="shared" si="35"/>
        <v>25.577474486943441</v>
      </c>
      <c r="AL32" s="20">
        <f t="shared" si="4"/>
        <v>208.62706473142643</v>
      </c>
      <c r="AM32" s="59">
        <f t="shared" si="5"/>
        <v>500.73817584253754</v>
      </c>
      <c r="AN32" s="59">
        <f ca="1">AVERAGE(OFFSET($AM$3,0,0,'Données projet'!$E$10+1,1))-AVERAGE(OFFSET($H$3,0,0,'Données projet'!$E$10+1,1))</f>
        <v>319.22903094674564</v>
      </c>
      <c r="AO32" s="59">
        <f t="shared" si="36"/>
        <v>254.58690973142848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2.2571284617348231</v>
      </c>
      <c r="AV32" s="21">
        <f>EXP(-LN(2)/25)*AV31+(1-EXP(-LN(2)/25))/(LN(2)/25)*Calculateur!AQ32*Calculateur!AS32*VLOOKUP('Données projet'!$B$10,Paramètres!$A$1:$I$89,3,0)*0.475*44/12</f>
        <v>2.0935331095380243</v>
      </c>
      <c r="AW32" s="21">
        <f>EXP(-LN(2)/2)*AW31+(1-EXP(-LN(2)/2))/(LN(2)/2)*AQ32*AT32*VLOOKUP('Données projet'!$B$10,Paramètres!$A$1:$I$89,3,0)*0.475*44/12</f>
        <v>0.55500226792883467</v>
      </c>
      <c r="AX32" s="21">
        <f t="shared" si="6"/>
        <v>4.905663839201682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</v>
      </c>
      <c r="BD32" s="12">
        <f>IF('Données projet'!$A$88&gt;35,BD31+BC32-BL31,IF(A32&lt;'Données projet'!$A$88,$BA$205^A32,IF(A32='Données projet'!$A$88,'Données projet'!$B$88,BD31+BC32-BL31)))</f>
        <v>158</v>
      </c>
      <c r="BE32" s="13">
        <f>BD32*VLOOKUP('Données projet'!$B$11,Paramètres!$A$1:$I$89,3,0)*VLOOKUP('Données projet'!$B$11,Paramètres!$A$1:$I$89,5,0)</f>
        <v>138.02880000000002</v>
      </c>
      <c r="BF32" s="13">
        <f t="shared" si="37"/>
        <v>35.845059256813073</v>
      </c>
      <c r="BG32" s="20">
        <f t="shared" si="7"/>
        <v>302.8303048722828</v>
      </c>
      <c r="BH32" s="59">
        <f t="shared" si="8"/>
        <v>594.94141598339388</v>
      </c>
      <c r="BI32" s="59">
        <f ca="1">AVERAGE(OFFSET($BH$3,0,0,'Données projet'!$E$11+1,1))-AVERAGE(OFFSET($H$3,0,0,'Données projet'!$E$11+1,1))</f>
        <v>395.21779046720553</v>
      </c>
      <c r="BJ32" s="59">
        <f t="shared" si="38"/>
        <v>360.05900046417361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2.1969567533843408</v>
      </c>
      <c r="BQ32" s="21">
        <f>EXP(-LN(2)/25)*BQ31+(1-EXP(-LN(2)/25))/(LN(2)/25)*Calculateur!BL32*Calculateur!BN32*VLOOKUP('Données projet'!$B$11,Paramètres!$A$1:$I$89,3,0)*0.475*44/12</f>
        <v>6.1539417412908923</v>
      </c>
      <c r="BR32" s="21">
        <f>EXP(-LN(2)/2)*BR31+(1-EXP(-LN(2)/2))/(LN(2)/2)*BL32*BO32*VLOOKUP('Données projet'!$B$11,Paramètres!$A$1:$I$89,3,0)*0.475*44/12</f>
        <v>2.4355714563714894</v>
      </c>
      <c r="BS32" s="22">
        <f t="shared" si="9"/>
        <v>10.786469951046723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111.80000000000003</v>
      </c>
      <c r="BZ32" s="13">
        <f>BY32*VLOOKUP('Données projet'!$B$12,Paramètres!$A$1:$I$89,3,0)*VLOOKUP('Données projet'!$B$12,Paramètres!$A$1:$I$89,5,0)</f>
        <v>113.36520000000003</v>
      </c>
      <c r="CA32" s="13">
        <f t="shared" si="39"/>
        <v>30.122456058687614</v>
      </c>
      <c r="CB32" s="20">
        <f t="shared" si="10"/>
        <v>249.9076676355476</v>
      </c>
      <c r="CC32" s="59">
        <f t="shared" si="11"/>
        <v>542.01877874665877</v>
      </c>
      <c r="CD32" s="59">
        <f ca="1">AVERAGE(OFFSET($CC$3,0,0,'Données projet'!$E$12+1,1))-AVERAGE(OFFSET($H$3,0,0,'Données projet'!$E$12+1,1))</f>
        <v>449.84356201138451</v>
      </c>
      <c r="CE32" s="59">
        <f t="shared" si="40"/>
        <v>306.61893266146666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4.2244771846051599</v>
      </c>
      <c r="CL32" s="21">
        <f>EXP(-LN(2)/25)*CL31+(1-EXP(-LN(2)/25))/(LN(2)/25)*Calculateur!CG32*Calculateur!CI32*VLOOKUP('Données projet'!$B$12,Paramètres!$A$1:$I$89,3,0)*0.475*44/12</f>
        <v>5.2616519642032396</v>
      </c>
      <c r="CM32" s="21">
        <f>EXP(-LN(2)/2)*CM31+(1-EXP(-LN(2)/2))/(LN(2)/2)*CG32*CJ32*VLOOKUP('Données projet'!$B$12,Paramètres!$A$1:$I$89,3,0)*0.475*44/12</f>
        <v>2.1613620238399305</v>
      </c>
      <c r="CN32" s="22">
        <f t="shared" si="12"/>
        <v>11.64749117264833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111.80000000000003</v>
      </c>
      <c r="CU32" s="17">
        <f>CT32*VLOOKUP('Données projet'!$B$13,Paramètres!$A$1:$I$89,3,0)*VLOOKUP('Données projet'!$B$13,Paramètres!$A$1:$I$89,5,0)</f>
        <v>120.34152000000002</v>
      </c>
      <c r="CV32" s="13">
        <f t="shared" si="41"/>
        <v>31.754640046026051</v>
      </c>
      <c r="CW32" s="20">
        <f t="shared" si="13"/>
        <v>264.90081208016204</v>
      </c>
      <c r="CX32" s="59">
        <f t="shared" si="14"/>
        <v>557.01192319127313</v>
      </c>
      <c r="CY32" s="59">
        <f ca="1">AVERAGE(OFFSET($CX$3,0,0,'Données projet'!$E$13+1,1))-AVERAGE(OFFSET($H$3,0,0,'Données projet'!$E$13+1,1))</f>
        <v>475.01366239340246</v>
      </c>
      <c r="CZ32" s="59">
        <f t="shared" si="42"/>
        <v>322.81767004794284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4.4844450113500907</v>
      </c>
      <c r="DG32" s="21">
        <f>EXP(-LN(2)/25)*DG31+(1-EXP(-LN(2)/25))/(LN(2)/25)*Calculateur!DB32*Calculateur!DD32*VLOOKUP('Données projet'!$B$13,Paramètres!$A$1:$I$89,3,0)*0.475*44/12</f>
        <v>5.5854459312311304</v>
      </c>
      <c r="DH32" s="21">
        <f>EXP(-LN(2)/2)*DH31+(1-EXP(-LN(2)/2))/(LN(2)/2)*DB32*DE32*VLOOKUP('Données projet'!$B$13,Paramètres!$A$1:$I$89,3,0)*0.475*44/12</f>
        <v>2.2943689176146953</v>
      </c>
      <c r="DI32" s="22">
        <f t="shared" si="15"/>
        <v>12.364259860195917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10.6</v>
      </c>
      <c r="DO32" s="12">
        <f>IF('Données projet'!$A$166&gt;35,DO31+DN32-DW31,IF(A32&lt;'Données projet'!$A$166,$DL$205^A32,IF(A32='Données projet'!$A$166,'Données projet'!$B$166,DO31+DN32-DW31)))</f>
        <v>283.40000000000009</v>
      </c>
      <c r="DP32" s="17">
        <f>DO32*VLOOKUP('Données projet'!$B$14,Paramètres!$A$1:$I$89,3,0)*VLOOKUP('Données projet'!$B$14,Paramètres!$A$1:$I$89,5,0)</f>
        <v>256.42032000000006</v>
      </c>
      <c r="DQ32" s="13">
        <f t="shared" si="43"/>
        <v>61.958720258016918</v>
      </c>
      <c r="DR32" s="20">
        <f t="shared" si="16"/>
        <v>554.51016178271277</v>
      </c>
      <c r="DS32" s="59">
        <f t="shared" si="17"/>
        <v>846.62127289382397</v>
      </c>
      <c r="DT32" s="59">
        <f ca="1">AVERAGE(OFFSET($DS$3,0,0,'Données projet'!$E$14+1,1))-AVERAGE(OFFSET($H$3,0,0,'Données projet'!$E$14+1,1))</f>
        <v>436.23918637269577</v>
      </c>
      <c r="DU32" s="59">
        <f t="shared" si="44"/>
        <v>611.43967996341894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2.0744492618074308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1.6050366697048983</v>
      </c>
      <c r="ED32" s="22">
        <f t="shared" si="18"/>
        <v>3.6794859315123292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117.03120000000003</v>
      </c>
      <c r="P33" s="13">
        <f t="shared" si="33"/>
        <v>30.981569147428555</v>
      </c>
      <c r="Q33" s="20">
        <f t="shared" si="2"/>
        <v>257.78890626510474</v>
      </c>
      <c r="R33" s="59">
        <f t="shared" si="0"/>
        <v>551.122239598438</v>
      </c>
      <c r="S33" s="59">
        <f ca="1">AVERAGE(OFFSET($R$3,0,0,'Données projet'!$E$9+1,1))-AVERAGE(OFFSET($H$3,0,0,'Données projet'!$E$9+1,1))</f>
        <v>430.94515308997018</v>
      </c>
      <c r="T33" s="59">
        <f t="shared" si="34"/>
        <v>294.45557293177131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7.8124752068377052</v>
      </c>
      <c r="AA33" s="21">
        <f>EXP(-LN(2)/25)*AA32+(1-EXP(-LN(2)/25))/(LN(2)/25)*Calculateur!V33*Calculateur!X33*VLOOKUP('Données projet'!$B$9,Paramètres!$A$1:$I$89,3,0)*0.475*44/12</f>
        <v>10.010612067336588</v>
      </c>
      <c r="AB33" s="21">
        <f>EXP(-LN(2)/2)*AB32+(1-EXP(-LN(2)/2))/(LN(2)/2)*V33*Y33*VLOOKUP('Données projet'!$B$9,Paramètres!$A$1:$I$89,3,0)*0.475*44/12</f>
        <v>9.12344173342996</v>
      </c>
      <c r="AC33" s="22">
        <f t="shared" si="3"/>
        <v>26.946529007604251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210.5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210.49999999999989</v>
      </c>
      <c r="AJ33" s="13">
        <f>AI33*VLOOKUP('Données projet'!$B$10,Paramètres!$A$1:$I$89,3,0)*VLOOKUP('Données projet'!$B$10,Paramètres!$A$1:$I$89,5,0)</f>
        <v>98.513999999999953</v>
      </c>
      <c r="AK33" s="13">
        <f t="shared" si="35"/>
        <v>26.607670659193456</v>
      </c>
      <c r="AL33" s="20">
        <f t="shared" si="4"/>
        <v>217.92024306476185</v>
      </c>
      <c r="AM33" s="59">
        <f t="shared" si="5"/>
        <v>511.25357639809516</v>
      </c>
      <c r="AN33" s="59">
        <f ca="1">AVERAGE(OFFSET($AM$3,0,0,'Données projet'!$E$10+1,1))-AVERAGE(OFFSET($H$3,0,0,'Données projet'!$E$10+1,1))</f>
        <v>319.22903094674564</v>
      </c>
      <c r="AO33" s="59">
        <f t="shared" si="36"/>
        <v>254.58690973142848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67</v>
      </c>
      <c r="AR33" s="16">
        <f>IF(ISNA(VLOOKUP(A33,'Données projet'!$A$61:$I$81,5,0)),0%,VLOOKUP(A33,'Données projet'!$A$61:$I$81,5,0)*VLOOKUP('Données projet'!$B$10,Paramètres!$A$1:$I$89,7,0))</f>
        <v>0.16500000000000001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9.0761671349983928</v>
      </c>
      <c r="AV33" s="21">
        <f>EXP(-LN(2)/25)*AV32+(1-EXP(-LN(2)/25))/(LN(2)/25)*Calculateur!AQ33*Calculateur!AS33*VLOOKUP('Données projet'!$B$10,Paramètres!$A$1:$I$89,3,0)*0.475*44/12</f>
        <v>11.151320216689932</v>
      </c>
      <c r="AW33" s="21">
        <f>EXP(-LN(2)/2)*AW32+(1-EXP(-LN(2)/2))/(LN(2)/2)*AQ33*AT33*VLOOKUP('Données projet'!$B$10,Paramètres!$A$1:$I$89,3,0)*0.475*44/12</f>
        <v>11.043128643598349</v>
      </c>
      <c r="AX33" s="21">
        <f t="shared" si="6"/>
        <v>31.270615995286676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169</v>
      </c>
      <c r="BB33" s="12">
        <f>VLOOKUP(A33,'Données projet'!$A$87:$I$107,9,0)</f>
        <v>11</v>
      </c>
      <c r="BC33" s="12">
        <f t="array" ref="BC33">INDEX(BB:BB,MIN(IF(ISNUMBER(BB33:BB229),ROW(BB33:BB229),"")))</f>
        <v>11</v>
      </c>
      <c r="BD33" s="12">
        <f>IF('Données projet'!$A$88&gt;35,BD32+BC33-BL32,IF(A33&lt;'Données projet'!$A$88,$BA$205^A33,IF(A33='Données projet'!$A$88,'Données projet'!$B$88,BD32+BC33-BL32)))</f>
        <v>169</v>
      </c>
      <c r="BE33" s="13">
        <f>BD33*VLOOKUP('Données projet'!$B$11,Paramètres!$A$1:$I$89,3,0)*VLOOKUP('Données projet'!$B$11,Paramètres!$A$1:$I$89,5,0)</f>
        <v>147.63840000000002</v>
      </c>
      <c r="BF33" s="13">
        <f t="shared" si="37"/>
        <v>38.04140887895133</v>
      </c>
      <c r="BG33" s="20">
        <f t="shared" si="7"/>
        <v>323.39233379750692</v>
      </c>
      <c r="BH33" s="59">
        <f t="shared" si="8"/>
        <v>616.72566713084029</v>
      </c>
      <c r="BI33" s="59">
        <f ca="1">AVERAGE(OFFSET($BH$3,0,0,'Données projet'!$E$11+1,1))-AVERAGE(OFFSET($H$3,0,0,'Données projet'!$E$11+1,1))</f>
        <v>395.21779046720553</v>
      </c>
      <c r="BJ33" s="59">
        <f t="shared" si="38"/>
        <v>360.05900046417361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32</v>
      </c>
      <c r="BM33" s="16">
        <f>IF(ISNA(VLOOKUP(A33,'Données projet'!$A$87:$I$107,5,0)),0%,VLOOKUP(A33,'Données projet'!$A$87:$I$107,5,0)*VLOOKUP('Données projet'!$B$11,Paramètres!$A$1:$I$89,7,0))</f>
        <v>8.6000000000000007E-2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0.2</v>
      </c>
      <c r="BP33" s="21">
        <f>EXP(-LN(2)/35)*BP32+(1-EXP(-LN(2)/35))/(LN(2)/35)*BL33*BM33*VLOOKUP('Données projet'!$B$11,Paramètres!$A$1:$I$89,3,0)*0.475*44/12</f>
        <v>4.8115892890988583</v>
      </c>
      <c r="BQ33" s="21">
        <f>EXP(-LN(2)/25)*BQ32+(1-EXP(-LN(2)/25))/(LN(2)/25)*Calculateur!BL33*Calculateur!BN33*VLOOKUP('Données projet'!$B$11,Paramètres!$A$1:$I$89,3,0)*0.475*44/12</f>
        <v>11.280160054453363</v>
      </c>
      <c r="BR33" s="21">
        <f>EXP(-LN(2)/2)*BR32+(1-EXP(-LN(2)/2))/(LN(2)/2)*BL33*BO33*VLOOKUP('Données projet'!$B$11,Paramètres!$A$1:$I$89,3,0)*0.475*44/12</f>
        <v>6.9975058134999859</v>
      </c>
      <c r="BS33" s="22">
        <f t="shared" si="9"/>
        <v>23.089255157052207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121.00000000000003</v>
      </c>
      <c r="BZ33" s="13">
        <f>BY33*VLOOKUP('Données projet'!$B$12,Paramètres!$A$1:$I$89,3,0)*VLOOKUP('Données projet'!$B$12,Paramètres!$A$1:$I$89,5,0)</f>
        <v>122.69400000000003</v>
      </c>
      <c r="CA33" s="13">
        <f t="shared" si="39"/>
        <v>32.302516360650685</v>
      </c>
      <c r="CB33" s="20">
        <f t="shared" si="10"/>
        <v>269.95226599480003</v>
      </c>
      <c r="CC33" s="59">
        <f t="shared" si="11"/>
        <v>563.28559932813334</v>
      </c>
      <c r="CD33" s="59">
        <f ca="1">AVERAGE(OFFSET($CC$3,0,0,'Données projet'!$E$12+1,1))-AVERAGE(OFFSET($H$3,0,0,'Données projet'!$E$12+1,1))</f>
        <v>449.84356201138451</v>
      </c>
      <c r="CE33" s="59">
        <f t="shared" si="40"/>
        <v>306.61893266146666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0.129</v>
      </c>
      <c r="CI33" s="16">
        <f>IF(ISNA(VLOOKUP(A33,'Données projet'!$A$113:$I$133,6,0)),0%,VLOOKUP(A33,'Données projet'!$A$113:$I$133,6,0)*VLOOKUP('Données projet'!$B$12,Paramètres!$A$1:$I$89,7,0))</f>
        <v>0.17200000000000001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8.1904982007169487</v>
      </c>
      <c r="CL33" s="21">
        <f>EXP(-LN(2)/25)*CL32+(1-EXP(-LN(2)/25))/(LN(2)/25)*Calculateur!CG33*Calculateur!CI33*VLOOKUP('Données projet'!$B$12,Paramètres!$A$1:$I$89,3,0)*0.475*44/12</f>
        <v>10.49499652220771</v>
      </c>
      <c r="CM33" s="21">
        <f>EXP(-LN(2)/2)*CM32+(1-EXP(-LN(2)/2))/(LN(2)/2)*CG33*CJ33*VLOOKUP('Données projet'!$B$12,Paramètres!$A$1:$I$89,3,0)*0.475*44/12</f>
        <v>9.5648985914991496</v>
      </c>
      <c r="CN33" s="22">
        <f t="shared" si="12"/>
        <v>28.25039331442381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121.00000000000003</v>
      </c>
      <c r="CU33" s="17">
        <f>CT33*VLOOKUP('Données projet'!$B$13,Paramètres!$A$1:$I$89,3,0)*VLOOKUP('Données projet'!$B$13,Paramètres!$A$1:$I$89,5,0)</f>
        <v>130.24440000000001</v>
      </c>
      <c r="CV33" s="13">
        <f t="shared" si="41"/>
        <v>34.052826821785409</v>
      </c>
      <c r="CW33" s="20">
        <f t="shared" si="13"/>
        <v>286.15100338127621</v>
      </c>
      <c r="CX33" s="59">
        <f t="shared" si="14"/>
        <v>579.48433671460953</v>
      </c>
      <c r="CY33" s="59">
        <f ca="1">AVERAGE(OFFSET($CX$3,0,0,'Données projet'!$E$13+1,1))-AVERAGE(OFFSET($H$3,0,0,'Données projet'!$E$13+1,1))</f>
        <v>475.01366239340246</v>
      </c>
      <c r="CZ33" s="59">
        <f t="shared" si="42"/>
        <v>322.81767004794284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0.129</v>
      </c>
      <c r="DD33" s="16">
        <f>IF(ISNA(VLOOKUP(A33,'Données projet'!$A$139:$I$159,6,0)),0%,VLOOKUP(A33,'Données projet'!$A$139:$I$159,6,0)*VLOOKUP('Données projet'!$B$13,Paramètres!$A$1:$I$89,7,0))</f>
        <v>0.17200000000000001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8.6945288592226042</v>
      </c>
      <c r="DG33" s="21">
        <f>EXP(-LN(2)/25)*DG32+(1-EXP(-LN(2)/25))/(LN(2)/25)*Calculateur!DB33*Calculateur!DD33*VLOOKUP('Données projet'!$B$13,Paramètres!$A$1:$I$89,3,0)*0.475*44/12</f>
        <v>11.140842462035877</v>
      </c>
      <c r="DH33" s="21">
        <f>EXP(-LN(2)/2)*DH32+(1-EXP(-LN(2)/2))/(LN(2)/2)*DB33*DE33*VLOOKUP('Données projet'!$B$13,Paramètres!$A$1:$I$89,3,0)*0.475*44/12</f>
        <v>10.153507735591406</v>
      </c>
      <c r="DI33" s="22">
        <f t="shared" si="15"/>
        <v>29.988879056849889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294</v>
      </c>
      <c r="DM33" s="12">
        <f>VLOOKUP(A33,'Données projet'!$A$165:$I$185,9,0)</f>
        <v>10.6</v>
      </c>
      <c r="DN33" s="12">
        <f t="array" ref="DN33">INDEX(DM:DM,MIN(IF(ISNUMBER(DM33:DM229),ROW(DM33:DM229),"")))</f>
        <v>10.6</v>
      </c>
      <c r="DO33" s="12">
        <f>IF('Données projet'!$A$166&gt;35,DO32+DN33-DW32,IF(A33&lt;'Données projet'!$A$166,$DL$205^A33,IF(A33='Données projet'!$A$166,'Données projet'!$B$166,DO32+DN33-DW32)))</f>
        <v>294.00000000000011</v>
      </c>
      <c r="DP33" s="17">
        <f>DO33*VLOOKUP('Données projet'!$B$14,Paramètres!$A$1:$I$89,3,0)*VLOOKUP('Données projet'!$B$14,Paramètres!$A$1:$I$89,5,0)</f>
        <v>266.01120000000009</v>
      </c>
      <c r="DQ33" s="13">
        <f t="shared" si="43"/>
        <v>64.002013376125717</v>
      </c>
      <c r="DR33" s="20">
        <f t="shared" si="16"/>
        <v>574.77301329675242</v>
      </c>
      <c r="DS33" s="59">
        <f t="shared" si="17"/>
        <v>868.10634663008568</v>
      </c>
      <c r="DT33" s="59">
        <f ca="1">AVERAGE(OFFSET($DS$3,0,0,'Données projet'!$E$14+1,1))-AVERAGE(OFFSET($H$3,0,0,'Données projet'!$E$14+1,1))</f>
        <v>436.23918637269577</v>
      </c>
      <c r="DU33" s="59">
        <f t="shared" si="44"/>
        <v>611.43967996341894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14</v>
      </c>
      <c r="DX33" s="16">
        <f>IF(ISNA(VLOOKUP(A33,'Données projet'!$A$165:$I$185,5,0)),0%,VLOOKUP(A33,'Données projet'!$A$165:$I$185,5,0)*VLOOKUP('Données projet'!$B$14,Paramètres!$A$1:$I$89,7,0))</f>
        <v>0.09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3.2940598723182806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4.7204855530082188</v>
      </c>
      <c r="ED33" s="22">
        <f t="shared" si="18"/>
        <v>8.0145454253264994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100.39536000000004</v>
      </c>
      <c r="P34" s="13">
        <f t="shared" si="33"/>
        <v>27.056164975430569</v>
      </c>
      <c r="Q34" s="20">
        <f t="shared" si="2"/>
        <v>221.97807266554162</v>
      </c>
      <c r="R34" s="59">
        <f t="shared" si="0"/>
        <v>515.31140599887499</v>
      </c>
      <c r="S34" s="59">
        <f ca="1">AVERAGE(OFFSET($R$3,0,0,'Données projet'!$E$9+1,1))-AVERAGE(OFFSET($H$3,0,0,'Données projet'!$E$9+1,1))</f>
        <v>430.94515308997018</v>
      </c>
      <c r="T34" s="59">
        <f t="shared" si="34"/>
        <v>294.45557293177131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7.6592773331709756</v>
      </c>
      <c r="AA34" s="21">
        <f>EXP(-LN(2)/25)*AA33+(1-EXP(-LN(2)/25))/(LN(2)/25)*Calculateur!V34*Calculateur!X34*VLOOKUP('Données projet'!$B$9,Paramètres!$A$1:$I$89,3,0)*0.475*44/12</f>
        <v>9.7368713539200602</v>
      </c>
      <c r="AB34" s="21">
        <f>EXP(-LN(2)/2)*AB33+(1-EXP(-LN(2)/2))/(LN(2)/2)*V34*Y34*VLOOKUP('Données projet'!$B$9,Paramètres!$A$1:$I$89,3,0)*0.475*44/12</f>
        <v>6.4512475174686754</v>
      </c>
      <c r="AC34" s="22">
        <f t="shared" si="3"/>
        <v>23.847396204559711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</v>
      </c>
      <c r="AI34" s="13">
        <f>IF('Données projet'!$A$62&gt;35,AI33+AH34-AQ33,IF(A34&lt;'Données projet'!$A$62,$AF$205^A34,IF(A34='Données projet'!$A$62,'Données projet'!$B$62,AI33+AH34-AQ33)))</f>
        <v>153.49999999999989</v>
      </c>
      <c r="AJ34" s="13">
        <f>AI34*VLOOKUP('Données projet'!$B$10,Paramètres!$A$1:$I$89,3,0)*VLOOKUP('Données projet'!$B$10,Paramètres!$A$1:$I$89,5,0)</f>
        <v>71.837999999999951</v>
      </c>
      <c r="AK34" s="13">
        <f t="shared" si="35"/>
        <v>20.129206956785634</v>
      </c>
      <c r="AL34" s="20">
        <f t="shared" si="4"/>
        <v>160.17621878306821</v>
      </c>
      <c r="AM34" s="59">
        <f t="shared" si="5"/>
        <v>453.50955211640155</v>
      </c>
      <c r="AN34" s="59">
        <f ca="1">AVERAGE(OFFSET($AM$3,0,0,'Données projet'!$E$10+1,1))-AVERAGE(OFFSET($H$3,0,0,'Données projet'!$E$10+1,1))</f>
        <v>319.22903094674564</v>
      </c>
      <c r="AO34" s="59">
        <f t="shared" si="36"/>
        <v>254.58690973142848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8.8981890333964007</v>
      </c>
      <c r="AV34" s="21">
        <f>EXP(-LN(2)/25)*AV33+(1-EXP(-LN(2)/25))/(LN(2)/25)*Calculateur!AQ34*Calculateur!AS34*VLOOKUP('Données projet'!$B$10,Paramètres!$A$1:$I$89,3,0)*0.475*44/12</f>
        <v>10.846386778942103</v>
      </c>
      <c r="AW34" s="21">
        <f>EXP(-LN(2)/2)*AW33+(1-EXP(-LN(2)/2))/(LN(2)/2)*AQ34*AT34*VLOOKUP('Données projet'!$B$10,Paramètres!$A$1:$I$89,3,0)*0.475*44/12</f>
        <v>7.8086711494037937</v>
      </c>
      <c r="AX34" s="21">
        <f t="shared" si="6"/>
        <v>27.553246961742296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10.4</v>
      </c>
      <c r="BD34" s="12">
        <f>IF('Données projet'!$A$88&gt;35,BD33+BC34-BL33,IF(A34&lt;'Données projet'!$A$88,$BA$205^A34,IF(A34='Données projet'!$A$88,'Données projet'!$B$88,BD33+BC34-BL33)))</f>
        <v>147.4</v>
      </c>
      <c r="BE34" s="13">
        <f>BD34*VLOOKUP('Données projet'!$B$11,Paramètres!$A$1:$I$89,3,0)*VLOOKUP('Données projet'!$B$11,Paramètres!$A$1:$I$89,5,0)</f>
        <v>128.76864000000003</v>
      </c>
      <c r="BF34" s="13">
        <f t="shared" si="37"/>
        <v>33.711670780700224</v>
      </c>
      <c r="BG34" s="20">
        <f t="shared" si="7"/>
        <v>282.98654127638628</v>
      </c>
      <c r="BH34" s="59">
        <f t="shared" si="8"/>
        <v>576.31987460971959</v>
      </c>
      <c r="BI34" s="59">
        <f ca="1">AVERAGE(OFFSET($BH$3,0,0,'Données projet'!$E$11+1,1))-AVERAGE(OFFSET($H$3,0,0,'Données projet'!$E$11+1,1))</f>
        <v>395.21779046720553</v>
      </c>
      <c r="BJ34" s="59">
        <f t="shared" si="38"/>
        <v>360.05900046417361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4.7172369579193107</v>
      </c>
      <c r="BQ34" s="21">
        <f>EXP(-LN(2)/25)*BQ33+(1-EXP(-LN(2)/25))/(LN(2)/25)*Calculateur!BL34*Calculateur!BN34*VLOOKUP('Données projet'!$B$11,Paramètres!$A$1:$I$89,3,0)*0.475*44/12</f>
        <v>10.9717034845665</v>
      </c>
      <c r="BR34" s="21">
        <f>EXP(-LN(2)/2)*BR33+(1-EXP(-LN(2)/2))/(LN(2)/2)*BL34*BO34*VLOOKUP('Données projet'!$B$11,Paramètres!$A$1:$I$89,3,0)*0.475*44/12</f>
        <v>4.947983812118129</v>
      </c>
      <c r="BS34" s="22">
        <f t="shared" si="9"/>
        <v>20.63692425460394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103.80000000000004</v>
      </c>
      <c r="BZ34" s="13">
        <f>BY34*VLOOKUP('Données projet'!$B$12,Paramètres!$A$1:$I$89,3,0)*VLOOKUP('Données projet'!$B$12,Paramètres!$A$1:$I$89,5,0)</f>
        <v>105.25320000000005</v>
      </c>
      <c r="CA34" s="13">
        <f t="shared" si="39"/>
        <v>28.209746498519422</v>
      </c>
      <c r="CB34" s="20">
        <f t="shared" si="10"/>
        <v>232.44796515158808</v>
      </c>
      <c r="CC34" s="59">
        <f t="shared" si="11"/>
        <v>525.78129848492142</v>
      </c>
      <c r="CD34" s="59">
        <f ca="1">AVERAGE(OFFSET($CC$3,0,0,'Données projet'!$E$12+1,1))-AVERAGE(OFFSET($H$3,0,0,'Données projet'!$E$12+1,1))</f>
        <v>449.84356201138451</v>
      </c>
      <c r="CE34" s="59">
        <f t="shared" si="40"/>
        <v>306.61893266146666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8.0298875267115069</v>
      </c>
      <c r="CL34" s="21">
        <f>EXP(-LN(2)/25)*CL33+(1-EXP(-LN(2)/25))/(LN(2)/25)*Calculateur!CG34*Calculateur!CI34*VLOOKUP('Données projet'!$B$12,Paramètres!$A$1:$I$89,3,0)*0.475*44/12</f>
        <v>10.208010290400059</v>
      </c>
      <c r="CM34" s="21">
        <f>EXP(-LN(2)/2)*CM33+(1-EXP(-LN(2)/2))/(LN(2)/2)*CG34*CJ34*VLOOKUP('Données projet'!$B$12,Paramètres!$A$1:$I$89,3,0)*0.475*44/12</f>
        <v>6.7634046554107066</v>
      </c>
      <c r="CN34" s="22">
        <f t="shared" si="12"/>
        <v>25.001302472522273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103.80000000000004</v>
      </c>
      <c r="CU34" s="17">
        <f>CT34*VLOOKUP('Données projet'!$B$13,Paramètres!$A$1:$I$89,3,0)*VLOOKUP('Données projet'!$B$13,Paramètres!$A$1:$I$89,5,0)</f>
        <v>111.73032000000005</v>
      </c>
      <c r="CV34" s="13">
        <f t="shared" si="41"/>
        <v>29.738290400519091</v>
      </c>
      <c r="CW34" s="20">
        <f t="shared" si="13"/>
        <v>246.39116311423746</v>
      </c>
      <c r="CX34" s="59">
        <f t="shared" si="14"/>
        <v>539.7244964475708</v>
      </c>
      <c r="CY34" s="59">
        <f ca="1">AVERAGE(OFFSET($CX$3,0,0,'Données projet'!$E$13+1,1))-AVERAGE(OFFSET($H$3,0,0,'Données projet'!$E$13+1,1))</f>
        <v>475.01366239340246</v>
      </c>
      <c r="CZ34" s="59">
        <f t="shared" si="42"/>
        <v>322.81767004794284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8.5240344514322111</v>
      </c>
      <c r="DG34" s="21">
        <f>EXP(-LN(2)/25)*DG33+(1-EXP(-LN(2)/25))/(LN(2)/25)*Calculateur!DB34*Calculateur!DD34*VLOOKUP('Données projet'!$B$13,Paramètres!$A$1:$I$89,3,0)*0.475*44/12</f>
        <v>10.836195539040064</v>
      </c>
      <c r="DH34" s="21">
        <f>EXP(-LN(2)/2)*DH33+(1-EXP(-LN(2)/2))/(LN(2)/2)*DB34*DE34*VLOOKUP('Données projet'!$B$13,Paramètres!$A$1:$I$89,3,0)*0.475*44/12</f>
        <v>7.1796141726667502</v>
      </c>
      <c r="DI34" s="22">
        <f t="shared" si="15"/>
        <v>26.539844163139026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8.6</v>
      </c>
      <c r="DO34" s="12">
        <f>IF('Données projet'!$A$166&gt;35,DO33+DN34-DW33,IF(A34&lt;'Données projet'!$A$166,$DL$205^A34,IF(A34='Données projet'!$A$166,'Données projet'!$B$166,DO33+DN34-DW33)))</f>
        <v>288.60000000000014</v>
      </c>
      <c r="DP34" s="17">
        <f>DO34*VLOOKUP('Données projet'!$B$14,Paramètres!$A$1:$I$89,3,0)*VLOOKUP('Données projet'!$B$14,Paramètres!$A$1:$I$89,5,0)</f>
        <v>261.12528000000009</v>
      </c>
      <c r="DQ34" s="13">
        <f t="shared" si="43"/>
        <v>62.962181856353716</v>
      </c>
      <c r="DR34" s="20">
        <f t="shared" si="16"/>
        <v>564.45232939981622</v>
      </c>
      <c r="DS34" s="59">
        <f t="shared" si="17"/>
        <v>857.78566273314959</v>
      </c>
      <c r="DT34" s="59">
        <f ca="1">AVERAGE(OFFSET($DS$3,0,0,'Données projet'!$E$14+1,1))-AVERAGE(OFFSET($H$3,0,0,'Données projet'!$E$14+1,1))</f>
        <v>436.23918637269577</v>
      </c>
      <c r="DU34" s="59">
        <f t="shared" si="44"/>
        <v>611.43967996341894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3.2294653674002514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3.3378873450252415</v>
      </c>
      <c r="ED34" s="22">
        <f t="shared" si="18"/>
        <v>6.5673527124254925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110.84112000000003</v>
      </c>
      <c r="P35" s="13">
        <f t="shared" si="33"/>
        <v>29.529071061640771</v>
      </c>
      <c r="Q35" s="20">
        <f t="shared" ref="Q35:Q66" si="53">(O35+P35)*0.475*44/12</f>
        <v>244.47808276569106</v>
      </c>
      <c r="R35" s="59">
        <f t="shared" si="0"/>
        <v>537.81141609902443</v>
      </c>
      <c r="S35" s="59">
        <f ca="1">AVERAGE(OFFSET($R$3,0,0,'Données projet'!$E$9+1,1))-AVERAGE(OFFSET($H$3,0,0,'Données projet'!$E$9+1,1))</f>
        <v>430.94515308997018</v>
      </c>
      <c r="T35" s="59">
        <f t="shared" si="34"/>
        <v>294.45557293177131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7.5090835763653745</v>
      </c>
      <c r="AA35" s="21">
        <f>EXP(-LN(2)/25)*AA34+(1-EXP(-LN(2)/25))/(LN(2)/25)*Calculateur!V35*Calculateur!X35*VLOOKUP('Données projet'!$B$9,Paramètres!$A$1:$I$89,3,0)*0.475*44/12</f>
        <v>9.4706160947073048</v>
      </c>
      <c r="AB35" s="21">
        <f>EXP(-LN(2)/2)*AB34+(1-EXP(-LN(2)/2))/(LN(2)/2)*V35*Y35*VLOOKUP('Données projet'!$B$9,Paramètres!$A$1:$I$89,3,0)*0.475*44/12</f>
        <v>4.5617208667149809</v>
      </c>
      <c r="AC35" s="22">
        <f t="shared" si="3"/>
        <v>21.541420537787662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</v>
      </c>
      <c r="AI35" s="13">
        <f>IF('Données projet'!$A$62&gt;35,AI34+AH35-AQ34,IF(A35&lt;'Données projet'!$A$62,$AF$205^A35,IF(A35='Données projet'!$A$62,'Données projet'!$B$62,AI34+AH35-AQ34)))</f>
        <v>163.49999999999989</v>
      </c>
      <c r="AJ35" s="13">
        <f>AI35*VLOOKUP('Données projet'!$B$10,Paramètres!$A$1:$I$89,3,0)*VLOOKUP('Données projet'!$B$10,Paramètres!$A$1:$I$89,5,0)</f>
        <v>76.517999999999944</v>
      </c>
      <c r="AK35" s="13">
        <f t="shared" si="35"/>
        <v>21.283624623620089</v>
      </c>
      <c r="AL35" s="20">
        <f t="shared" si="4"/>
        <v>170.33782955280489</v>
      </c>
      <c r="AM35" s="59">
        <f t="shared" si="5"/>
        <v>463.67116288613818</v>
      </c>
      <c r="AN35" s="59">
        <f ca="1">AVERAGE(OFFSET($AM$3,0,0,'Données projet'!$E$10+1,1))-AVERAGE(OFFSET($H$3,0,0,'Données projet'!$E$10+1,1))</f>
        <v>319.22903094674564</v>
      </c>
      <c r="AO35" s="59">
        <f t="shared" si="36"/>
        <v>254.58690973142848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8.7237009738109013</v>
      </c>
      <c r="AV35" s="21">
        <f>EXP(-LN(2)/25)*AV34+(1-EXP(-LN(2)/25))/(LN(2)/25)*Calculateur!AQ35*Calculateur!AS35*VLOOKUP('Données projet'!$B$10,Paramètres!$A$1:$I$89,3,0)*0.475*44/12</f>
        <v>10.54979176208524</v>
      </c>
      <c r="AW35" s="21">
        <f>EXP(-LN(2)/2)*AW34+(1-EXP(-LN(2)/2))/(LN(2)/2)*AQ35*AT35*VLOOKUP('Données projet'!$B$10,Paramètres!$A$1:$I$89,3,0)*0.475*44/12</f>
        <v>5.5215643217991754</v>
      </c>
      <c r="AX35" s="21">
        <f t="shared" si="6"/>
        <v>24.795057057695317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10.4</v>
      </c>
      <c r="BD35" s="12">
        <f>IF('Données projet'!$A$88&gt;35,BD34+BC35-BL34,IF(A35&lt;'Données projet'!$A$88,$BA$205^A35,IF(A35='Données projet'!$A$88,'Données projet'!$B$88,BD34+BC35-BL34)))</f>
        <v>157.80000000000001</v>
      </c>
      <c r="BE35" s="13">
        <f>BD35*VLOOKUP('Données projet'!$B$11,Paramètres!$A$1:$I$89,3,0)*VLOOKUP('Données projet'!$B$11,Paramètres!$A$1:$I$89,5,0)</f>
        <v>137.85408000000001</v>
      </c>
      <c r="BF35" s="13">
        <f t="shared" si="37"/>
        <v>35.804964283629964</v>
      </c>
      <c r="BG35" s="20">
        <f t="shared" si="7"/>
        <v>302.45616879398887</v>
      </c>
      <c r="BH35" s="59">
        <f t="shared" si="8"/>
        <v>595.78950212732218</v>
      </c>
      <c r="BI35" s="59">
        <f ca="1">AVERAGE(OFFSET($BH$3,0,0,'Données projet'!$E$11+1,1))-AVERAGE(OFFSET($H$3,0,0,'Données projet'!$E$11+1,1))</f>
        <v>395.21779046720553</v>
      </c>
      <c r="BJ35" s="59">
        <f t="shared" si="38"/>
        <v>360.05900046417361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4.6247348184049546</v>
      </c>
      <c r="BQ35" s="21">
        <f>EXP(-LN(2)/25)*BQ34+(1-EXP(-LN(2)/25))/(LN(2)/25)*Calculateur!BL35*Calculateur!BN35*VLOOKUP('Données projet'!$B$11,Paramètres!$A$1:$I$89,3,0)*0.475*44/12</f>
        <v>10.671681675804219</v>
      </c>
      <c r="BR35" s="21">
        <f>EXP(-LN(2)/2)*BR34+(1-EXP(-LN(2)/2))/(LN(2)/2)*BL35*BO35*VLOOKUP('Données projet'!$B$11,Paramètres!$A$1:$I$89,3,0)*0.475*44/12</f>
        <v>3.4987529067499934</v>
      </c>
      <c r="BS35" s="22">
        <f t="shared" si="9"/>
        <v>18.795169400959168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114.60000000000004</v>
      </c>
      <c r="BZ35" s="13">
        <f>BY35*VLOOKUP('Données projet'!$B$12,Paramètres!$A$1:$I$89,3,0)*VLOOKUP('Données projet'!$B$12,Paramètres!$A$1:$I$89,5,0)</f>
        <v>116.20440000000004</v>
      </c>
      <c r="CA35" s="13">
        <f t="shared" si="39"/>
        <v>30.788088768016376</v>
      </c>
      <c r="CB35" s="20">
        <f t="shared" si="10"/>
        <v>256.01191793762854</v>
      </c>
      <c r="CC35" s="59">
        <f t="shared" si="11"/>
        <v>549.34525127096185</v>
      </c>
      <c r="CD35" s="59">
        <f ca="1">AVERAGE(OFFSET($CC$3,0,0,'Données projet'!$E$12+1,1))-AVERAGE(OFFSET($H$3,0,0,'Données projet'!$E$12+1,1))</f>
        <v>449.84356201138451</v>
      </c>
      <c r="CE35" s="59">
        <f t="shared" si="40"/>
        <v>306.61893266146666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7.8724263300604731</v>
      </c>
      <c r="CL35" s="21">
        <f>EXP(-LN(2)/25)*CL34+(1-EXP(-LN(2)/25))/(LN(2)/25)*Calculateur!CG35*Calculateur!CI35*VLOOKUP('Données projet'!$B$12,Paramètres!$A$1:$I$89,3,0)*0.475*44/12</f>
        <v>9.9288717121931391</v>
      </c>
      <c r="CM35" s="21">
        <f>EXP(-LN(2)/2)*CM34+(1-EXP(-LN(2)/2))/(LN(2)/2)*CG35*CJ35*VLOOKUP('Données projet'!$B$12,Paramètres!$A$1:$I$89,3,0)*0.475*44/12</f>
        <v>4.7824492957495757</v>
      </c>
      <c r="CN35" s="22">
        <f t="shared" si="12"/>
        <v>22.583747338003189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114.60000000000004</v>
      </c>
      <c r="CU35" s="17">
        <f>CT35*VLOOKUP('Données projet'!$B$13,Paramètres!$A$1:$I$89,3,0)*VLOOKUP('Données projet'!$B$13,Paramètres!$A$1:$I$89,5,0)</f>
        <v>123.35544000000004</v>
      </c>
      <c r="CV35" s="13">
        <f t="shared" si="41"/>
        <v>32.456340035111126</v>
      </c>
      <c r="CW35" s="20">
        <f t="shared" si="13"/>
        <v>271.37218356115193</v>
      </c>
      <c r="CX35" s="59">
        <f t="shared" si="14"/>
        <v>564.7055168944853</v>
      </c>
      <c r="CY35" s="59">
        <f ca="1">AVERAGE(OFFSET($CX$3,0,0,'Données projet'!$E$13+1,1))-AVERAGE(OFFSET($H$3,0,0,'Données projet'!$E$13+1,1))</f>
        <v>475.01366239340246</v>
      </c>
      <c r="CZ35" s="59">
        <f t="shared" si="42"/>
        <v>322.81767004794284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8.356883334987268</v>
      </c>
      <c r="DG35" s="21">
        <f>EXP(-LN(2)/25)*DG34+(1-EXP(-LN(2)/25))/(LN(2)/25)*Calculateur!DB35*Calculateur!DD35*VLOOKUP('Données projet'!$B$13,Paramètres!$A$1:$I$89,3,0)*0.475*44/12</f>
        <v>10.539879202174257</v>
      </c>
      <c r="DH35" s="21">
        <f>EXP(-LN(2)/2)*DH34+(1-EXP(-LN(2)/2))/(LN(2)/2)*DB35*DE35*VLOOKUP('Données projet'!$B$13,Paramètres!$A$1:$I$89,3,0)*0.475*44/12</f>
        <v>5.0767538677957038</v>
      </c>
      <c r="DI35" s="22">
        <f t="shared" si="15"/>
        <v>23.97351640495723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8.6</v>
      </c>
      <c r="DO35" s="12">
        <f>IF('Données projet'!$A$166&gt;35,DO34+DN35-DW34,IF(A35&lt;'Données projet'!$A$166,$DL$205^A35,IF(A35='Données projet'!$A$166,'Données projet'!$B$166,DO34+DN35-DW34)))</f>
        <v>297.20000000000016</v>
      </c>
      <c r="DP35" s="17">
        <f>DO35*VLOOKUP('Données projet'!$B$14,Paramètres!$A$1:$I$89,3,0)*VLOOKUP('Données projet'!$B$14,Paramètres!$A$1:$I$89,5,0)</f>
        <v>268.90656000000013</v>
      </c>
      <c r="DQ35" s="13">
        <f t="shared" si="43"/>
        <v>64.617158945843826</v>
      </c>
      <c r="DR35" s="20">
        <f t="shared" si="16"/>
        <v>580.88714383067816</v>
      </c>
      <c r="DS35" s="59">
        <f t="shared" si="17"/>
        <v>874.22047716401153</v>
      </c>
      <c r="DT35" s="59">
        <f ca="1">AVERAGE(OFFSET($DS$3,0,0,'Données projet'!$E$14+1,1))-AVERAGE(OFFSET($H$3,0,0,'Données projet'!$E$14+1,1))</f>
        <v>436.23918637269577</v>
      </c>
      <c r="DU35" s="59">
        <f t="shared" si="44"/>
        <v>611.43967996341894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3.1661375213249068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2.3602427765041099</v>
      </c>
      <c r="ED35" s="22">
        <f t="shared" si="18"/>
        <v>5.5263802978290162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121.28688000000004</v>
      </c>
      <c r="P36" s="13">
        <f t="shared" si="33"/>
        <v>31.974956333849104</v>
      </c>
      <c r="Q36" s="20">
        <f t="shared" si="53"/>
        <v>266.93103161478729</v>
      </c>
      <c r="R36" s="59">
        <f t="shared" si="0"/>
        <v>560.2643649481206</v>
      </c>
      <c r="S36" s="59">
        <f ca="1">AVERAGE(OFFSET($R$3,0,0,'Données projet'!$E$9+1,1))-AVERAGE(OFFSET($H$3,0,0,'Données projet'!$E$9+1,1))</f>
        <v>430.94515308997018</v>
      </c>
      <c r="T36" s="59">
        <f t="shared" si="34"/>
        <v>294.45557293177131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7.3618350275215851</v>
      </c>
      <c r="AA36" s="21">
        <f>EXP(-LN(2)/25)*AA35+(1-EXP(-LN(2)/25))/(LN(2)/25)*Calculateur!V36*Calculateur!X36*VLOOKUP('Données projet'!$B$9,Paramètres!$A$1:$I$89,3,0)*0.475*44/12</f>
        <v>9.2116415995594778</v>
      </c>
      <c r="AB36" s="21">
        <f>EXP(-LN(2)/2)*AB35+(1-EXP(-LN(2)/2))/(LN(2)/2)*V36*Y36*VLOOKUP('Données projet'!$B$9,Paramètres!$A$1:$I$89,3,0)*0.475*44/12</f>
        <v>3.2256237587343382</v>
      </c>
      <c r="AC36" s="22">
        <f t="shared" si="3"/>
        <v>19.7991003858154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</v>
      </c>
      <c r="AI36" s="13">
        <f>IF('Données projet'!$A$62&gt;35,AI35+AH36-AQ35,IF(A36&lt;'Données projet'!$A$62,$AF$205^A36,IF(A36='Données projet'!$A$62,'Données projet'!$B$62,AI35+AH36-AQ35)))</f>
        <v>173.49999999999989</v>
      </c>
      <c r="AJ36" s="13">
        <f>AI36*VLOOKUP('Données projet'!$B$10,Paramètres!$A$1:$I$89,3,0)*VLOOKUP('Données projet'!$B$10,Paramètres!$A$1:$I$89,5,0)</f>
        <v>81.197999999999951</v>
      </c>
      <c r="AK36" s="13">
        <f t="shared" si="35"/>
        <v>22.429847477648512</v>
      </c>
      <c r="AL36" s="20">
        <f t="shared" si="4"/>
        <v>180.48516769023772</v>
      </c>
      <c r="AM36" s="59">
        <f t="shared" si="5"/>
        <v>473.818501023571</v>
      </c>
      <c r="AN36" s="59">
        <f ca="1">AVERAGE(OFFSET($AM$3,0,0,'Données projet'!$E$10+1,1))-AVERAGE(OFFSET($H$3,0,0,'Données projet'!$E$10+1,1))</f>
        <v>319.22903094674564</v>
      </c>
      <c r="AO36" s="59">
        <f t="shared" si="36"/>
        <v>254.58690973142848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8.5526345186466646</v>
      </c>
      <c r="AV36" s="21">
        <f>EXP(-LN(2)/25)*AV35+(1-EXP(-LN(2)/25))/(LN(2)/25)*Calculateur!AQ36*Calculateur!AS36*VLOOKUP('Données projet'!$B$10,Paramètres!$A$1:$I$89,3,0)*0.475*44/12</f>
        <v>10.261307151561583</v>
      </c>
      <c r="AW36" s="21">
        <f>EXP(-LN(2)/2)*AW35+(1-EXP(-LN(2)/2))/(LN(2)/2)*AQ36*AT36*VLOOKUP('Données projet'!$B$10,Paramètres!$A$1:$I$89,3,0)*0.475*44/12</f>
        <v>3.9043355747018973</v>
      </c>
      <c r="AX36" s="21">
        <f t="shared" si="6"/>
        <v>22.718277244910144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10.4</v>
      </c>
      <c r="BD36" s="12">
        <f>IF('Données projet'!$A$88&gt;35,BD35+BC36-BL35,IF(A36&lt;'Données projet'!$A$88,$BA$205^A36,IF(A36='Données projet'!$A$88,'Données projet'!$B$88,BD35+BC36-BL35)))</f>
        <v>168.20000000000002</v>
      </c>
      <c r="BE36" s="13">
        <f>BD36*VLOOKUP('Données projet'!$B$11,Paramètres!$A$1:$I$89,3,0)*VLOOKUP('Données projet'!$B$11,Paramètres!$A$1:$I$89,5,0)</f>
        <v>146.93952000000004</v>
      </c>
      <c r="BF36" s="13">
        <f t="shared" si="37"/>
        <v>37.882248330654257</v>
      </c>
      <c r="BG36" s="20">
        <f t="shared" si="7"/>
        <v>321.89791317588953</v>
      </c>
      <c r="BH36" s="59">
        <f t="shared" si="8"/>
        <v>615.23124650922284</v>
      </c>
      <c r="BI36" s="59">
        <f ca="1">AVERAGE(OFFSET($BH$3,0,0,'Données projet'!$E$11+1,1))-AVERAGE(OFFSET($H$3,0,0,'Données projet'!$E$11+1,1))</f>
        <v>395.21779046720553</v>
      </c>
      <c r="BJ36" s="59">
        <f t="shared" si="38"/>
        <v>360.05900046417361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4.5340465894257411</v>
      </c>
      <c r="BQ36" s="21">
        <f>EXP(-LN(2)/25)*BQ35+(1-EXP(-LN(2)/25))/(LN(2)/25)*Calculateur!BL36*Calculateur!BN36*VLOOKUP('Données projet'!$B$11,Paramètres!$A$1:$I$89,3,0)*0.475*44/12</f>
        <v>10.379863979180003</v>
      </c>
      <c r="BR36" s="21">
        <f>EXP(-LN(2)/2)*BR35+(1-EXP(-LN(2)/2))/(LN(2)/2)*BL36*BO36*VLOOKUP('Données projet'!$B$11,Paramètres!$A$1:$I$89,3,0)*0.475*44/12</f>
        <v>2.4739919060590649</v>
      </c>
      <c r="BS36" s="22">
        <f t="shared" si="9"/>
        <v>17.387902474664809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125.40000000000003</v>
      </c>
      <c r="BZ36" s="13">
        <f>BY36*VLOOKUP('Données projet'!$B$12,Paramètres!$A$1:$I$89,3,0)*VLOOKUP('Données projet'!$B$12,Paramètres!$A$1:$I$89,5,0)</f>
        <v>127.15560000000004</v>
      </c>
      <c r="CA36" s="13">
        <f t="shared" si="39"/>
        <v>33.338258149231912</v>
      </c>
      <c r="CB36" s="20">
        <f t="shared" si="10"/>
        <v>279.52680294324563</v>
      </c>
      <c r="CC36" s="59">
        <f t="shared" si="11"/>
        <v>572.86013627657894</v>
      </c>
      <c r="CD36" s="59">
        <f ca="1">AVERAGE(OFFSET($CC$3,0,0,'Données projet'!$E$12+1,1))-AVERAGE(OFFSET($H$3,0,0,'Données projet'!$E$12+1,1))</f>
        <v>449.84356201138451</v>
      </c>
      <c r="CE36" s="59">
        <f t="shared" si="40"/>
        <v>306.61893266146666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7.7180528514339191</v>
      </c>
      <c r="CL36" s="21">
        <f>EXP(-LN(2)/25)*CL35+(1-EXP(-LN(2)/25))/(LN(2)/25)*Calculateur!CG36*Calculateur!CI36*VLOOKUP('Données projet'!$B$12,Paramètres!$A$1:$I$89,3,0)*0.475*44/12</f>
        <v>9.6573661930865473</v>
      </c>
      <c r="CM36" s="21">
        <f>EXP(-LN(2)/2)*CM35+(1-EXP(-LN(2)/2))/(LN(2)/2)*CG36*CJ36*VLOOKUP('Données projet'!$B$12,Paramètres!$A$1:$I$89,3,0)*0.475*44/12</f>
        <v>3.3817023277053537</v>
      </c>
      <c r="CN36" s="22">
        <f t="shared" si="12"/>
        <v>20.757121372225821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125.40000000000003</v>
      </c>
      <c r="CU36" s="17">
        <f>CT36*VLOOKUP('Données projet'!$B$13,Paramètres!$A$1:$I$89,3,0)*VLOOKUP('Données projet'!$B$13,Paramètres!$A$1:$I$89,5,0)</f>
        <v>134.98056000000003</v>
      </c>
      <c r="CV36" s="13">
        <f t="shared" si="41"/>
        <v>35.144690234680603</v>
      </c>
      <c r="CW36" s="20">
        <f t="shared" si="13"/>
        <v>296.30147749206873</v>
      </c>
      <c r="CX36" s="59">
        <f t="shared" si="14"/>
        <v>589.63481082540204</v>
      </c>
      <c r="CY36" s="59">
        <f ca="1">AVERAGE(OFFSET($CX$3,0,0,'Données projet'!$E$13+1,1))-AVERAGE(OFFSET($H$3,0,0,'Données projet'!$E$13+1,1))</f>
        <v>475.01366239340246</v>
      </c>
      <c r="CZ36" s="59">
        <f t="shared" si="42"/>
        <v>322.81767004794284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8.1930099499836953</v>
      </c>
      <c r="DG36" s="21">
        <f>EXP(-LN(2)/25)*DG35+(1-EXP(-LN(2)/25))/(LN(2)/25)*Calculateur!DB36*Calculateur!DD36*VLOOKUP('Données projet'!$B$13,Paramètres!$A$1:$I$89,3,0)*0.475*44/12</f>
        <v>10.251665651122643</v>
      </c>
      <c r="DH36" s="21">
        <f>EXP(-LN(2)/2)*DH35+(1-EXP(-LN(2)/2))/(LN(2)/2)*DB36*DE36*VLOOKUP('Données projet'!$B$13,Paramètres!$A$1:$I$89,3,0)*0.475*44/12</f>
        <v>3.589807086333376</v>
      </c>
      <c r="DI36" s="22">
        <f t="shared" si="15"/>
        <v>22.034482687439716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8.6</v>
      </c>
      <c r="DO36" s="12">
        <f>IF('Données projet'!$A$166&gt;35,DO35+DN36-DW35,IF(A36&lt;'Données projet'!$A$166,$DL$205^A36,IF(A36='Données projet'!$A$166,'Données projet'!$B$166,DO35+DN36-DW35)))</f>
        <v>305.80000000000018</v>
      </c>
      <c r="DP36" s="17">
        <f>DO36*VLOOKUP('Données projet'!$B$14,Paramètres!$A$1:$I$89,3,0)*VLOOKUP('Données projet'!$B$14,Paramètres!$A$1:$I$89,5,0)</f>
        <v>276.68784000000016</v>
      </c>
      <c r="DQ36" s="13">
        <f t="shared" si="43"/>
        <v>66.266570237082931</v>
      </c>
      <c r="DR36" s="20">
        <f t="shared" si="16"/>
        <v>597.31226449625308</v>
      </c>
      <c r="DS36" s="59">
        <f t="shared" si="17"/>
        <v>890.64559782958645</v>
      </c>
      <c r="DT36" s="59">
        <f ca="1">AVERAGE(OFFSET($DS$3,0,0,'Données projet'!$E$14+1,1))-AVERAGE(OFFSET($H$3,0,0,'Données projet'!$E$14+1,1))</f>
        <v>436.23918637269577</v>
      </c>
      <c r="DU36" s="59">
        <f t="shared" si="44"/>
        <v>611.43967996341894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3.1040514956849279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1.6689436725126212</v>
      </c>
      <c r="ED36" s="22">
        <f t="shared" si="18"/>
        <v>4.7729951681975491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131.73264000000006</v>
      </c>
      <c r="P37" s="13">
        <f t="shared" si="33"/>
        <v>34.396412537492502</v>
      </c>
      <c r="Q37" s="20">
        <f t="shared" si="53"/>
        <v>289.3414331694662</v>
      </c>
      <c r="R37" s="59">
        <f t="shared" si="0"/>
        <v>582.67476650279946</v>
      </c>
      <c r="S37" s="59">
        <f ca="1">AVERAGE(OFFSET($R$3,0,0,'Données projet'!$E$9+1,1))-AVERAGE(OFFSET($H$3,0,0,'Données projet'!$E$9+1,1))</f>
        <v>430.94515308997018</v>
      </c>
      <c r="T37" s="59">
        <f t="shared" si="34"/>
        <v>294.45557293177131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7.2174739329078754</v>
      </c>
      <c r="AA37" s="21">
        <f>EXP(-LN(2)/25)*AA36+(1-EXP(-LN(2)/25))/(LN(2)/25)*Calculateur!V37*Calculateur!X37*VLOOKUP('Données projet'!$B$9,Paramètres!$A$1:$I$89,3,0)*0.475*44/12</f>
        <v>8.959748775600346</v>
      </c>
      <c r="AB37" s="21">
        <f>EXP(-LN(2)/2)*AB36+(1-EXP(-LN(2)/2))/(LN(2)/2)*V37*Y37*VLOOKUP('Données projet'!$B$9,Paramètres!$A$1:$I$89,3,0)*0.475*44/12</f>
        <v>2.2808604333574909</v>
      </c>
      <c r="AC37" s="22">
        <f t="shared" si="3"/>
        <v>18.458083141865714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</v>
      </c>
      <c r="AI37" s="13">
        <f>IF('Données projet'!$A$62&gt;35,AI36+AH37-AQ36,IF(A37&lt;'Données projet'!$A$62,$AF$205^A37,IF(A37='Données projet'!$A$62,'Données projet'!$B$62,AI36+AH37-AQ36)))</f>
        <v>183.49999999999989</v>
      </c>
      <c r="AJ37" s="13">
        <f>AI37*VLOOKUP('Données projet'!$B$10,Paramètres!$A$1:$I$89,3,0)*VLOOKUP('Données projet'!$B$10,Paramètres!$A$1:$I$89,5,0)</f>
        <v>85.877999999999957</v>
      </c>
      <c r="AK37" s="13">
        <f t="shared" si="35"/>
        <v>23.56840165498652</v>
      </c>
      <c r="AL37" s="20">
        <f t="shared" si="4"/>
        <v>190.61914954910142</v>
      </c>
      <c r="AM37" s="59">
        <f t="shared" si="5"/>
        <v>483.95248288243477</v>
      </c>
      <c r="AN37" s="59">
        <f ca="1">AVERAGE(OFFSET($AM$3,0,0,'Données projet'!$E$10+1,1))-AVERAGE(OFFSET($H$3,0,0,'Données projet'!$E$10+1,1))</f>
        <v>319.22903094674564</v>
      </c>
      <c r="AO37" s="59">
        <f t="shared" si="36"/>
        <v>254.58690973142848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8.3849225723279641</v>
      </c>
      <c r="AV37" s="21">
        <f>EXP(-LN(2)/25)*AV36+(1-EXP(-LN(2)/25))/(LN(2)/25)*Calculateur!AQ37*Calculateur!AS37*VLOOKUP('Données projet'!$B$10,Paramètres!$A$1:$I$89,3,0)*0.475*44/12</f>
        <v>9.9807111678834417</v>
      </c>
      <c r="AW37" s="21">
        <f>EXP(-LN(2)/2)*AW36+(1-EXP(-LN(2)/2))/(LN(2)/2)*AQ37*AT37*VLOOKUP('Données projet'!$B$10,Paramètres!$A$1:$I$89,3,0)*0.475*44/12</f>
        <v>2.7607821608995882</v>
      </c>
      <c r="AX37" s="21">
        <f t="shared" si="6"/>
        <v>21.126415901110995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10.4</v>
      </c>
      <c r="BD37" s="12">
        <f>IF('Données projet'!$A$88&gt;35,BD36+BC37-BL36,IF(A37&lt;'Données projet'!$A$88,$BA$205^A37,IF(A37='Données projet'!$A$88,'Données projet'!$B$88,BD36+BC37-BL36)))</f>
        <v>178.60000000000002</v>
      </c>
      <c r="BE37" s="13">
        <f>BD37*VLOOKUP('Données projet'!$B$11,Paramètres!$A$1:$I$89,3,0)*VLOOKUP('Données projet'!$B$11,Paramètres!$A$1:$I$89,5,0)</f>
        <v>156.02496000000005</v>
      </c>
      <c r="BF37" s="13">
        <f t="shared" si="37"/>
        <v>39.944625507905997</v>
      </c>
      <c r="BG37" s="20">
        <f t="shared" si="7"/>
        <v>341.31369475960304</v>
      </c>
      <c r="BH37" s="59">
        <f t="shared" si="8"/>
        <v>634.64702809293635</v>
      </c>
      <c r="BI37" s="59">
        <f ca="1">AVERAGE(OFFSET($BH$3,0,0,'Données projet'!$E$11+1,1))-AVERAGE(OFFSET($H$3,0,0,'Données projet'!$E$11+1,1))</f>
        <v>395.21779046720553</v>
      </c>
      <c r="BJ37" s="59">
        <f t="shared" si="38"/>
        <v>360.05900046417361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4.4451367013024523</v>
      </c>
      <c r="BQ37" s="21">
        <f>EXP(-LN(2)/25)*BQ36+(1-EXP(-LN(2)/25))/(LN(2)/25)*Calculateur!BL37*Calculateur!BN37*VLOOKUP('Données projet'!$B$11,Paramètres!$A$1:$I$89,3,0)*0.475*44/12</f>
        <v>10.096026052816002</v>
      </c>
      <c r="BR37" s="21">
        <f>EXP(-LN(2)/2)*BR36+(1-EXP(-LN(2)/2))/(LN(2)/2)*BL37*BO37*VLOOKUP('Données projet'!$B$11,Paramètres!$A$1:$I$89,3,0)*0.475*44/12</f>
        <v>1.7493764533749969</v>
      </c>
      <c r="BS37" s="22">
        <f t="shared" si="9"/>
        <v>16.290539207493453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136.20000000000005</v>
      </c>
      <c r="BZ37" s="13">
        <f>BY37*VLOOKUP('Données projet'!$B$12,Paramètres!$A$1:$I$89,3,0)*VLOOKUP('Données projet'!$B$12,Paramètres!$A$1:$I$89,5,0)</f>
        <v>138.10680000000005</v>
      </c>
      <c r="CA37" s="13">
        <f t="shared" si="39"/>
        <v>35.862956890686135</v>
      </c>
      <c r="CB37" s="20">
        <f t="shared" si="10"/>
        <v>302.99732658461176</v>
      </c>
      <c r="CC37" s="59">
        <f t="shared" si="11"/>
        <v>596.33065991794501</v>
      </c>
      <c r="CD37" s="59">
        <f ca="1">AVERAGE(OFFSET($CC$3,0,0,'Données projet'!$E$12+1,1))-AVERAGE(OFFSET($H$3,0,0,'Données projet'!$E$12+1,1))</f>
        <v>449.84356201138451</v>
      </c>
      <c r="CE37" s="59">
        <f t="shared" si="40"/>
        <v>306.61893266146666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7.5667065425647078</v>
      </c>
      <c r="CL37" s="21">
        <f>EXP(-LN(2)/25)*CL36+(1-EXP(-LN(2)/25))/(LN(2)/25)*Calculateur!CG37*Calculateur!CI37*VLOOKUP('Données projet'!$B$12,Paramètres!$A$1:$I$89,3,0)*0.475*44/12</f>
        <v>9.3932850066777807</v>
      </c>
      <c r="CM37" s="21">
        <f>EXP(-LN(2)/2)*CM36+(1-EXP(-LN(2)/2))/(LN(2)/2)*CG37*CJ37*VLOOKUP('Données projet'!$B$12,Paramètres!$A$1:$I$89,3,0)*0.475*44/12</f>
        <v>2.3912246478747883</v>
      </c>
      <c r="CN37" s="22">
        <f t="shared" si="12"/>
        <v>19.351216197117278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136.20000000000005</v>
      </c>
      <c r="CU37" s="17">
        <f>CT37*VLOOKUP('Données projet'!$B$13,Paramètres!$A$1:$I$89,3,0)*VLOOKUP('Données projet'!$B$13,Paramètres!$A$1:$I$89,5,0)</f>
        <v>146.60568000000004</v>
      </c>
      <c r="CV37" s="13">
        <f t="shared" si="41"/>
        <v>37.806189668967654</v>
      </c>
      <c r="CW37" s="20">
        <f t="shared" si="13"/>
        <v>321.18400634011869</v>
      </c>
      <c r="CX37" s="59">
        <f t="shared" si="14"/>
        <v>614.51733967345194</v>
      </c>
      <c r="CY37" s="59">
        <f ca="1">AVERAGE(OFFSET($CX$3,0,0,'Données projet'!$E$13+1,1))-AVERAGE(OFFSET($H$3,0,0,'Données projet'!$E$13+1,1))</f>
        <v>475.01366239340246</v>
      </c>
      <c r="CZ37" s="59">
        <f t="shared" si="42"/>
        <v>322.81767004794284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8.0323500221071473</v>
      </c>
      <c r="DG37" s="21">
        <f>EXP(-LN(2)/25)*DG36+(1-EXP(-LN(2)/25))/(LN(2)/25)*Calculateur!DB37*Calculateur!DD37*VLOOKUP('Données projet'!$B$13,Paramètres!$A$1:$I$89,3,0)*0.475*44/12</f>
        <v>9.9713333147810275</v>
      </c>
      <c r="DH37" s="21">
        <f>EXP(-LN(2)/2)*DH36+(1-EXP(-LN(2)/2))/(LN(2)/2)*DB37*DE37*VLOOKUP('Données projet'!$B$13,Paramètres!$A$1:$I$89,3,0)*0.475*44/12</f>
        <v>2.5383769338978523</v>
      </c>
      <c r="DI37" s="22">
        <f t="shared" si="15"/>
        <v>20.542060270786024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8.6</v>
      </c>
      <c r="DO37" s="12">
        <f>IF('Données projet'!$A$166&gt;35,DO36+DN37-DW36,IF(A37&lt;'Données projet'!$A$166,$DL$205^A37,IF(A37='Données projet'!$A$166,'Données projet'!$B$166,DO36+DN37-DW36)))</f>
        <v>314.4000000000002</v>
      </c>
      <c r="DP37" s="17">
        <f>DO37*VLOOKUP('Données projet'!$B$14,Paramètres!$A$1:$I$89,3,0)*VLOOKUP('Données projet'!$B$14,Paramètres!$A$1:$I$89,5,0)</f>
        <v>284.4691200000002</v>
      </c>
      <c r="DQ37" s="13">
        <f t="shared" si="43"/>
        <v>67.910590237379097</v>
      </c>
      <c r="DR37" s="20">
        <f t="shared" si="16"/>
        <v>613.72799533010232</v>
      </c>
      <c r="DS37" s="59">
        <f t="shared" si="17"/>
        <v>907.06132866343569</v>
      </c>
      <c r="DT37" s="59">
        <f ca="1">AVERAGE(OFFSET($DS$3,0,0,'Données projet'!$E$14+1,1))-AVERAGE(OFFSET($H$3,0,0,'Données projet'!$E$14+1,1))</f>
        <v>436.23918637269577</v>
      </c>
      <c r="DU37" s="59">
        <f t="shared" si="44"/>
        <v>611.43967996341894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3.0431829391390126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1.1801213882520551</v>
      </c>
      <c r="ED37" s="22">
        <f t="shared" si="18"/>
        <v>4.2233043273910678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142.17840000000004</v>
      </c>
      <c r="P38" s="13">
        <f t="shared" si="33"/>
        <v>36.795597013009356</v>
      </c>
      <c r="Q38" s="20">
        <f t="shared" si="53"/>
        <v>311.71304479765803</v>
      </c>
      <c r="R38" s="59">
        <f t="shared" si="0"/>
        <v>605.04637813099134</v>
      </c>
      <c r="S38" s="59">
        <f ca="1">AVERAGE(OFFSET($R$3,0,0,'Données projet'!$E$9+1,1))-AVERAGE(OFFSET($H$3,0,0,'Données projet'!$E$9+1,1))</f>
        <v>430.94515308997018</v>
      </c>
      <c r="T38" s="59">
        <f t="shared" si="34"/>
        <v>294.45557293177131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7.0759436713079671</v>
      </c>
      <c r="AA38" s="21">
        <f>EXP(-LN(2)/25)*AA37+(1-EXP(-LN(2)/25))/(LN(2)/25)*Calculateur!V38*Calculateur!X38*VLOOKUP('Données projet'!$B$9,Paramètres!$A$1:$I$89,3,0)*0.475*44/12</f>
        <v>8.7147439741588446</v>
      </c>
      <c r="AB38" s="21">
        <f>EXP(-LN(2)/2)*AB37+(1-EXP(-LN(2)/2))/(LN(2)/2)*V38*Y38*VLOOKUP('Données projet'!$B$9,Paramètres!$A$1:$I$89,3,0)*0.475*44/12</f>
        <v>1.6128118793671693</v>
      </c>
      <c r="AC38" s="22">
        <f t="shared" si="3"/>
        <v>17.403499524833979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</v>
      </c>
      <c r="AI38" s="13">
        <f>IF('Données projet'!$A$62&gt;35,AI37+AH38-AQ37,IF(A38&lt;'Données projet'!$A$62,$AF$205^A38,IF(A38='Données projet'!$A$62,'Données projet'!$B$62,AI37+AH38-AQ37)))</f>
        <v>193.49999999999989</v>
      </c>
      <c r="AJ38" s="13">
        <f>AI38*VLOOKUP('Données projet'!$B$10,Paramètres!$A$1:$I$89,3,0)*VLOOKUP('Données projet'!$B$10,Paramètres!$A$1:$I$89,5,0)</f>
        <v>90.55799999999995</v>
      </c>
      <c r="AK38" s="13">
        <f t="shared" si="35"/>
        <v>24.699752708509138</v>
      </c>
      <c r="AL38" s="20">
        <f t="shared" si="4"/>
        <v>200.74058596732002</v>
      </c>
      <c r="AM38" s="59">
        <f t="shared" si="5"/>
        <v>494.0739193006533</v>
      </c>
      <c r="AN38" s="59">
        <f ca="1">AVERAGE(OFFSET($AM$3,0,0,'Données projet'!$E$10+1,1))-AVERAGE(OFFSET($H$3,0,0,'Données projet'!$E$10+1,1))</f>
        <v>319.22903094674564</v>
      </c>
      <c r="AO38" s="59">
        <f t="shared" si="36"/>
        <v>254.58690973142848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8.2204993549823868</v>
      </c>
      <c r="AV38" s="21">
        <f>EXP(-LN(2)/25)*AV37+(1-EXP(-LN(2)/25))/(LN(2)/25)*Calculateur!AQ38*Calculateur!AS38*VLOOKUP('Données projet'!$B$10,Paramètres!$A$1:$I$89,3,0)*0.475*44/12</f>
        <v>9.7077880961348804</v>
      </c>
      <c r="AW38" s="21">
        <f>EXP(-LN(2)/2)*AW37+(1-EXP(-LN(2)/2))/(LN(2)/2)*AQ38*AT38*VLOOKUP('Données projet'!$B$10,Paramètres!$A$1:$I$89,3,0)*0.475*44/12</f>
        <v>1.9521677873509491</v>
      </c>
      <c r="AX38" s="21">
        <f t="shared" si="6"/>
        <v>19.880455238468215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189</v>
      </c>
      <c r="BB38" s="12">
        <f>VLOOKUP(A38,'Données projet'!$A$87:$I$107,9,0)</f>
        <v>10.4</v>
      </c>
      <c r="BC38" s="12">
        <f t="array" ref="BC38">INDEX(BB:BB,MIN(IF(ISNUMBER(BB38:BB234),ROW(BB38:BB234),"")))</f>
        <v>10.4</v>
      </c>
      <c r="BD38" s="12">
        <f>IF('Données projet'!$A$88&gt;35,BD37+BC38-BL37,IF(A38&lt;'Données projet'!$A$88,$BA$205^A38,IF(A38='Données projet'!$A$88,'Données projet'!$B$88,BD37+BC38-BL37)))</f>
        <v>189.00000000000003</v>
      </c>
      <c r="BE38" s="13">
        <f>BD38*VLOOKUP('Données projet'!$B$11,Paramètres!$A$1:$I$89,3,0)*VLOOKUP('Données projet'!$B$11,Paramètres!$A$1:$I$89,5,0)</f>
        <v>165.11040000000006</v>
      </c>
      <c r="BF38" s="13">
        <f t="shared" si="37"/>
        <v>41.993062739333482</v>
      </c>
      <c r="BG38" s="20">
        <f t="shared" si="7"/>
        <v>360.70519760433922</v>
      </c>
      <c r="BH38" s="59">
        <f t="shared" si="8"/>
        <v>654.03853093767248</v>
      </c>
      <c r="BI38" s="59">
        <f ca="1">AVERAGE(OFFSET($BH$3,0,0,'Données projet'!$E$11+1,1))-AVERAGE(OFFSET($H$3,0,0,'Données projet'!$E$11+1,1))</f>
        <v>395.21779046720553</v>
      </c>
      <c r="BJ38" s="59">
        <f t="shared" si="38"/>
        <v>360.05900046417361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32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4.3579702818555841</v>
      </c>
      <c r="BQ38" s="21">
        <f>EXP(-LN(2)/25)*BQ37+(1-EXP(-LN(2)/25))/(LN(2)/25)*Calculateur!BL38*Calculateur!BN38*VLOOKUP('Données projet'!$B$11,Paramètres!$A$1:$I$89,3,0)*0.475*44/12</f>
        <v>9.8199496894748126</v>
      </c>
      <c r="BR38" s="21">
        <f>EXP(-LN(2)/2)*BR37+(1-EXP(-LN(2)/2))/(LN(2)/2)*BL38*BO38*VLOOKUP('Données projet'!$B$11,Paramètres!$A$1:$I$89,3,0)*0.475*44/12</f>
        <v>1.2369959530295327</v>
      </c>
      <c r="BS38" s="22">
        <f t="shared" si="9"/>
        <v>15.41491592435993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147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147.00000000000006</v>
      </c>
      <c r="BZ38" s="13">
        <f>BY38*VLOOKUP('Données projet'!$B$12,Paramètres!$A$1:$I$89,3,0)*VLOOKUP('Données projet'!$B$12,Paramètres!$A$1:$I$89,5,0)</f>
        <v>149.05800000000008</v>
      </c>
      <c r="CA38" s="13">
        <f t="shared" si="39"/>
        <v>38.364434314370335</v>
      </c>
      <c r="CB38" s="20">
        <f t="shared" si="10"/>
        <v>326.42740643086182</v>
      </c>
      <c r="CC38" s="59">
        <f t="shared" si="11"/>
        <v>619.76073976419514</v>
      </c>
      <c r="CD38" s="59">
        <f ca="1">AVERAGE(OFFSET($CC$3,0,0,'Données projet'!$E$12+1,1))-AVERAGE(OFFSET($H$3,0,0,'Données projet'!$E$12+1,1))</f>
        <v>449.84356201138451</v>
      </c>
      <c r="CE38" s="59">
        <f t="shared" si="40"/>
        <v>306.61893266146666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7.4183280425002884</v>
      </c>
      <c r="CL38" s="21">
        <f>EXP(-LN(2)/25)*CL37+(1-EXP(-LN(2)/25))/(LN(2)/25)*Calculateur!CG38*Calculateur!CI38*VLOOKUP('Données projet'!$B$12,Paramètres!$A$1:$I$89,3,0)*0.475*44/12</f>
        <v>9.1364251341987863</v>
      </c>
      <c r="CM38" s="21">
        <f>EXP(-LN(2)/2)*CM37+(1-EXP(-LN(2)/2))/(LN(2)/2)*CG38*CJ38*VLOOKUP('Données projet'!$B$12,Paramètres!$A$1:$I$89,3,0)*0.475*44/12</f>
        <v>1.6908511638526771</v>
      </c>
      <c r="CN38" s="22">
        <f t="shared" si="12"/>
        <v>18.245604340551751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147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147.00000000000006</v>
      </c>
      <c r="CU38" s="17">
        <f>CT38*VLOOKUP('Données projet'!$B$13,Paramètres!$A$1:$I$89,3,0)*VLOOKUP('Données projet'!$B$13,Paramètres!$A$1:$I$89,5,0)</f>
        <v>158.23080000000007</v>
      </c>
      <c r="CV38" s="13">
        <f t="shared" si="41"/>
        <v>40.443209539379019</v>
      </c>
      <c r="CW38" s="20">
        <f t="shared" si="13"/>
        <v>346.02389994775189</v>
      </c>
      <c r="CX38" s="59">
        <f t="shared" si="14"/>
        <v>639.3572332810852</v>
      </c>
      <c r="CY38" s="59">
        <f ca="1">AVERAGE(OFFSET($CX$3,0,0,'Données projet'!$E$13+1,1))-AVERAGE(OFFSET($H$3,0,0,'Données projet'!$E$13+1,1))</f>
        <v>475.01366239340246</v>
      </c>
      <c r="CZ38" s="59">
        <f t="shared" si="42"/>
        <v>322.81767004794284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7.8748405374233785</v>
      </c>
      <c r="DG38" s="21">
        <f>EXP(-LN(2)/25)*DG37+(1-EXP(-LN(2)/25))/(LN(2)/25)*Calculateur!DB38*Calculateur!DD38*VLOOKUP('Données projet'!$B$13,Paramètres!$A$1:$I$89,3,0)*0.475*44/12</f>
        <v>9.698666680918711</v>
      </c>
      <c r="DH38" s="21">
        <f>EXP(-LN(2)/2)*DH37+(1-EXP(-LN(2)/2))/(LN(2)/2)*DB38*DE38*VLOOKUP('Données projet'!$B$13,Paramètres!$A$1:$I$89,3,0)*0.475*44/12</f>
        <v>1.7949035431666882</v>
      </c>
      <c r="DI38" s="22">
        <f t="shared" si="15"/>
        <v>19.368410761508777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323</v>
      </c>
      <c r="DM38" s="12">
        <f>VLOOKUP(A38,'Données projet'!$A$165:$I$185,9,0)</f>
        <v>8.6</v>
      </c>
      <c r="DN38" s="12">
        <f t="array" ref="DN38">INDEX(DM:DM,MIN(IF(ISNUMBER(DM38:DM234),ROW(DM38:DM234),"")))</f>
        <v>8.6</v>
      </c>
      <c r="DO38" s="12">
        <f>IF('Données projet'!$A$166&gt;35,DO37+DN38-DW37,IF(A38&lt;'Données projet'!$A$166,$DL$205^A38,IF(A38='Données projet'!$A$166,'Données projet'!$B$166,DO37+DN38-DW37)))</f>
        <v>323.00000000000023</v>
      </c>
      <c r="DP38" s="17">
        <f>DO38*VLOOKUP('Données projet'!$B$14,Paramètres!$A$1:$I$89,3,0)*VLOOKUP('Données projet'!$B$14,Paramètres!$A$1:$I$89,5,0)</f>
        <v>292.25040000000018</v>
      </c>
      <c r="DQ38" s="13">
        <f t="shared" si="43"/>
        <v>69.549383363839993</v>
      </c>
      <c r="DR38" s="20">
        <f t="shared" si="16"/>
        <v>630.13462269202159</v>
      </c>
      <c r="DS38" s="59">
        <f t="shared" si="17"/>
        <v>923.46795602535485</v>
      </c>
      <c r="DT38" s="59">
        <f ca="1">AVERAGE(OFFSET($DS$3,0,0,'Données projet'!$E$14+1,1))-AVERAGE(OFFSET($H$3,0,0,'Données projet'!$E$14+1,1))</f>
        <v>436.23918637269577</v>
      </c>
      <c r="DU38" s="59">
        <f t="shared" si="44"/>
        <v>611.43967996341894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11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2.9835079778608091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0.83447183625631072</v>
      </c>
      <c r="ED38" s="22">
        <f t="shared" si="18"/>
        <v>3.8179798141171197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125.92944000000006</v>
      </c>
      <c r="P39" s="13">
        <f t="shared" si="33"/>
        <v>33.054038034052077</v>
      </c>
      <c r="Q39" s="20">
        <f t="shared" si="53"/>
        <v>276.89622424264081</v>
      </c>
      <c r="R39" s="59">
        <f t="shared" si="0"/>
        <v>570.22955757597413</v>
      </c>
      <c r="S39" s="59">
        <f ca="1">AVERAGE(OFFSET($R$3,0,0,'Données projet'!$E$9+1,1))-AVERAGE(OFFSET($H$3,0,0,'Données projet'!$E$9+1,1))</f>
        <v>430.94515308997018</v>
      </c>
      <c r="T39" s="59">
        <f t="shared" si="34"/>
        <v>294.45557293177131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6.937188731813098</v>
      </c>
      <c r="AA39" s="21">
        <f>EXP(-LN(2)/25)*AA38+(1-EXP(-LN(2)/25))/(LN(2)/25)*Calculateur!V39*Calculateur!X39*VLOOKUP('Données projet'!$B$9,Paramètres!$A$1:$I$89,3,0)*0.475*44/12</f>
        <v>8.4764388418970036</v>
      </c>
      <c r="AB39" s="21">
        <f>EXP(-LN(2)/2)*AB38+(1-EXP(-LN(2)/2))/(LN(2)/2)*V39*Y39*VLOOKUP('Données projet'!$B$9,Paramètres!$A$1:$I$89,3,0)*0.475*44/12</f>
        <v>1.1404302166787454</v>
      </c>
      <c r="AC39" s="22">
        <f t="shared" si="3"/>
        <v>16.554057790388846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</v>
      </c>
      <c r="AI39" s="13">
        <f>IF('Données projet'!$A$62&gt;35,AI38+AH39-AQ38,IF(A39&lt;'Données projet'!$A$62,$AF$205^A39,IF(A39='Données projet'!$A$62,'Données projet'!$B$62,AI38+AH39-AQ38)))</f>
        <v>203.49999999999989</v>
      </c>
      <c r="AJ39" s="13">
        <f>AI39*VLOOKUP('Données projet'!$B$10,Paramètres!$A$1:$I$89,3,0)*VLOOKUP('Données projet'!$B$10,Paramètres!$A$1:$I$89,5,0)</f>
        <v>95.237999999999957</v>
      </c>
      <c r="AK39" s="13">
        <f t="shared" si="35"/>
        <v>25.824315354051119</v>
      </c>
      <c r="AL39" s="20">
        <f t="shared" si="4"/>
        <v>210.85019924163896</v>
      </c>
      <c r="AM39" s="59">
        <f t="shared" si="5"/>
        <v>504.18353257497228</v>
      </c>
      <c r="AN39" s="59">
        <f ca="1">AVERAGE(OFFSET($AM$3,0,0,'Données projet'!$E$10+1,1))-AVERAGE(OFFSET($H$3,0,0,'Données projet'!$E$10+1,1))</f>
        <v>319.22903094674564</v>
      </c>
      <c r="AO39" s="59">
        <f t="shared" si="36"/>
        <v>254.58690973142848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8.0593003766406959</v>
      </c>
      <c r="AV39" s="21">
        <f>EXP(-LN(2)/25)*AV38+(1-EXP(-LN(2)/25))/(LN(2)/25)*Calculateur!AQ39*Calculateur!AS39*VLOOKUP('Données projet'!$B$10,Paramètres!$A$1:$I$89,3,0)*0.475*44/12</f>
        <v>9.4423281201356843</v>
      </c>
      <c r="AW39" s="21">
        <f>EXP(-LN(2)/2)*AW38+(1-EXP(-LN(2)/2))/(LN(2)/2)*AQ39*AT39*VLOOKUP('Données projet'!$B$10,Paramètres!$A$1:$I$89,3,0)*0.475*44/12</f>
        <v>1.3803910804497943</v>
      </c>
      <c r="AX39" s="21">
        <f t="shared" si="6"/>
        <v>18.882019577226174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9.8000000000000007</v>
      </c>
      <c r="BD39" s="12">
        <f>IF('Données projet'!$A$88&gt;35,BD38+BC39-BL38,IF(A39&lt;'Données projet'!$A$88,$BA$205^A39,IF(A39='Données projet'!$A$88,'Données projet'!$B$88,BD38+BC39-BL38)))</f>
        <v>166.80000000000004</v>
      </c>
      <c r="BE39" s="13">
        <f>BD39*VLOOKUP('Données projet'!$B$11,Paramètres!$A$1:$I$89,3,0)*VLOOKUP('Données projet'!$B$11,Paramètres!$A$1:$I$89,5,0)</f>
        <v>145.71648000000005</v>
      </c>
      <c r="BF39" s="13">
        <f t="shared" si="37"/>
        <v>37.60350500083149</v>
      </c>
      <c r="BG39" s="20">
        <f t="shared" si="7"/>
        <v>319.28230720978155</v>
      </c>
      <c r="BH39" s="59">
        <f t="shared" si="8"/>
        <v>612.61564054311486</v>
      </c>
      <c r="BI39" s="59">
        <f ca="1">AVERAGE(OFFSET($BH$3,0,0,'Données projet'!$E$11+1,1))-AVERAGE(OFFSET($H$3,0,0,'Données projet'!$E$11+1,1))</f>
        <v>395.21779046720553</v>
      </c>
      <c r="BJ39" s="59">
        <f t="shared" si="38"/>
        <v>360.05900046417361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4.2725131427278029</v>
      </c>
      <c r="BQ39" s="21">
        <f>EXP(-LN(2)/25)*BQ38+(1-EXP(-LN(2)/25))/(LN(2)/25)*Calculateur!BL39*Calculateur!BN39*VLOOKUP('Données projet'!$B$11,Paramètres!$A$1:$I$89,3,0)*0.475*44/12</f>
        <v>9.5514226488074137</v>
      </c>
      <c r="BR39" s="21">
        <f>EXP(-LN(2)/2)*BR38+(1-EXP(-LN(2)/2))/(LN(2)/2)*BL39*BO39*VLOOKUP('Données projet'!$B$11,Paramètres!$A$1:$I$89,3,0)*0.475*44/12</f>
        <v>0.87468822668749868</v>
      </c>
      <c r="BS39" s="22">
        <f t="shared" si="9"/>
        <v>14.698624018222715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11.2</v>
      </c>
      <c r="BY39" s="12">
        <f>IF('Données projet'!$A$114&gt;35,BY38+BX39-CG38,IF(A39&lt;'Données projet'!$A$114,$BV$205^A39,IF(A39='Données projet'!$A$114,'Données projet'!$B$114,BY38+BX39-CG38)))</f>
        <v>130.20000000000005</v>
      </c>
      <c r="BZ39" s="13">
        <f>BY39*VLOOKUP('Données projet'!$B$12,Paramètres!$A$1:$I$89,3,0)*VLOOKUP('Données projet'!$B$12,Paramètres!$A$1:$I$89,5,0)</f>
        <v>132.02280000000007</v>
      </c>
      <c r="CA39" s="13">
        <f t="shared" si="39"/>
        <v>34.463348169992798</v>
      </c>
      <c r="CB39" s="20">
        <f t="shared" si="10"/>
        <v>289.96337472940422</v>
      </c>
      <c r="CC39" s="59">
        <f t="shared" si="11"/>
        <v>583.29670806273748</v>
      </c>
      <c r="CD39" s="59">
        <f ca="1">AVERAGE(OFFSET($CC$3,0,0,'Données projet'!$E$12+1,1))-AVERAGE(OFFSET($H$3,0,0,'Données projet'!$E$12+1,1))</f>
        <v>449.84356201138451</v>
      </c>
      <c r="CE39" s="59">
        <f t="shared" si="40"/>
        <v>306.61893266146666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7.2728591543201837</v>
      </c>
      <c r="CL39" s="21">
        <f>EXP(-LN(2)/25)*CL38+(1-EXP(-LN(2)/25))/(LN(2)/25)*Calculateur!CG39*Calculateur!CI39*VLOOKUP('Données projet'!$B$12,Paramètres!$A$1:$I$89,3,0)*0.475*44/12</f>
        <v>8.8865891084404041</v>
      </c>
      <c r="CM39" s="21">
        <f>EXP(-LN(2)/2)*CM38+(1-EXP(-LN(2)/2))/(LN(2)/2)*CG39*CJ39*VLOOKUP('Données projet'!$B$12,Paramètres!$A$1:$I$89,3,0)*0.475*44/12</f>
        <v>1.1956123239373941</v>
      </c>
      <c r="CN39" s="22">
        <f t="shared" si="12"/>
        <v>17.355060586697981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11.2</v>
      </c>
      <c r="CT39" s="12">
        <f>IF('Données projet'!$A$140&gt;35,CT38+CS39-DB38,IF(A39&lt;'Données projet'!$A$140,$CQ$205^A39,IF(A39='Données projet'!$A$140,'Données projet'!$B$140,CT38+CS39-DB38)))</f>
        <v>130.20000000000005</v>
      </c>
      <c r="CU39" s="17">
        <f>CT39*VLOOKUP('Données projet'!$B$13,Paramètres!$A$1:$I$89,3,0)*VLOOKUP('Données projet'!$B$13,Paramètres!$A$1:$I$89,5,0)</f>
        <v>140.14728000000005</v>
      </c>
      <c r="CV39" s="13">
        <f t="shared" si="41"/>
        <v>36.330743209877284</v>
      </c>
      <c r="CW39" s="20">
        <f t="shared" si="13"/>
        <v>307.36589042386964</v>
      </c>
      <c r="CX39" s="59">
        <f t="shared" si="14"/>
        <v>600.69922375720296</v>
      </c>
      <c r="CY39" s="59">
        <f ca="1">AVERAGE(OFFSET($CX$3,0,0,'Données projet'!$E$13+1,1))-AVERAGE(OFFSET($H$3,0,0,'Données projet'!$E$13+1,1))</f>
        <v>475.01366239340246</v>
      </c>
      <c r="CZ39" s="59">
        <f t="shared" si="42"/>
        <v>322.81767004794284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7.720419717662959</v>
      </c>
      <c r="DG39" s="21">
        <f>EXP(-LN(2)/25)*DG38+(1-EXP(-LN(2)/25))/(LN(2)/25)*Calculateur!DB39*Calculateur!DD39*VLOOKUP('Données projet'!$B$13,Paramètres!$A$1:$I$89,3,0)*0.475*44/12</f>
        <v>9.4334561304982749</v>
      </c>
      <c r="DH39" s="21">
        <f>EXP(-LN(2)/2)*DH38+(1-EXP(-LN(2)/2))/(LN(2)/2)*DB39*DE39*VLOOKUP('Données projet'!$B$13,Paramètres!$A$1:$I$89,3,0)*0.475*44/12</f>
        <v>1.2691884669489264</v>
      </c>
      <c r="DI39" s="22">
        <f t="shared" si="15"/>
        <v>18.42306431511016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7.6</v>
      </c>
      <c r="DO39" s="12">
        <f>IF('Données projet'!$A$166&gt;35,DO38+DN39-DW38,IF(A39&lt;'Données projet'!$A$166,$DL$205^A39,IF(A39='Données projet'!$A$166,'Données projet'!$B$166,DO38+DN39-DW38)))</f>
        <v>319.60000000000025</v>
      </c>
      <c r="DP39" s="17">
        <f>DO39*VLOOKUP('Données projet'!$B$14,Paramètres!$A$1:$I$89,3,0)*VLOOKUP('Données projet'!$B$14,Paramètres!$A$1:$I$89,5,0)</f>
        <v>289.17408000000023</v>
      </c>
      <c r="DQ39" s="13">
        <f t="shared" si="43"/>
        <v>68.902103026957732</v>
      </c>
      <c r="DR39" s="20">
        <f t="shared" si="16"/>
        <v>623.64935210528506</v>
      </c>
      <c r="DS39" s="59">
        <f t="shared" si="17"/>
        <v>916.98268543861832</v>
      </c>
      <c r="DT39" s="59">
        <f ca="1">AVERAGE(OFFSET($DS$3,0,0,'Données projet'!$E$14+1,1))-AVERAGE(OFFSET($H$3,0,0,'Données projet'!$E$14+1,1))</f>
        <v>436.23918637269577</v>
      </c>
      <c r="DU39" s="59">
        <f t="shared" si="44"/>
        <v>611.43967996341894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2.9250032061751385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0.59006069412602768</v>
      </c>
      <c r="ED39" s="22">
        <f t="shared" si="18"/>
        <v>3.5150639003011661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136.76208000000003</v>
      </c>
      <c r="P40" s="13">
        <f t="shared" si="33"/>
        <v>35.554236342883392</v>
      </c>
      <c r="Q40" s="20">
        <f t="shared" si="53"/>
        <v>300.11758429718861</v>
      </c>
      <c r="R40" s="59">
        <f t="shared" si="0"/>
        <v>593.45091763052187</v>
      </c>
      <c r="S40" s="59">
        <f ca="1">AVERAGE(OFFSET($R$3,0,0,'Données projet'!$E$9+1,1))-AVERAGE(OFFSET($H$3,0,0,'Données projet'!$E$9+1,1))</f>
        <v>430.94515308997018</v>
      </c>
      <c r="T40" s="59">
        <f t="shared" si="34"/>
        <v>294.45557293177131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6.8011546920495665</v>
      </c>
      <c r="AA40" s="21">
        <f>EXP(-LN(2)/25)*AA39+(1-EXP(-LN(2)/25))/(LN(2)/25)*Calculateur!V40*Calculateur!X40*VLOOKUP('Données projet'!$B$9,Paramètres!$A$1:$I$89,3,0)*0.475*44/12</f>
        <v>8.2446501760087845</v>
      </c>
      <c r="AB40" s="21">
        <f>EXP(-LN(2)/2)*AB39+(1-EXP(-LN(2)/2))/(LN(2)/2)*V40*Y40*VLOOKUP('Données projet'!$B$9,Paramètres!$A$1:$I$89,3,0)*0.475*44/12</f>
        <v>0.80640593968358465</v>
      </c>
      <c r="AC40" s="22">
        <f t="shared" si="3"/>
        <v>15.852210807741935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</v>
      </c>
      <c r="AI40" s="13">
        <f>IF('Données projet'!$A$62&gt;35,AI39+AH40-AQ39,IF(A40&lt;'Données projet'!$A$62,$AF$205^A40,IF(A40='Données projet'!$A$62,'Données projet'!$B$62,AI39+AH40-AQ39)))</f>
        <v>213.49999999999989</v>
      </c>
      <c r="AJ40" s="13">
        <f>AI40*VLOOKUP('Données projet'!$B$10,Paramètres!$A$1:$I$89,3,0)*VLOOKUP('Données projet'!$B$10,Paramètres!$A$1:$I$89,5,0)</f>
        <v>99.91799999999995</v>
      </c>
      <c r="AK40" s="13">
        <f t="shared" si="35"/>
        <v>26.942461246512746</v>
      </c>
      <c r="AL40" s="20">
        <f t="shared" si="4"/>
        <v>220.94863667100961</v>
      </c>
      <c r="AM40" s="59">
        <f t="shared" si="5"/>
        <v>514.28197000434295</v>
      </c>
      <c r="AN40" s="59">
        <f ca="1">AVERAGE(OFFSET($AM$3,0,0,'Données projet'!$E$10+1,1))-AVERAGE(OFFSET($H$3,0,0,'Données projet'!$E$10+1,1))</f>
        <v>319.22903094674564</v>
      </c>
      <c r="AO40" s="59">
        <f t="shared" si="36"/>
        <v>254.58690973142848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7.9012624119426178</v>
      </c>
      <c r="AV40" s="21">
        <f>EXP(-LN(2)/25)*AV39+(1-EXP(-LN(2)/25))/(LN(2)/25)*Calculateur!AQ40*Calculateur!AS40*VLOOKUP('Données projet'!$B$10,Paramètres!$A$1:$I$89,3,0)*0.475*44/12</f>
        <v>9.1841271611401183</v>
      </c>
      <c r="AW40" s="21">
        <f>EXP(-LN(2)/2)*AW39+(1-EXP(-LN(2)/2))/(LN(2)/2)*AQ40*AT40*VLOOKUP('Données projet'!$B$10,Paramètres!$A$1:$I$89,3,0)*0.475*44/12</f>
        <v>0.97608389367547466</v>
      </c>
      <c r="AX40" s="21">
        <f t="shared" si="6"/>
        <v>18.061473466758212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9.8000000000000007</v>
      </c>
      <c r="BD40" s="12">
        <f>IF('Données projet'!$A$88&gt;35,BD39+BC40-BL39,IF(A40&lt;'Données projet'!$A$88,$BA$205^A40,IF(A40='Données projet'!$A$88,'Données projet'!$B$88,BD39+BC40-BL39)))</f>
        <v>176.60000000000005</v>
      </c>
      <c r="BE40" s="13">
        <f>BD40*VLOOKUP('Données projet'!$B$11,Paramètres!$A$1:$I$89,3,0)*VLOOKUP('Données projet'!$B$11,Paramètres!$A$1:$I$89,5,0)</f>
        <v>154.27776000000009</v>
      </c>
      <c r="BF40" s="13">
        <f t="shared" si="37"/>
        <v>39.549125277353333</v>
      </c>
      <c r="BG40" s="20">
        <f t="shared" si="7"/>
        <v>337.58182519139058</v>
      </c>
      <c r="BH40" s="59">
        <f t="shared" si="8"/>
        <v>630.91515852472389</v>
      </c>
      <c r="BI40" s="59">
        <f ca="1">AVERAGE(OFFSET($BH$3,0,0,'Données projet'!$E$11+1,1))-AVERAGE(OFFSET($H$3,0,0,'Données projet'!$E$11+1,1))</f>
        <v>395.21779046720553</v>
      </c>
      <c r="BJ40" s="59">
        <f t="shared" si="38"/>
        <v>360.05900046417361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4.1887317659746088</v>
      </c>
      <c r="BQ40" s="21">
        <f>EXP(-LN(2)/25)*BQ39+(1-EXP(-LN(2)/25))/(LN(2)/25)*Calculateur!BL40*Calculateur!BN40*VLOOKUP('Données projet'!$B$11,Paramètres!$A$1:$I$89,3,0)*0.475*44/12</f>
        <v>9.2902384941882872</v>
      </c>
      <c r="BR40" s="21">
        <f>EXP(-LN(2)/2)*BR39+(1-EXP(-LN(2)/2))/(LN(2)/2)*BL40*BO40*VLOOKUP('Données projet'!$B$11,Paramètres!$A$1:$I$89,3,0)*0.475*44/12</f>
        <v>0.61849797651476646</v>
      </c>
      <c r="BS40" s="22">
        <f t="shared" si="9"/>
        <v>14.097468236677663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11.2</v>
      </c>
      <c r="BY40" s="12">
        <f>IF('Données projet'!$A$114&gt;35,BY39+BX40-CG39,IF(A40&lt;'Données projet'!$A$114,$BV$205^A40,IF(A40='Données projet'!$A$114,'Données projet'!$B$114,BY39+BX40-CG39)))</f>
        <v>141.40000000000003</v>
      </c>
      <c r="BZ40" s="13">
        <f>BY40*VLOOKUP('Données projet'!$B$12,Paramètres!$A$1:$I$89,3,0)*VLOOKUP('Données projet'!$B$12,Paramètres!$A$1:$I$89,5,0)</f>
        <v>143.37960000000004</v>
      </c>
      <c r="CA40" s="13">
        <f t="shared" si="39"/>
        <v>37.070146308317469</v>
      </c>
      <c r="CB40" s="20">
        <f t="shared" si="10"/>
        <v>314.28330815365302</v>
      </c>
      <c r="CC40" s="59">
        <f t="shared" si="11"/>
        <v>607.61664148698628</v>
      </c>
      <c r="CD40" s="59">
        <f ca="1">AVERAGE(OFFSET($CC$3,0,0,'Données projet'!$E$12+1,1))-AVERAGE(OFFSET($H$3,0,0,'Données projet'!$E$12+1,1))</f>
        <v>449.84356201138451</v>
      </c>
      <c r="CE40" s="59">
        <f t="shared" si="40"/>
        <v>306.61893266146666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7.1302428223100298</v>
      </c>
      <c r="CL40" s="21">
        <f>EXP(-LN(2)/25)*CL39+(1-EXP(-LN(2)/25))/(LN(2)/25)*Calculateur!CG40*Calculateur!CI40*VLOOKUP('Données projet'!$B$12,Paramètres!$A$1:$I$89,3,0)*0.475*44/12</f>
        <v>8.6435848619446904</v>
      </c>
      <c r="CM40" s="21">
        <f>EXP(-LN(2)/2)*CM39+(1-EXP(-LN(2)/2))/(LN(2)/2)*CG40*CJ40*VLOOKUP('Données projet'!$B$12,Paramètres!$A$1:$I$89,3,0)*0.475*44/12</f>
        <v>0.84542558192633854</v>
      </c>
      <c r="CN40" s="22">
        <f t="shared" si="12"/>
        <v>16.619253266181058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11.2</v>
      </c>
      <c r="CT40" s="12">
        <f>IF('Données projet'!$A$140&gt;35,CT39+CS40-DB39,IF(A40&lt;'Données projet'!$A$140,$CQ$205^A40,IF(A40='Données projet'!$A$140,'Données projet'!$B$140,CT39+CS40-DB39)))</f>
        <v>141.40000000000003</v>
      </c>
      <c r="CU40" s="17">
        <f>CT40*VLOOKUP('Données projet'!$B$13,Paramètres!$A$1:$I$89,3,0)*VLOOKUP('Données projet'!$B$13,Paramètres!$A$1:$I$89,5,0)</f>
        <v>152.20296000000002</v>
      </c>
      <c r="CV40" s="13">
        <f t="shared" si="41"/>
        <v>39.078790593326843</v>
      </c>
      <c r="CW40" s="20">
        <f t="shared" si="13"/>
        <v>333.14904895004429</v>
      </c>
      <c r="CX40" s="59">
        <f t="shared" si="14"/>
        <v>626.48238228337755</v>
      </c>
      <c r="CY40" s="59">
        <f ca="1">AVERAGE(OFFSET($CX$3,0,0,'Données projet'!$E$13+1,1))-AVERAGE(OFFSET($H$3,0,0,'Données projet'!$E$13+1,1))</f>
        <v>475.01366239340246</v>
      </c>
      <c r="CZ40" s="59">
        <f t="shared" si="42"/>
        <v>322.81767004794284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7.569026995990642</v>
      </c>
      <c r="DG40" s="21">
        <f>EXP(-LN(2)/25)*DG39+(1-EXP(-LN(2)/25))/(LN(2)/25)*Calculateur!DB40*Calculateur!DD40*VLOOKUP('Données projet'!$B$13,Paramètres!$A$1:$I$89,3,0)*0.475*44/12</f>
        <v>9.1754977765259014</v>
      </c>
      <c r="DH40" s="21">
        <f>EXP(-LN(2)/2)*DH39+(1-EXP(-LN(2)/2))/(LN(2)/2)*DB40*DE40*VLOOKUP('Données projet'!$B$13,Paramètres!$A$1:$I$89,3,0)*0.475*44/12</f>
        <v>0.89745177158334422</v>
      </c>
      <c r="DI40" s="22">
        <f t="shared" si="15"/>
        <v>17.641976544099887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7.6</v>
      </c>
      <c r="DO40" s="12">
        <f>IF('Données projet'!$A$166&gt;35,DO39+DN40-DW39,IF(A40&lt;'Données projet'!$A$166,$DL$205^A40,IF(A40='Données projet'!$A$166,'Données projet'!$B$166,DO39+DN40-DW39)))</f>
        <v>327.20000000000027</v>
      </c>
      <c r="DP40" s="17">
        <f>DO40*VLOOKUP('Données projet'!$B$14,Paramètres!$A$1:$I$89,3,0)*VLOOKUP('Données projet'!$B$14,Paramètres!$A$1:$I$89,5,0)</f>
        <v>296.05056000000025</v>
      </c>
      <c r="DQ40" s="13">
        <f t="shared" si="43"/>
        <v>70.347871650924077</v>
      </c>
      <c r="DR40" s="20">
        <f t="shared" si="16"/>
        <v>638.1439351253598</v>
      </c>
      <c r="DS40" s="59">
        <f t="shared" si="17"/>
        <v>931.47726845869306</v>
      </c>
      <c r="DT40" s="59">
        <f ca="1">AVERAGE(OFFSET($DS$3,0,0,'Données projet'!$E$14+1,1))-AVERAGE(OFFSET($H$3,0,0,'Données projet'!$E$14+1,1))</f>
        <v>436.23918637269577</v>
      </c>
      <c r="DU40" s="59">
        <f t="shared" si="44"/>
        <v>611.43967996341894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2.8676456773778369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0.41723591812815541</v>
      </c>
      <c r="ED40" s="22">
        <f t="shared" si="18"/>
        <v>3.2848815955059925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147.59472000000002</v>
      </c>
      <c r="P41" s="13">
        <f t="shared" si="33"/>
        <v>38.031463918082679</v>
      </c>
      <c r="Q41" s="20">
        <f t="shared" si="53"/>
        <v>323.29893699066071</v>
      </c>
      <c r="R41" s="59">
        <f t="shared" si="0"/>
        <v>616.63227032399402</v>
      </c>
      <c r="S41" s="59">
        <f ca="1">AVERAGE(OFFSET($R$3,0,0,'Données projet'!$E$9+1,1))-AVERAGE(OFFSET($H$3,0,0,'Données projet'!$E$9+1,1))</f>
        <v>430.94515308997018</v>
      </c>
      <c r="T41" s="59">
        <f t="shared" si="34"/>
        <v>294.45557293177131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6.6677881968332269</v>
      </c>
      <c r="AA41" s="21">
        <f>EXP(-LN(2)/25)*AA40+(1-EXP(-LN(2)/25))/(LN(2)/25)*Calculateur!V41*Calculateur!X41*VLOOKUP('Données projet'!$B$9,Paramètres!$A$1:$I$89,3,0)*0.475*44/12</f>
        <v>8.0191997833785145</v>
      </c>
      <c r="AB41" s="21">
        <f>EXP(-LN(2)/2)*AB40+(1-EXP(-LN(2)/2))/(LN(2)/2)*V41*Y41*VLOOKUP('Données projet'!$B$9,Paramètres!$A$1:$I$89,3,0)*0.475*44/12</f>
        <v>0.57021510833937272</v>
      </c>
      <c r="AC41" s="22">
        <f t="shared" si="3"/>
        <v>15.257203088551114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</v>
      </c>
      <c r="AI41" s="13">
        <f>IF('Données projet'!$A$62&gt;35,AI40+AH41-AQ40,IF(A41&lt;'Données projet'!$A$62,$AF$205^A41,IF(A41='Données projet'!$A$62,'Données projet'!$B$62,AI40+AH41-AQ40)))</f>
        <v>223.49999999999989</v>
      </c>
      <c r="AJ41" s="13">
        <f>AI41*VLOOKUP('Données projet'!$B$10,Paramètres!$A$1:$I$89,3,0)*VLOOKUP('Données projet'!$B$10,Paramètres!$A$1:$I$89,5,0)</f>
        <v>104.59799999999994</v>
      </c>
      <c r="AK41" s="13">
        <f t="shared" si="35"/>
        <v>28.054525257841597</v>
      </c>
      <c r="AL41" s="20">
        <f t="shared" si="4"/>
        <v>231.03648149074067</v>
      </c>
      <c r="AM41" s="59">
        <f t="shared" si="5"/>
        <v>524.36981482407396</v>
      </c>
      <c r="AN41" s="59">
        <f ca="1">AVERAGE(OFFSET($AM$3,0,0,'Données projet'!$E$10+1,1))-AVERAGE(OFFSET($H$3,0,0,'Données projet'!$E$10+1,1))</f>
        <v>319.22903094674564</v>
      </c>
      <c r="AO41" s="59">
        <f t="shared" si="36"/>
        <v>254.58690973142848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7.7463234753386283</v>
      </c>
      <c r="AV41" s="21">
        <f>EXP(-LN(2)/25)*AV40+(1-EXP(-LN(2)/25))/(LN(2)/25)*Calculateur!AQ41*Calculateur!AS41*VLOOKUP('Données projet'!$B$10,Paramètres!$A$1:$I$89,3,0)*0.475*44/12</f>
        <v>8.9329867209464844</v>
      </c>
      <c r="AW41" s="21">
        <f>EXP(-LN(2)/2)*AW40+(1-EXP(-LN(2)/2))/(LN(2)/2)*AQ41*AT41*VLOOKUP('Données projet'!$B$10,Paramètres!$A$1:$I$89,3,0)*0.475*44/12</f>
        <v>0.69019554022489726</v>
      </c>
      <c r="AX41" s="21">
        <f t="shared" si="6"/>
        <v>17.369505736510011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9.8000000000000007</v>
      </c>
      <c r="BD41" s="12">
        <f>IF('Données projet'!$A$88&gt;35,BD40+BC41-BL40,IF(A41&lt;'Données projet'!$A$88,$BA$205^A41,IF(A41='Données projet'!$A$88,'Données projet'!$B$88,BD40+BC41-BL40)))</f>
        <v>186.40000000000006</v>
      </c>
      <c r="BE41" s="13">
        <f>BD41*VLOOKUP('Données projet'!$B$11,Paramètres!$A$1:$I$89,3,0)*VLOOKUP('Données projet'!$B$11,Paramètres!$A$1:$I$89,5,0)</f>
        <v>162.83904000000007</v>
      </c>
      <c r="BF41" s="13">
        <f t="shared" si="37"/>
        <v>41.482211836000111</v>
      </c>
      <c r="BG41" s="20">
        <f t="shared" si="7"/>
        <v>355.85951361436696</v>
      </c>
      <c r="BH41" s="59">
        <f t="shared" si="8"/>
        <v>649.19284694770022</v>
      </c>
      <c r="BI41" s="59">
        <f ca="1">AVERAGE(OFFSET($BH$3,0,0,'Données projet'!$E$11+1,1))-AVERAGE(OFFSET($H$3,0,0,'Données projet'!$E$11+1,1))</f>
        <v>395.21779046720553</v>
      </c>
      <c r="BJ41" s="59">
        <f t="shared" si="38"/>
        <v>360.05900046417361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4.1065932909179512</v>
      </c>
      <c r="BQ41" s="21">
        <f>EXP(-LN(2)/25)*BQ40+(1-EXP(-LN(2)/25))/(LN(2)/25)*Calculateur!BL41*Calculateur!BN41*VLOOKUP('Données projet'!$B$11,Paramètres!$A$1:$I$89,3,0)*0.475*44/12</f>
        <v>9.0361964340122984</v>
      </c>
      <c r="BR41" s="21">
        <f>EXP(-LN(2)/2)*BR40+(1-EXP(-LN(2)/2))/(LN(2)/2)*BL41*BO41*VLOOKUP('Données projet'!$B$11,Paramètres!$A$1:$I$89,3,0)*0.475*44/12</f>
        <v>0.4373441133437494</v>
      </c>
      <c r="BS41" s="22">
        <f t="shared" si="9"/>
        <v>13.580133838274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11.2</v>
      </c>
      <c r="BY41" s="12">
        <f>IF('Données projet'!$A$114&gt;35,BY40+BX41-CG40,IF(A41&lt;'Données projet'!$A$114,$BV$205^A41,IF(A41='Données projet'!$A$114,'Données projet'!$B$114,BY40+BX41-CG40)))</f>
        <v>152.60000000000002</v>
      </c>
      <c r="BZ41" s="13">
        <f>BY41*VLOOKUP('Données projet'!$B$12,Paramètres!$A$1:$I$89,3,0)*VLOOKUP('Données projet'!$B$12,Paramètres!$A$1:$I$89,5,0)</f>
        <v>154.73640000000003</v>
      </c>
      <c r="CA41" s="13">
        <f t="shared" si="39"/>
        <v>39.652994320183701</v>
      </c>
      <c r="CB41" s="20">
        <f t="shared" si="10"/>
        <v>338.56152844098665</v>
      </c>
      <c r="CC41" s="59">
        <f t="shared" si="11"/>
        <v>631.89486177431991</v>
      </c>
      <c r="CD41" s="59">
        <f ca="1">AVERAGE(OFFSET($CC$3,0,0,'Données projet'!$E$12+1,1))-AVERAGE(OFFSET($H$3,0,0,'Données projet'!$E$12+1,1))</f>
        <v>449.84356201138451</v>
      </c>
      <c r="CE41" s="59">
        <f t="shared" si="40"/>
        <v>306.61893266146666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6.9904231095832214</v>
      </c>
      <c r="CL41" s="21">
        <f>EXP(-LN(2)/25)*CL40+(1-EXP(-LN(2)/25))/(LN(2)/25)*Calculateur!CG41*Calculateur!CI41*VLOOKUP('Données projet'!$B$12,Paramètres!$A$1:$I$89,3,0)*0.475*44/12</f>
        <v>8.4072255793484398</v>
      </c>
      <c r="CM41" s="21">
        <f>EXP(-LN(2)/2)*CM40+(1-EXP(-LN(2)/2))/(LN(2)/2)*CG41*CJ41*VLOOKUP('Données projet'!$B$12,Paramètres!$A$1:$I$89,3,0)*0.475*44/12</f>
        <v>0.59780616196869707</v>
      </c>
      <c r="CN41" s="22">
        <f t="shared" si="12"/>
        <v>15.995454850900357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11.2</v>
      </c>
      <c r="CT41" s="12">
        <f>IF('Données projet'!$A$140&gt;35,CT40+CS41-DB40,IF(A41&lt;'Données projet'!$A$140,$CQ$205^A41,IF(A41='Données projet'!$A$140,'Données projet'!$B$140,CT40+CS41-DB40)))</f>
        <v>152.60000000000002</v>
      </c>
      <c r="CU41" s="17">
        <f>CT41*VLOOKUP('Données projet'!$B$13,Paramètres!$A$1:$I$89,3,0)*VLOOKUP('Données projet'!$B$13,Paramètres!$A$1:$I$89,5,0)</f>
        <v>164.25864000000001</v>
      </c>
      <c r="CV41" s="13">
        <f t="shared" si="41"/>
        <v>41.80159011374478</v>
      </c>
      <c r="CW41" s="20">
        <f t="shared" si="13"/>
        <v>358.88823411477216</v>
      </c>
      <c r="CX41" s="59">
        <f t="shared" si="14"/>
        <v>652.22156744810547</v>
      </c>
      <c r="CY41" s="59">
        <f ca="1">AVERAGE(OFFSET($CX$3,0,0,'Données projet'!$E$13+1,1))-AVERAGE(OFFSET($H$3,0,0,'Données projet'!$E$13+1,1))</f>
        <v>475.01366239340246</v>
      </c>
      <c r="CZ41" s="59">
        <f t="shared" si="42"/>
        <v>322.81767004794284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7.4206029932498767</v>
      </c>
      <c r="DG41" s="21">
        <f>EXP(-LN(2)/25)*DG40+(1-EXP(-LN(2)/25))/(LN(2)/25)*Calculateur!DB41*Calculateur!DD41*VLOOKUP('Données projet'!$B$13,Paramètres!$A$1:$I$89,3,0)*0.475*44/12</f>
        <v>8.9245933073083439</v>
      </c>
      <c r="DH41" s="21">
        <f>EXP(-LN(2)/2)*DH40+(1-EXP(-LN(2)/2))/(LN(2)/2)*DB41*DE41*VLOOKUP('Données projet'!$B$13,Paramètres!$A$1:$I$89,3,0)*0.475*44/12</f>
        <v>0.6345942334744632</v>
      </c>
      <c r="DI41" s="22">
        <f t="shared" si="15"/>
        <v>16.979790534032684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7.6</v>
      </c>
      <c r="DO41" s="12">
        <f>IF('Données projet'!$A$166&gt;35,DO40+DN41-DW40,IF(A41&lt;'Données projet'!$A$166,$DL$205^A41,IF(A41='Données projet'!$A$166,'Données projet'!$B$166,DO40+DN41-DW40)))</f>
        <v>334.8000000000003</v>
      </c>
      <c r="DP41" s="17">
        <f>DO41*VLOOKUP('Données projet'!$B$14,Paramètres!$A$1:$I$89,3,0)*VLOOKUP('Données projet'!$B$14,Paramètres!$A$1:$I$89,5,0)</f>
        <v>302.92704000000026</v>
      </c>
      <c r="DQ41" s="13">
        <f t="shared" si="43"/>
        <v>71.789736305653022</v>
      </c>
      <c r="DR41" s="20">
        <f t="shared" si="16"/>
        <v>652.63171873234603</v>
      </c>
      <c r="DS41" s="59">
        <f t="shared" si="17"/>
        <v>945.9650520656794</v>
      </c>
      <c r="DT41" s="59">
        <f ca="1">AVERAGE(OFFSET($DS$3,0,0,'Données projet'!$E$14+1,1))-AVERAGE(OFFSET($H$3,0,0,'Données projet'!$E$14+1,1))</f>
        <v>436.23918637269577</v>
      </c>
      <c r="DU41" s="59">
        <f t="shared" si="44"/>
        <v>611.43967996341894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2.8114128947356125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0.29503034706301384</v>
      </c>
      <c r="ED41" s="22">
        <f t="shared" si="18"/>
        <v>3.1064432417986265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158.42736000000002</v>
      </c>
      <c r="P42" s="13">
        <f t="shared" si="33"/>
        <v>40.487598405868248</v>
      </c>
      <c r="Q42" s="20">
        <f t="shared" si="53"/>
        <v>346.4435525568872</v>
      </c>
      <c r="R42" s="59">
        <f t="shared" si="0"/>
        <v>639.77688589022046</v>
      </c>
      <c r="S42" s="59">
        <f ca="1">AVERAGE(OFFSET($R$3,0,0,'Données projet'!$E$9+1,1))-AVERAGE(OFFSET($H$3,0,0,'Données projet'!$E$9+1,1))</f>
        <v>430.94515308997018</v>
      </c>
      <c r="T42" s="59">
        <f t="shared" si="34"/>
        <v>294.45557293177131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6.5370369372425499</v>
      </c>
      <c r="AA42" s="21">
        <f>EXP(-LN(2)/25)*AA41+(1-EXP(-LN(2)/25))/(LN(2)/25)*Calculateur!V42*Calculateur!X42*VLOOKUP('Données projet'!$B$9,Paramètres!$A$1:$I$89,3,0)*0.475*44/12</f>
        <v>7.7999143435906406</v>
      </c>
      <c r="AB42" s="21">
        <f>EXP(-LN(2)/2)*AB41+(1-EXP(-LN(2)/2))/(LN(2)/2)*V42*Y42*VLOOKUP('Données projet'!$B$9,Paramètres!$A$1:$I$89,3,0)*0.475*44/12</f>
        <v>0.40320296984179232</v>
      </c>
      <c r="AC42" s="22">
        <f t="shared" si="3"/>
        <v>14.740154250674983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</v>
      </c>
      <c r="AI42" s="13">
        <f>IF('Données projet'!$A$62&gt;35,AI41+AH42-AQ41,IF(A42&lt;'Données projet'!$A$62,$AF$205^A42,IF(A42='Données projet'!$A$62,'Données projet'!$B$62,AI41+AH42-AQ41)))</f>
        <v>233.49999999999989</v>
      </c>
      <c r="AJ42" s="13">
        <f>AI42*VLOOKUP('Données projet'!$B$10,Paramètres!$A$1:$I$89,3,0)*VLOOKUP('Données projet'!$B$10,Paramètres!$A$1:$I$89,5,0)</f>
        <v>109.27799999999995</v>
      </c>
      <c r="AK42" s="13">
        <f t="shared" si="35"/>
        <v>29.160810599699261</v>
      </c>
      <c r="AL42" s="20">
        <f t="shared" si="4"/>
        <v>241.11426179447608</v>
      </c>
      <c r="AM42" s="59">
        <f t="shared" si="5"/>
        <v>534.44759512780934</v>
      </c>
      <c r="AN42" s="59">
        <f ca="1">AVERAGE(OFFSET($AM$3,0,0,'Données projet'!$E$10+1,1))-AVERAGE(OFFSET($H$3,0,0,'Données projet'!$E$10+1,1))</f>
        <v>319.22903094674564</v>
      </c>
      <c r="AO42" s="59">
        <f t="shared" si="36"/>
        <v>254.58690973142848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7.5944227967780238</v>
      </c>
      <c r="AV42" s="21">
        <f>EXP(-LN(2)/25)*AV41+(1-EXP(-LN(2)/25))/(LN(2)/25)*Calculateur!AQ42*Calculateur!AS42*VLOOKUP('Données projet'!$B$10,Paramètres!$A$1:$I$89,3,0)*0.475*44/12</f>
        <v>8.6887137292968486</v>
      </c>
      <c r="AW42" s="21">
        <f>EXP(-LN(2)/2)*AW41+(1-EXP(-LN(2)/2))/(LN(2)/2)*AQ42*AT42*VLOOKUP('Données projet'!$B$10,Paramètres!$A$1:$I$89,3,0)*0.475*44/12</f>
        <v>0.48804194683773744</v>
      </c>
      <c r="AX42" s="21">
        <f t="shared" si="6"/>
        <v>16.771178472912609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9.8000000000000007</v>
      </c>
      <c r="BD42" s="12">
        <f>IF('Données projet'!$A$88&gt;35,BD41+BC42-BL41,IF(A42&lt;'Données projet'!$A$88,$BA$205^A42,IF(A42='Données projet'!$A$88,'Données projet'!$B$88,BD41+BC42-BL41)))</f>
        <v>196.20000000000007</v>
      </c>
      <c r="BE42" s="13">
        <f>BD42*VLOOKUP('Données projet'!$B$11,Paramètres!$A$1:$I$89,3,0)*VLOOKUP('Données projet'!$B$11,Paramètres!$A$1:$I$89,5,0)</f>
        <v>171.40032000000011</v>
      </c>
      <c r="BF42" s="13">
        <f t="shared" si="37"/>
        <v>43.40349878862115</v>
      </c>
      <c r="BG42" s="20">
        <f t="shared" si="7"/>
        <v>374.11665105684864</v>
      </c>
      <c r="BH42" s="59">
        <f t="shared" si="8"/>
        <v>667.44998439018195</v>
      </c>
      <c r="BI42" s="59">
        <f ca="1">AVERAGE(OFFSET($BH$3,0,0,'Données projet'!$E$11+1,1))-AVERAGE(OFFSET($H$3,0,0,'Données projet'!$E$11+1,1))</f>
        <v>395.21779046720553</v>
      </c>
      <c r="BJ42" s="59">
        <f t="shared" si="38"/>
        <v>360.05900046417361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4.0260655012576319</v>
      </c>
      <c r="BQ42" s="21">
        <f>EXP(-LN(2)/25)*BQ41+(1-EXP(-LN(2)/25))/(LN(2)/25)*Calculateur!BL42*Calculateur!BN42*VLOOKUP('Données projet'!$B$11,Paramètres!$A$1:$I$89,3,0)*0.475*44/12</f>
        <v>8.7891011673313137</v>
      </c>
      <c r="BR42" s="21">
        <f>EXP(-LN(2)/2)*BR41+(1-EXP(-LN(2)/2))/(LN(2)/2)*BL42*BO42*VLOOKUP('Données projet'!$B$11,Paramètres!$A$1:$I$89,3,0)*0.475*44/12</f>
        <v>0.30924898825738328</v>
      </c>
      <c r="BS42" s="22">
        <f t="shared" si="9"/>
        <v>13.124415656846329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11.2</v>
      </c>
      <c r="BY42" s="12">
        <f>IF('Données projet'!$A$114&gt;35,BY41+BX42-CG41,IF(A42&lt;'Données projet'!$A$114,$BV$205^A42,IF(A42='Données projet'!$A$114,'Données projet'!$B$114,BY41+BX42-CG41)))</f>
        <v>163.80000000000001</v>
      </c>
      <c r="BZ42" s="13">
        <f>BY42*VLOOKUP('Données projet'!$B$12,Paramètres!$A$1:$I$89,3,0)*VLOOKUP('Données projet'!$B$12,Paramètres!$A$1:$I$89,5,0)</f>
        <v>166.09320000000002</v>
      </c>
      <c r="CA42" s="13">
        <f t="shared" si="39"/>
        <v>42.213849908165905</v>
      </c>
      <c r="CB42" s="20">
        <f t="shared" si="10"/>
        <v>362.80144525672227</v>
      </c>
      <c r="CC42" s="59">
        <f t="shared" si="11"/>
        <v>656.13477859005559</v>
      </c>
      <c r="CD42" s="59">
        <f ca="1">AVERAGE(OFFSET($CC$3,0,0,'Données projet'!$E$12+1,1))-AVERAGE(OFFSET($H$3,0,0,'Données projet'!$E$12+1,1))</f>
        <v>449.84356201138451</v>
      </c>
      <c r="CE42" s="59">
        <f t="shared" si="40"/>
        <v>306.61893266146666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6.8533451761413824</v>
      </c>
      <c r="CL42" s="21">
        <f>EXP(-LN(2)/25)*CL41+(1-EXP(-LN(2)/25))/(LN(2)/25)*Calculateur!CG42*Calculateur!CI42*VLOOKUP('Données projet'!$B$12,Paramètres!$A$1:$I$89,3,0)*0.475*44/12</f>
        <v>8.1773295537643786</v>
      </c>
      <c r="CM42" s="21">
        <f>EXP(-LN(2)/2)*CM41+(1-EXP(-LN(2)/2))/(LN(2)/2)*CG42*CJ42*VLOOKUP('Données projet'!$B$12,Paramètres!$A$1:$I$89,3,0)*0.475*44/12</f>
        <v>0.42271279096316927</v>
      </c>
      <c r="CN42" s="22">
        <f t="shared" si="12"/>
        <v>15.453387520868931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11.2</v>
      </c>
      <c r="CT42" s="12">
        <f>IF('Données projet'!$A$140&gt;35,CT41+CS42-DB41,IF(A42&lt;'Données projet'!$A$140,$CQ$205^A42,IF(A42='Données projet'!$A$140,'Données projet'!$B$140,CT41+CS42-DB41)))</f>
        <v>163.80000000000001</v>
      </c>
      <c r="CU42" s="17">
        <f>CT42*VLOOKUP('Données projet'!$B$13,Paramètres!$A$1:$I$89,3,0)*VLOOKUP('Données projet'!$B$13,Paramètres!$A$1:$I$89,5,0)</f>
        <v>176.31432000000001</v>
      </c>
      <c r="CV42" s="13">
        <f t="shared" si="41"/>
        <v>44.501205551735517</v>
      </c>
      <c r="CW42" s="20">
        <f t="shared" si="13"/>
        <v>384.58704033593932</v>
      </c>
      <c r="CX42" s="59">
        <f t="shared" si="14"/>
        <v>677.92037366927264</v>
      </c>
      <c r="CY42" s="59">
        <f ca="1">AVERAGE(OFFSET($CX$3,0,0,'Données projet'!$E$13+1,1))-AVERAGE(OFFSET($H$3,0,0,'Données projet'!$E$13+1,1))</f>
        <v>475.01366239340246</v>
      </c>
      <c r="CZ42" s="59">
        <f t="shared" si="42"/>
        <v>322.81767004794284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7.2750894946731552</v>
      </c>
      <c r="DG42" s="21">
        <f>EXP(-LN(2)/25)*DG41+(1-EXP(-LN(2)/25))/(LN(2)/25)*Calculateur!DB42*Calculateur!DD42*VLOOKUP('Données projet'!$B$13,Paramètres!$A$1:$I$89,3,0)*0.475*44/12</f>
        <v>8.6805498339960323</v>
      </c>
      <c r="DH42" s="21">
        <f>EXP(-LN(2)/2)*DH41+(1-EXP(-LN(2)/2))/(LN(2)/2)*DB42*DE42*VLOOKUP('Données projet'!$B$13,Paramètres!$A$1:$I$89,3,0)*0.475*44/12</f>
        <v>0.44872588579167211</v>
      </c>
      <c r="DI42" s="22">
        <f t="shared" si="15"/>
        <v>16.40436521446086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7.6</v>
      </c>
      <c r="DO42" s="12">
        <f>IF('Données projet'!$A$166&gt;35,DO41+DN42-DW41,IF(A42&lt;'Données projet'!$A$166,$DL$205^A42,IF(A42='Données projet'!$A$166,'Données projet'!$B$166,DO41+DN42-DW41)))</f>
        <v>342.40000000000032</v>
      </c>
      <c r="DP42" s="17">
        <f>DO42*VLOOKUP('Données projet'!$B$14,Paramètres!$A$1:$I$89,3,0)*VLOOKUP('Données projet'!$B$14,Paramètres!$A$1:$I$89,5,0)</f>
        <v>309.80352000000028</v>
      </c>
      <c r="DQ42" s="13">
        <f t="shared" si="43"/>
        <v>73.227795813703821</v>
      </c>
      <c r="DR42" s="20">
        <f t="shared" si="16"/>
        <v>667.11287504220138</v>
      </c>
      <c r="DS42" s="59">
        <f t="shared" si="17"/>
        <v>960.44620837553475</v>
      </c>
      <c r="DT42" s="59">
        <f ca="1">AVERAGE(OFFSET($DS$3,0,0,'Données projet'!$E$14+1,1))-AVERAGE(OFFSET($H$3,0,0,'Données projet'!$E$14+1,1))</f>
        <v>436.23918637269577</v>
      </c>
      <c r="DU42" s="59">
        <f t="shared" si="44"/>
        <v>611.43967996341894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2.7562828026623913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0.20861795906407771</v>
      </c>
      <c r="ED42" s="22">
        <f t="shared" si="18"/>
        <v>2.9649007617264691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169.26000000000002</v>
      </c>
      <c r="P43" s="13">
        <f t="shared" si="33"/>
        <v>42.924246146122272</v>
      </c>
      <c r="Q43" s="20">
        <f t="shared" si="53"/>
        <v>369.55422870449632</v>
      </c>
      <c r="R43" s="59">
        <f t="shared" si="0"/>
        <v>662.88756203782964</v>
      </c>
      <c r="S43" s="59">
        <f ca="1">AVERAGE(OFFSET($R$3,0,0,'Données projet'!$E$9+1,1))-AVERAGE(OFFSET($H$3,0,0,'Données projet'!$E$9+1,1))</f>
        <v>430.94515308997018</v>
      </c>
      <c r="T43" s="59">
        <f t="shared" si="34"/>
        <v>294.45557293177131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6.4088496301020523</v>
      </c>
      <c r="AA43" s="21">
        <f>EXP(-LN(2)/25)*AA42+(1-EXP(-LN(2)/25))/(LN(2)/25)*Calculateur!V43*Calculateur!X43*VLOOKUP('Données projet'!$B$9,Paramètres!$A$1:$I$89,3,0)*0.475*44/12</f>
        <v>7.5866252756854857</v>
      </c>
      <c r="AB43" s="21">
        <f>EXP(-LN(2)/2)*AB42+(1-EXP(-LN(2)/2))/(LN(2)/2)*V43*Y43*VLOOKUP('Données projet'!$B$9,Paramètres!$A$1:$I$89,3,0)*0.475*44/12</f>
        <v>0.28510755416968636</v>
      </c>
      <c r="AC43" s="22">
        <f t="shared" si="3"/>
        <v>14.280582459957225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243.5</v>
      </c>
      <c r="AG43" s="12">
        <f>VLOOKUP(A43,'Données projet'!$A$61:$I$81,9,0)</f>
        <v>10</v>
      </c>
      <c r="AH43" s="12">
        <f t="array" ref="AH43">INDEX(AG:AG,MIN(IF(ISNUMBER(AG43:AG239),ROW(AG43:AG239),"")))</f>
        <v>10</v>
      </c>
      <c r="AI43" s="13">
        <f>IF('Données projet'!$A$62&gt;35,AI42+AH43-AQ42,IF(A43&lt;'Données projet'!$A$62,$AF$205^A43,IF(A43='Données projet'!$A$62,'Données projet'!$B$62,AI42+AH43-AQ42)))</f>
        <v>243.49999999999989</v>
      </c>
      <c r="AJ43" s="13">
        <f>AI43*VLOOKUP('Données projet'!$B$10,Paramètres!$A$1:$I$89,3,0)*VLOOKUP('Données projet'!$B$10,Paramètres!$A$1:$I$89,5,0)</f>
        <v>113.95799999999994</v>
      </c>
      <c r="AK43" s="13">
        <f t="shared" si="35"/>
        <v>30.261593043834445</v>
      </c>
      <c r="AL43" s="20">
        <f t="shared" si="4"/>
        <v>251.1824578846782</v>
      </c>
      <c r="AM43" s="59">
        <f t="shared" si="5"/>
        <v>544.51579121801149</v>
      </c>
      <c r="AN43" s="59">
        <f ca="1">AVERAGE(OFFSET($AM$3,0,0,'Données projet'!$E$10+1,1))-AVERAGE(OFFSET($H$3,0,0,'Données projet'!$E$10+1,1))</f>
        <v>319.22903094674564</v>
      </c>
      <c r="AO43" s="59">
        <f t="shared" si="36"/>
        <v>254.58690973142848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7.4455007978737271</v>
      </c>
      <c r="AV43" s="21">
        <f>EXP(-LN(2)/25)*AV42+(1-EXP(-LN(2)/25))/(LN(2)/25)*Calculateur!AQ43*Calculateur!AS43*VLOOKUP('Données projet'!$B$10,Paramètres!$A$1:$I$89,3,0)*0.475*44/12</f>
        <v>8.4511203954496299</v>
      </c>
      <c r="AW43" s="21">
        <f>EXP(-LN(2)/2)*AW42+(1-EXP(-LN(2)/2))/(LN(2)/2)*AQ43*AT43*VLOOKUP('Données projet'!$B$10,Paramètres!$A$1:$I$89,3,0)*0.475*44/12</f>
        <v>0.34509777011244869</v>
      </c>
      <c r="AX43" s="21">
        <f t="shared" si="6"/>
        <v>16.241718963435805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206</v>
      </c>
      <c r="BB43" s="12">
        <f>VLOOKUP(A43,'Données projet'!$A$87:$I$107,9,0)</f>
        <v>9.8000000000000007</v>
      </c>
      <c r="BC43" s="12">
        <f t="array" ref="BC43">INDEX(BB:BB,MIN(IF(ISNUMBER(BB43:BB239),ROW(BB43:BB239),"")))</f>
        <v>9.8000000000000007</v>
      </c>
      <c r="BD43" s="12">
        <f>IF('Données projet'!$A$88&gt;35,BD42+BC43-BL42,IF(A43&lt;'Données projet'!$A$88,$BA$205^A43,IF(A43='Données projet'!$A$88,'Données projet'!$B$88,BD42+BC43-BL42)))</f>
        <v>206.00000000000009</v>
      </c>
      <c r="BE43" s="13">
        <f>BD43*VLOOKUP('Données projet'!$B$11,Paramètres!$A$1:$I$89,3,0)*VLOOKUP('Données projet'!$B$11,Paramètres!$A$1:$I$89,5,0)</f>
        <v>179.96160000000009</v>
      </c>
      <c r="BF43" s="13">
        <f t="shared" si="37"/>
        <v>45.313642767960104</v>
      </c>
      <c r="BG43" s="20">
        <f t="shared" si="7"/>
        <v>392.35438115419737</v>
      </c>
      <c r="BH43" s="59">
        <f t="shared" si="8"/>
        <v>685.68771448753068</v>
      </c>
      <c r="BI43" s="59">
        <f ca="1">AVERAGE(OFFSET($BH$3,0,0,'Données projet'!$E$11+1,1))-AVERAGE(OFFSET($H$3,0,0,'Données projet'!$E$11+1,1))</f>
        <v>395.21779046720553</v>
      </c>
      <c r="BJ43" s="59">
        <f t="shared" si="38"/>
        <v>360.05900046417361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3.9471168124354494</v>
      </c>
      <c r="BQ43" s="21">
        <f>EXP(-LN(2)/25)*BQ42+(1-EXP(-LN(2)/25))/(LN(2)/25)*Calculateur!BL43*Calculateur!BN43*VLOOKUP('Données projet'!$B$11,Paramètres!$A$1:$I$89,3,0)*0.475*44/12</f>
        <v>8.5487627337118965</v>
      </c>
      <c r="BR43" s="21">
        <f>EXP(-LN(2)/2)*BR42+(1-EXP(-LN(2)/2))/(LN(2)/2)*BL43*BO43*VLOOKUP('Données projet'!$B$11,Paramètres!$A$1:$I$89,3,0)*0.475*44/12</f>
        <v>0.21867205667187475</v>
      </c>
      <c r="BS43" s="22">
        <f t="shared" si="9"/>
        <v>12.71455160281922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175</v>
      </c>
      <c r="BW43" s="12">
        <f>VLOOKUP(A43,'Données projet'!$A$113:$I$133,9,0)</f>
        <v>11.2</v>
      </c>
      <c r="BX43" s="12">
        <f t="array" ref="BX43">INDEX(BW:BW,MIN(IF(ISNUMBER(BW43:BW239),ROW(BW43:BW239),"")))</f>
        <v>11.2</v>
      </c>
      <c r="BY43" s="12">
        <f>IF('Données projet'!$A$114&gt;35,BY42+BX43-CG42,IF(A43&lt;'Données projet'!$A$114,$BV$205^A43,IF(A43='Données projet'!$A$114,'Données projet'!$B$114,BY42+BX43-CG42)))</f>
        <v>175</v>
      </c>
      <c r="BZ43" s="13">
        <f>BY43*VLOOKUP('Données projet'!$B$12,Paramètres!$A$1:$I$89,3,0)*VLOOKUP('Données projet'!$B$12,Paramètres!$A$1:$I$89,5,0)</f>
        <v>177.45000000000002</v>
      </c>
      <c r="CA43" s="13">
        <f t="shared" si="39"/>
        <v>44.754387900936791</v>
      </c>
      <c r="CB43" s="20">
        <f t="shared" si="10"/>
        <v>387.0059755941316</v>
      </c>
      <c r="CC43" s="59">
        <f t="shared" si="11"/>
        <v>680.33930892746491</v>
      </c>
      <c r="CD43" s="59">
        <f ca="1">AVERAGE(OFFSET($CC$3,0,0,'Données projet'!$E$12+1,1))-AVERAGE(OFFSET($H$3,0,0,'Données projet'!$E$12+1,1))</f>
        <v>449.84356201138451</v>
      </c>
      <c r="CE43" s="59">
        <f t="shared" si="40"/>
        <v>306.61893266146666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6.7189552573650539</v>
      </c>
      <c r="CL43" s="21">
        <f>EXP(-LN(2)/25)*CL42+(1-EXP(-LN(2)/25))/(LN(2)/25)*Calculateur!CG43*Calculateur!CI43*VLOOKUP('Données projet'!$B$12,Paramètres!$A$1:$I$89,3,0)*0.475*44/12</f>
        <v>7.9537200470896199</v>
      </c>
      <c r="CM43" s="21">
        <f>EXP(-LN(2)/2)*CM42+(1-EXP(-LN(2)/2))/(LN(2)/2)*CG43*CJ43*VLOOKUP('Données projet'!$B$12,Paramètres!$A$1:$I$89,3,0)*0.475*44/12</f>
        <v>0.29890308098434853</v>
      </c>
      <c r="CN43" s="22">
        <f t="shared" si="12"/>
        <v>14.971578385439024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175</v>
      </c>
      <c r="CR43" s="12">
        <f>VLOOKUP(A43,'Données projet'!$A$139:$I$159,9,0)</f>
        <v>11.2</v>
      </c>
      <c r="CS43" s="12">
        <f t="array" ref="CS43">INDEX(CR:CR,MIN(IF(ISNUMBER(CR43:CR239),ROW(CR43:CR239),"")))</f>
        <v>11.2</v>
      </c>
      <c r="CT43" s="12">
        <f>IF('Données projet'!$A$140&gt;35,CT42+CS43-DB42,IF(A43&lt;'Données projet'!$A$140,$CQ$205^A43,IF(A43='Données projet'!$A$140,'Données projet'!$B$140,CT42+CS43-DB42)))</f>
        <v>175</v>
      </c>
      <c r="CU43" s="17">
        <f>CT43*VLOOKUP('Données projet'!$B$13,Paramètres!$A$1:$I$89,3,0)*VLOOKUP('Données projet'!$B$13,Paramètres!$A$1:$I$89,5,0)</f>
        <v>188.36999999999998</v>
      </c>
      <c r="CV43" s="13">
        <f t="shared" si="41"/>
        <v>47.179402486491298</v>
      </c>
      <c r="CW43" s="20">
        <f t="shared" si="13"/>
        <v>410.24854266397227</v>
      </c>
      <c r="CX43" s="59">
        <f t="shared" si="14"/>
        <v>703.58187599730559</v>
      </c>
      <c r="CY43" s="59">
        <f ca="1">AVERAGE(OFFSET($CX$3,0,0,'Données projet'!$E$13+1,1))-AVERAGE(OFFSET($H$3,0,0,'Données projet'!$E$13+1,1))</f>
        <v>475.01366239340246</v>
      </c>
      <c r="CZ43" s="59">
        <f t="shared" si="42"/>
        <v>322.81767004794284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7.1324294270490531</v>
      </c>
      <c r="DG43" s="21">
        <f>EXP(-LN(2)/25)*DG42+(1-EXP(-LN(2)/25))/(LN(2)/25)*Calculateur!DB43*Calculateur!DD43*VLOOKUP('Données projet'!$B$13,Paramètres!$A$1:$I$89,3,0)*0.475*44/12</f>
        <v>8.4431797422951345</v>
      </c>
      <c r="DH43" s="21">
        <f>EXP(-LN(2)/2)*DH42+(1-EXP(-LN(2)/2))/(LN(2)/2)*DB43*DE43*VLOOKUP('Données projet'!$B$13,Paramètres!$A$1:$I$89,3,0)*0.475*44/12</f>
        <v>0.3172971167372316</v>
      </c>
      <c r="DI43" s="22">
        <f t="shared" si="15"/>
        <v>15.892906286081418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350</v>
      </c>
      <c r="DM43" s="12">
        <f>VLOOKUP(A43,'Données projet'!$A$165:$I$185,9,0)</f>
        <v>7.6</v>
      </c>
      <c r="DN43" s="12">
        <f t="array" ref="DN43">INDEX(DM:DM,MIN(IF(ISNUMBER(DM43:DM239),ROW(DM43:DM239),"")))</f>
        <v>7.6</v>
      </c>
      <c r="DO43" s="12">
        <f>IF('Données projet'!$A$166&gt;35,DO42+DN43-DW42,IF(A43&lt;'Données projet'!$A$166,$DL$205^A43,IF(A43='Données projet'!$A$166,'Données projet'!$B$166,DO42+DN43-DW42)))</f>
        <v>350.00000000000034</v>
      </c>
      <c r="DP43" s="17">
        <f>DO43*VLOOKUP('Données projet'!$B$14,Paramètres!$A$1:$I$89,3,0)*VLOOKUP('Données projet'!$B$14,Paramètres!$A$1:$I$89,5,0)</f>
        <v>316.68000000000029</v>
      </c>
      <c r="DQ43" s="13">
        <f t="shared" si="43"/>
        <v>74.662144360177834</v>
      </c>
      <c r="DR43" s="20">
        <f t="shared" si="16"/>
        <v>681.58756809397687</v>
      </c>
      <c r="DS43" s="59">
        <f t="shared" si="17"/>
        <v>974.92090142731013</v>
      </c>
      <c r="DT43" s="59">
        <f ca="1">AVERAGE(OFFSET($DS$3,0,0,'Données projet'!$E$14+1,1))-AVERAGE(OFFSET($H$3,0,0,'Données projet'!$E$14+1,1))</f>
        <v>436.23918637269577</v>
      </c>
      <c r="DU43" s="59">
        <f t="shared" si="44"/>
        <v>611.43967996341894</v>
      </c>
      <c r="DV43" s="15">
        <f>IF(ISNA(VLOOKUP(A43,'Données projet'!$A$165:$I$185,3,0)),0,VLOOKUP(A43,'Données projet'!$A$165:$I$185,3,0))</f>
        <v>8</v>
      </c>
      <c r="DW43" s="15">
        <f>IF(ISNA(VLOOKUP(A43,'Données projet'!$A$165:$I$185,4,0)),0,VLOOKUP(A43,'Données projet'!$A$165:$I$185,4,0))</f>
        <v>9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2.70223377806869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0.14751517353150692</v>
      </c>
      <c r="ED43" s="22">
        <f t="shared" si="18"/>
        <v>2.8497489516001968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153.20447999999999</v>
      </c>
      <c r="P44" s="13">
        <f t="shared" si="33"/>
        <v>39.305916881892401</v>
      </c>
      <c r="Q44" s="20">
        <f t="shared" si="53"/>
        <v>335.28894123596257</v>
      </c>
      <c r="R44" s="59">
        <f t="shared" si="0"/>
        <v>628.62227456929588</v>
      </c>
      <c r="S44" s="59">
        <f ca="1">AVERAGE(OFFSET($R$3,0,0,'Données projet'!$E$9+1,1))-AVERAGE(OFFSET($H$3,0,0,'Données projet'!$E$9+1,1))</f>
        <v>430.94515308997018</v>
      </c>
      <c r="T44" s="59">
        <f t="shared" si="34"/>
        <v>294.45557293177131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6.2831759978680424</v>
      </c>
      <c r="AA44" s="21">
        <f>EXP(-LN(2)/25)*AA43+(1-EXP(-LN(2)/25))/(LN(2)/25)*Calculateur!V44*Calculateur!X44*VLOOKUP('Données projet'!$B$9,Paramètres!$A$1:$I$89,3,0)*0.475*44/12</f>
        <v>7.3791686085585821</v>
      </c>
      <c r="AB44" s="21">
        <f>EXP(-LN(2)/2)*AB43+(1-EXP(-LN(2)/2))/(LN(2)/2)*V44*Y44*VLOOKUP('Données projet'!$B$9,Paramètres!$A$1:$I$89,3,0)*0.475*44/12</f>
        <v>0.20160148492089616</v>
      </c>
      <c r="AC44" s="22">
        <f t="shared" si="3"/>
        <v>13.863946091347522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184.99999999999989</v>
      </c>
      <c r="AJ44" s="13">
        <f>AI44*VLOOKUP('Données projet'!$B$10,Paramètres!$A$1:$I$89,3,0)*VLOOKUP('Données projet'!$B$10,Paramètres!$A$1:$I$89,5,0)</f>
        <v>86.579999999999941</v>
      </c>
      <c r="AK44" s="13">
        <f t="shared" si="35"/>
        <v>23.738552844733956</v>
      </c>
      <c r="AL44" s="20">
        <f t="shared" si="4"/>
        <v>192.13814620457819</v>
      </c>
      <c r="AM44" s="59">
        <f t="shared" si="5"/>
        <v>485.47147953791148</v>
      </c>
      <c r="AN44" s="59">
        <f ca="1">AVERAGE(OFFSET($AM$3,0,0,'Données projet'!$E$10+1,1))-AVERAGE(OFFSET($H$3,0,0,'Données projet'!$E$10+1,1))</f>
        <v>319.22903094674564</v>
      </c>
      <c r="AO44" s="59">
        <f t="shared" si="36"/>
        <v>254.58690973142848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7.2994990685344936</v>
      </c>
      <c r="AV44" s="21">
        <f>EXP(-LN(2)/25)*AV43+(1-EXP(-LN(2)/25))/(LN(2)/25)*Calculateur!AQ44*Calculateur!AS44*VLOOKUP('Données projet'!$B$10,Paramètres!$A$1:$I$89,3,0)*0.475*44/12</f>
        <v>8.2200240638109534</v>
      </c>
      <c r="AW44" s="21">
        <f>EXP(-LN(2)/2)*AW43+(1-EXP(-LN(2)/2))/(LN(2)/2)*AQ44*AT44*VLOOKUP('Données projet'!$B$10,Paramètres!$A$1:$I$89,3,0)*0.475*44/12</f>
        <v>0.24402097341886875</v>
      </c>
      <c r="AX44" s="21">
        <f t="shared" si="6"/>
        <v>15.763544105764316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8.8000000000000007</v>
      </c>
      <c r="BD44" s="12">
        <f>IF('Données projet'!$A$88&gt;35,BD43+BC44-BL43,IF(A44&lt;'Données projet'!$A$88,$BA$205^A44,IF(A44='Données projet'!$A$88,'Données projet'!$B$88,BD43+BC44-BL43)))</f>
        <v>183.8000000000001</v>
      </c>
      <c r="BE44" s="13">
        <f>BD44*VLOOKUP('Données projet'!$B$11,Paramètres!$A$1:$I$89,3,0)*VLOOKUP('Données projet'!$B$11,Paramètres!$A$1:$I$89,5,0)</f>
        <v>160.56768000000011</v>
      </c>
      <c r="BF44" s="13">
        <f t="shared" si="37"/>
        <v>40.970530810309917</v>
      </c>
      <c r="BG44" s="20">
        <f t="shared" si="7"/>
        <v>351.01238382795663</v>
      </c>
      <c r="BH44" s="59">
        <f t="shared" si="8"/>
        <v>644.34571716128994</v>
      </c>
      <c r="BI44" s="59">
        <f ca="1">AVERAGE(OFFSET($BH$3,0,0,'Données projet'!$E$11+1,1))-AVERAGE(OFFSET($H$3,0,0,'Données projet'!$E$11+1,1))</f>
        <v>395.21779046720553</v>
      </c>
      <c r="BJ44" s="59">
        <f t="shared" si="38"/>
        <v>360.05900046417361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3.8697162592471246</v>
      </c>
      <c r="BQ44" s="21">
        <f>EXP(-LN(2)/25)*BQ43+(1-EXP(-LN(2)/25))/(LN(2)/25)*Calculateur!BL44*Calculateur!BN44*VLOOKUP('Données projet'!$B$11,Paramètres!$A$1:$I$89,3,0)*0.475*44/12</f>
        <v>8.3149963671986509</v>
      </c>
      <c r="BR44" s="21">
        <f>EXP(-LN(2)/2)*BR43+(1-EXP(-LN(2)/2))/(LN(2)/2)*BL44*BO44*VLOOKUP('Données projet'!$B$11,Paramètres!$A$1:$I$89,3,0)*0.475*44/12</f>
        <v>0.15462449412869167</v>
      </c>
      <c r="BS44" s="22">
        <f t="shared" si="9"/>
        <v>12.339337120574468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158.4</v>
      </c>
      <c r="BZ44" s="13">
        <f>BY44*VLOOKUP('Données projet'!$B$12,Paramètres!$A$1:$I$89,3,0)*VLOOKUP('Données projet'!$B$12,Paramètres!$A$1:$I$89,5,0)</f>
        <v>160.61760000000001</v>
      </c>
      <c r="CA44" s="13">
        <f t="shared" si="39"/>
        <v>40.981785561145074</v>
      </c>
      <c r="CB44" s="20">
        <f t="shared" si="10"/>
        <v>351.11892985232771</v>
      </c>
      <c r="CC44" s="59">
        <f t="shared" si="11"/>
        <v>644.45226318566097</v>
      </c>
      <c r="CD44" s="59">
        <f ca="1">AVERAGE(OFFSET($CC$3,0,0,'Données projet'!$E$12+1,1))-AVERAGE(OFFSET($H$3,0,0,'Données projet'!$E$12+1,1))</f>
        <v>449.84356201138451</v>
      </c>
      <c r="CE44" s="59">
        <f t="shared" si="40"/>
        <v>306.61893266146666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6.5872006429261729</v>
      </c>
      <c r="CL44" s="21">
        <f>EXP(-LN(2)/25)*CL43+(1-EXP(-LN(2)/25))/(LN(2)/25)*Calculateur!CG44*Calculateur!CI44*VLOOKUP('Données projet'!$B$12,Paramètres!$A$1:$I$89,3,0)*0.475*44/12</f>
        <v>7.7362251541339955</v>
      </c>
      <c r="CM44" s="21">
        <f>EXP(-LN(2)/2)*CM43+(1-EXP(-LN(2)/2))/(LN(2)/2)*CG44*CJ44*VLOOKUP('Données projet'!$B$12,Paramètres!$A$1:$I$89,3,0)*0.475*44/12</f>
        <v>0.21135639548158464</v>
      </c>
      <c r="CN44" s="22">
        <f t="shared" si="12"/>
        <v>14.534782192541751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158.4</v>
      </c>
      <c r="CU44" s="17">
        <f>CT44*VLOOKUP('Données projet'!$B$13,Paramètres!$A$1:$I$89,3,0)*VLOOKUP('Données projet'!$B$13,Paramètres!$A$1:$I$89,5,0)</f>
        <v>170.50175999999999</v>
      </c>
      <c r="CV44" s="13">
        <f t="shared" si="41"/>
        <v>43.202381851006642</v>
      </c>
      <c r="CW44" s="20">
        <f t="shared" si="13"/>
        <v>372.20138039050318</v>
      </c>
      <c r="CX44" s="59">
        <f t="shared" si="14"/>
        <v>665.53471372383649</v>
      </c>
      <c r="CY44" s="59">
        <f ca="1">AVERAGE(OFFSET($CX$3,0,0,'Données projet'!$E$13+1,1))-AVERAGE(OFFSET($H$3,0,0,'Données projet'!$E$13+1,1))</f>
        <v>475.01366239340246</v>
      </c>
      <c r="CZ44" s="59">
        <f t="shared" si="42"/>
        <v>322.81767004794284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6.9925668363370104</v>
      </c>
      <c r="DG44" s="21">
        <f>EXP(-LN(2)/25)*DG43+(1-EXP(-LN(2)/25))/(LN(2)/25)*Calculateur!DB44*Calculateur!DD44*VLOOKUP('Données projet'!$B$13,Paramètres!$A$1:$I$89,3,0)*0.475*44/12</f>
        <v>8.2123005482345484</v>
      </c>
      <c r="DH44" s="21">
        <f>EXP(-LN(2)/2)*DH43+(1-EXP(-LN(2)/2))/(LN(2)/2)*DB44*DE44*VLOOKUP('Données projet'!$B$13,Paramètres!$A$1:$I$89,3,0)*0.475*44/12</f>
        <v>0.22436294289583605</v>
      </c>
      <c r="DI44" s="22">
        <f t="shared" si="15"/>
        <v>15.429230327467394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7.4</v>
      </c>
      <c r="DO44" s="12">
        <f>IF('Données projet'!$A$166&gt;35,DO43+DN44-DW43,IF(A44&lt;'Données projet'!$A$166,$DL$205^A44,IF(A44='Données projet'!$A$166,'Données projet'!$B$166,DO43+DN44-DW43)))</f>
        <v>348.40000000000032</v>
      </c>
      <c r="DP44" s="17">
        <f>DO44*VLOOKUP('Données projet'!$B$14,Paramètres!$A$1:$I$89,3,0)*VLOOKUP('Données projet'!$B$14,Paramètres!$A$1:$I$89,5,0)</f>
        <v>315.2323200000003</v>
      </c>
      <c r="DQ44" s="13">
        <f t="shared" si="43"/>
        <v>74.360480118488482</v>
      </c>
      <c r="DR44" s="20">
        <f t="shared" si="16"/>
        <v>678.54079353970121</v>
      </c>
      <c r="DS44" s="59">
        <f t="shared" si="17"/>
        <v>971.87412687303458</v>
      </c>
      <c r="DT44" s="59">
        <f ca="1">AVERAGE(OFFSET($DS$3,0,0,'Données projet'!$E$14+1,1))-AVERAGE(OFFSET($H$3,0,0,'Données projet'!$E$14+1,1))</f>
        <v>436.23918637269577</v>
      </c>
      <c r="DU44" s="59">
        <f t="shared" si="44"/>
        <v>611.43967996341894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2.6492446218806216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0.10430897953203885</v>
      </c>
      <c r="ED44" s="22">
        <f t="shared" si="18"/>
        <v>2.7535536014126603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164.23056000000003</v>
      </c>
      <c r="P45" s="13">
        <f t="shared" si="33"/>
        <v>41.795275864636551</v>
      </c>
      <c r="Q45" s="20">
        <f t="shared" si="53"/>
        <v>358.82833079757535</v>
      </c>
      <c r="R45" s="59">
        <f t="shared" si="0"/>
        <v>652.16166413090866</v>
      </c>
      <c r="S45" s="59">
        <f ca="1">AVERAGE(OFFSET($R$3,0,0,'Données projet'!$E$9+1,1))-AVERAGE(OFFSET($H$3,0,0,'Données projet'!$E$9+1,1))</f>
        <v>430.94515308997018</v>
      </c>
      <c r="T45" s="59">
        <f t="shared" si="34"/>
        <v>294.45557293177131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6.1599667489087944</v>
      </c>
      <c r="AA45" s="21">
        <f>EXP(-LN(2)/25)*AA44+(1-EXP(-LN(2)/25))/(LN(2)/25)*Calculateur!V45*Calculateur!X45*VLOOKUP('Données projet'!$B$9,Paramètres!$A$1:$I$89,3,0)*0.475*44/12</f>
        <v>7.1773848549039361</v>
      </c>
      <c r="AB45" s="21">
        <f>EXP(-LN(2)/2)*AB44+(1-EXP(-LN(2)/2))/(LN(2)/2)*V45*Y45*VLOOKUP('Données projet'!$B$9,Paramètres!$A$1:$I$89,3,0)*0.475*44/12</f>
        <v>0.14255377708484318</v>
      </c>
      <c r="AC45" s="22">
        <f t="shared" si="3"/>
        <v>13.479905380897575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196.49999999999989</v>
      </c>
      <c r="AJ45" s="13">
        <f>AI45*VLOOKUP('Données projet'!$B$10,Paramètres!$A$1:$I$89,3,0)*VLOOKUP('Données projet'!$B$10,Paramètres!$A$1:$I$89,5,0)</f>
        <v>91.961999999999946</v>
      </c>
      <c r="AK45" s="13">
        <f t="shared" si="35"/>
        <v>25.037816603121904</v>
      </c>
      <c r="AL45" s="20">
        <f t="shared" si="4"/>
        <v>203.77468058377053</v>
      </c>
      <c r="AM45" s="59">
        <f t="shared" si="5"/>
        <v>497.10801391710385</v>
      </c>
      <c r="AN45" s="59">
        <f ca="1">AVERAGE(OFFSET($AM$3,0,0,'Données projet'!$E$10+1,1))-AVERAGE(OFFSET($H$3,0,0,'Données projet'!$E$10+1,1))</f>
        <v>319.22903094674564</v>
      </c>
      <c r="AO45" s="59">
        <f t="shared" si="36"/>
        <v>254.58690973142848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7.1563603440553401</v>
      </c>
      <c r="AV45" s="21">
        <f>EXP(-LN(2)/25)*AV44+(1-EXP(-LN(2)/25))/(LN(2)/25)*Calculateur!AQ45*Calculateur!AS45*VLOOKUP('Données projet'!$B$10,Paramètres!$A$1:$I$89,3,0)*0.475*44/12</f>
        <v>7.9952470735137648</v>
      </c>
      <c r="AW45" s="21">
        <f>EXP(-LN(2)/2)*AW44+(1-EXP(-LN(2)/2))/(LN(2)/2)*AQ45*AT45*VLOOKUP('Données projet'!$B$10,Paramètres!$A$1:$I$89,3,0)*0.475*44/12</f>
        <v>0.17254888505622437</v>
      </c>
      <c r="AX45" s="21">
        <f t="shared" si="6"/>
        <v>15.32415630262533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8.8000000000000007</v>
      </c>
      <c r="BD45" s="12">
        <f>IF('Données projet'!$A$88&gt;35,BD44+BC45-BL44,IF(A45&lt;'Données projet'!$A$88,$BA$205^A45,IF(A45='Données projet'!$A$88,'Données projet'!$B$88,BD44+BC45-BL44)))</f>
        <v>192.60000000000011</v>
      </c>
      <c r="BE45" s="13">
        <f>BD45*VLOOKUP('Données projet'!$B$11,Paramètres!$A$1:$I$89,3,0)*VLOOKUP('Données projet'!$B$11,Paramètres!$A$1:$I$89,5,0)</f>
        <v>168.25536000000011</v>
      </c>
      <c r="BF45" s="13">
        <f t="shared" si="37"/>
        <v>42.699047982710923</v>
      </c>
      <c r="BG45" s="20">
        <f t="shared" si="7"/>
        <v>367.41226056988836</v>
      </c>
      <c r="BH45" s="59">
        <f t="shared" si="8"/>
        <v>660.74559390322167</v>
      </c>
      <c r="BI45" s="59">
        <f ca="1">AVERAGE(OFFSET($BH$3,0,0,'Données projet'!$E$11+1,1))-AVERAGE(OFFSET($H$3,0,0,'Données projet'!$E$11+1,1))</f>
        <v>395.21779046720553</v>
      </c>
      <c r="BJ45" s="59">
        <f t="shared" si="38"/>
        <v>360.05900046417361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3.793833483697147</v>
      </c>
      <c r="BQ45" s="21">
        <f>EXP(-LN(2)/25)*BQ44+(1-EXP(-LN(2)/25))/(LN(2)/25)*Calculateur!BL45*Calculateur!BN45*VLOOKUP('Données projet'!$B$11,Paramètres!$A$1:$I$89,3,0)*0.475*44/12</f>
        <v>8.0876223542709482</v>
      </c>
      <c r="BR45" s="21">
        <f>EXP(-LN(2)/2)*BR44+(1-EXP(-LN(2)/2))/(LN(2)/2)*BL45*BO45*VLOOKUP('Données projet'!$B$11,Paramètres!$A$1:$I$89,3,0)*0.475*44/12</f>
        <v>0.10933602833593739</v>
      </c>
      <c r="BS45" s="22">
        <f t="shared" si="9"/>
        <v>11.990791866304033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169.8</v>
      </c>
      <c r="BZ45" s="13">
        <f>BY45*VLOOKUP('Données projet'!$B$12,Paramètres!$A$1:$I$89,3,0)*VLOOKUP('Données projet'!$B$12,Paramètres!$A$1:$I$89,5,0)</f>
        <v>172.1772</v>
      </c>
      <c r="CA45" s="13">
        <f t="shared" si="39"/>
        <v>43.577282221917017</v>
      </c>
      <c r="CB45" s="20">
        <f t="shared" si="10"/>
        <v>375.77238986983883</v>
      </c>
      <c r="CC45" s="59">
        <f t="shared" si="11"/>
        <v>669.10572320317215</v>
      </c>
      <c r="CD45" s="59">
        <f ca="1">AVERAGE(OFFSET($CC$3,0,0,'Données projet'!$E$12+1,1))-AVERAGE(OFFSET($H$3,0,0,'Données projet'!$E$12+1,1))</f>
        <v>449.84356201138451</v>
      </c>
      <c r="CE45" s="59">
        <f t="shared" si="40"/>
        <v>306.61893266146666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6.4580296561140589</v>
      </c>
      <c r="CL45" s="21">
        <f>EXP(-LN(2)/25)*CL44+(1-EXP(-LN(2)/25))/(LN(2)/25)*Calculateur!CG45*Calculateur!CI45*VLOOKUP('Données projet'!$B$12,Paramètres!$A$1:$I$89,3,0)*0.475*44/12</f>
        <v>7.5246776704638023</v>
      </c>
      <c r="CM45" s="21">
        <f>EXP(-LN(2)/2)*CM44+(1-EXP(-LN(2)/2))/(LN(2)/2)*CG45*CJ45*VLOOKUP('Données projet'!$B$12,Paramètres!$A$1:$I$89,3,0)*0.475*44/12</f>
        <v>0.14945154049217427</v>
      </c>
      <c r="CN45" s="22">
        <f t="shared" si="12"/>
        <v>14.132158867070036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169.8</v>
      </c>
      <c r="CU45" s="17">
        <f>CT45*VLOOKUP('Données projet'!$B$13,Paramètres!$A$1:$I$89,3,0)*VLOOKUP('Données projet'!$B$13,Paramètres!$A$1:$I$89,5,0)</f>
        <v>182.77271999999999</v>
      </c>
      <c r="CV45" s="13">
        <f t="shared" si="41"/>
        <v>45.938515386827795</v>
      </c>
      <c r="CW45" s="20">
        <f t="shared" si="13"/>
        <v>398.33873496539172</v>
      </c>
      <c r="CX45" s="59">
        <f t="shared" si="14"/>
        <v>691.67206829872498</v>
      </c>
      <c r="CY45" s="59">
        <f ca="1">AVERAGE(OFFSET($CX$3,0,0,'Données projet'!$E$13+1,1))-AVERAGE(OFFSET($H$3,0,0,'Données projet'!$E$13+1,1))</f>
        <v>475.01366239340246</v>
      </c>
      <c r="CZ45" s="59">
        <f t="shared" si="42"/>
        <v>322.81767004794284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6.8554468657210732</v>
      </c>
      <c r="DG45" s="21">
        <f>EXP(-LN(2)/25)*DG44+(1-EXP(-LN(2)/25))/(LN(2)/25)*Calculateur!DB45*Calculateur!DD45*VLOOKUP('Données projet'!$B$13,Paramètres!$A$1:$I$89,3,0)*0.475*44/12</f>
        <v>7.9877347578769582</v>
      </c>
      <c r="DH45" s="21">
        <f>EXP(-LN(2)/2)*DH44+(1-EXP(-LN(2)/2))/(LN(2)/2)*DB45*DE45*VLOOKUP('Données projet'!$B$13,Paramètres!$A$1:$I$89,3,0)*0.475*44/12</f>
        <v>0.1586485583686158</v>
      </c>
      <c r="DI45" s="22">
        <f t="shared" si="15"/>
        <v>15.001830181966648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7.4</v>
      </c>
      <c r="DO45" s="12">
        <f>IF('Données projet'!$A$166&gt;35,DO44+DN45-DW44,IF(A45&lt;'Données projet'!$A$166,$DL$205^A45,IF(A45='Données projet'!$A$166,'Données projet'!$B$166,DO44+DN45-DW44)))</f>
        <v>355.8000000000003</v>
      </c>
      <c r="DP45" s="17">
        <f>DO45*VLOOKUP('Données projet'!$B$14,Paramètres!$A$1:$I$89,3,0)*VLOOKUP('Données projet'!$B$14,Paramètres!$A$1:$I$89,5,0)</f>
        <v>321.92784000000023</v>
      </c>
      <c r="DQ45" s="13">
        <f t="shared" si="43"/>
        <v>75.754337936715828</v>
      </c>
      <c r="DR45" s="20">
        <f t="shared" si="16"/>
        <v>692.6297932397805</v>
      </c>
      <c r="DS45" s="59">
        <f t="shared" si="17"/>
        <v>985.96312657311387</v>
      </c>
      <c r="DT45" s="59">
        <f ca="1">AVERAGE(OFFSET($DS$3,0,0,'Données projet'!$E$14+1,1))-AVERAGE(OFFSET($H$3,0,0,'Données projet'!$E$14+1,1))</f>
        <v>436.23918637269577</v>
      </c>
      <c r="DU45" s="59">
        <f t="shared" si="44"/>
        <v>611.43967996341894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2.597294550725207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7.3757586765753461E-2</v>
      </c>
      <c r="ED45" s="22">
        <f t="shared" si="18"/>
        <v>2.6710521374909604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175.25664000000003</v>
      </c>
      <c r="P46" s="13">
        <f t="shared" si="33"/>
        <v>44.265241345972555</v>
      </c>
      <c r="Q46" s="20">
        <f t="shared" si="53"/>
        <v>382.33394334423559</v>
      </c>
      <c r="R46" s="59">
        <f t="shared" si="0"/>
        <v>675.66727667756891</v>
      </c>
      <c r="S46" s="59">
        <f ca="1">AVERAGE(OFFSET($R$3,0,0,'Données projet'!$E$9+1,1))-AVERAGE(OFFSET($H$3,0,0,'Données projet'!$E$9+1,1))</f>
        <v>430.94515308997018</v>
      </c>
      <c r="T46" s="59">
        <f t="shared" si="34"/>
        <v>294.45557293177131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6.0391735581714165</v>
      </c>
      <c r="AA46" s="21">
        <f>EXP(-LN(2)/25)*AA45+(1-EXP(-LN(2)/25))/(LN(2)/25)*Calculateur!V46*Calculateur!X46*VLOOKUP('Données projet'!$B$9,Paramètres!$A$1:$I$89,3,0)*0.475*44/12</f>
        <v>6.9811188886043229</v>
      </c>
      <c r="AB46" s="21">
        <f>EXP(-LN(2)/2)*AB45+(1-EXP(-LN(2)/2))/(LN(2)/2)*V46*Y46*VLOOKUP('Données projet'!$B$9,Paramètres!$A$1:$I$89,3,0)*0.475*44/12</f>
        <v>0.10080074246044808</v>
      </c>
      <c r="AC46" s="22">
        <f t="shared" si="3"/>
        <v>13.121093189236188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11.5</v>
      </c>
      <c r="AI46" s="13">
        <f>IF('Données projet'!$A$62&gt;35,AI45+AH46-AQ45,IF(A46&lt;'Données projet'!$A$62,$AF$205^A46,IF(A46='Données projet'!$A$62,'Données projet'!$B$62,AI45+AH46-AQ45)))</f>
        <v>207.99999999999989</v>
      </c>
      <c r="AJ46" s="13">
        <f>AI46*VLOOKUP('Données projet'!$B$10,Paramètres!$A$1:$I$89,3,0)*VLOOKUP('Données projet'!$B$10,Paramètres!$A$1:$I$89,5,0)</f>
        <v>97.343999999999937</v>
      </c>
      <c r="AK46" s="13">
        <f t="shared" si="35"/>
        <v>26.328254259866451</v>
      </c>
      <c r="AL46" s="20">
        <f t="shared" si="4"/>
        <v>215.39584283593396</v>
      </c>
      <c r="AM46" s="59">
        <f t="shared" si="5"/>
        <v>508.72917616926725</v>
      </c>
      <c r="AN46" s="59">
        <f ca="1">AVERAGE(OFFSET($AM$3,0,0,'Données projet'!$E$10+1,1))-AVERAGE(OFFSET($H$3,0,0,'Données projet'!$E$10+1,1))</f>
        <v>319.22903094674564</v>
      </c>
      <c r="AO46" s="59">
        <f t="shared" si="36"/>
        <v>254.58690973142848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7.0160284826572221</v>
      </c>
      <c r="AV46" s="21">
        <f>EXP(-LN(2)/25)*AV45+(1-EXP(-LN(2)/25))/(LN(2)/25)*Calculateur!AQ46*Calculateur!AS46*VLOOKUP('Données projet'!$B$10,Paramètres!$A$1:$I$89,3,0)*0.475*44/12</f>
        <v>7.7766166218367605</v>
      </c>
      <c r="AW46" s="21">
        <f>EXP(-LN(2)/2)*AW45+(1-EXP(-LN(2)/2))/(LN(2)/2)*AQ46*AT46*VLOOKUP('Données projet'!$B$10,Paramètres!$A$1:$I$89,3,0)*0.475*44/12</f>
        <v>0.1220104867094344</v>
      </c>
      <c r="AX46" s="21">
        <f t="shared" si="6"/>
        <v>14.914655591203417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8.8000000000000007</v>
      </c>
      <c r="BD46" s="12">
        <f>IF('Données projet'!$A$88&gt;35,BD45+BC46-BL45,IF(A46&lt;'Données projet'!$A$88,$BA$205^A46,IF(A46='Données projet'!$A$88,'Données projet'!$B$88,BD45+BC46-BL45)))</f>
        <v>201.40000000000012</v>
      </c>
      <c r="BE46" s="13">
        <f>BD46*VLOOKUP('Données projet'!$B$11,Paramètres!$A$1:$I$89,3,0)*VLOOKUP('Données projet'!$B$11,Paramètres!$A$1:$I$89,5,0)</f>
        <v>175.94304000000014</v>
      </c>
      <c r="BF46" s="13">
        <f t="shared" si="37"/>
        <v>44.418393276556458</v>
      </c>
      <c r="BG46" s="20">
        <f t="shared" si="7"/>
        <v>383.79616295666938</v>
      </c>
      <c r="BH46" s="59">
        <f t="shared" si="8"/>
        <v>677.12949629000263</v>
      </c>
      <c r="BI46" s="59">
        <f ca="1">AVERAGE(OFFSET($BH$3,0,0,'Données projet'!$E$11+1,1))-AVERAGE(OFFSET($H$3,0,0,'Données projet'!$E$11+1,1))</f>
        <v>395.21779046720553</v>
      </c>
      <c r="BJ46" s="59">
        <f t="shared" si="38"/>
        <v>360.05900046417361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3.7194387230917814</v>
      </c>
      <c r="BQ46" s="21">
        <f>EXP(-LN(2)/25)*BQ45+(1-EXP(-LN(2)/25))/(LN(2)/25)*Calculateur!BL46*Calculateur!BN46*VLOOKUP('Données projet'!$B$11,Paramètres!$A$1:$I$89,3,0)*0.475*44/12</f>
        <v>7.8664658956838345</v>
      </c>
      <c r="BR46" s="21">
        <f>EXP(-LN(2)/2)*BR45+(1-EXP(-LN(2)/2))/(LN(2)/2)*BL46*BO46*VLOOKUP('Données projet'!$B$11,Paramètres!$A$1:$I$89,3,0)*0.475*44/12</f>
        <v>7.7312247064345849E-2</v>
      </c>
      <c r="BS46" s="22">
        <f t="shared" si="9"/>
        <v>11.66321686583996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181.20000000000002</v>
      </c>
      <c r="BZ46" s="13">
        <f>BY46*VLOOKUP('Données projet'!$B$12,Paramètres!$A$1:$I$89,3,0)*VLOOKUP('Données projet'!$B$12,Paramètres!$A$1:$I$89,5,0)</f>
        <v>183.73680000000002</v>
      </c>
      <c r="CA46" s="13">
        <f t="shared" si="39"/>
        <v>46.152558509293854</v>
      </c>
      <c r="CB46" s="20">
        <f t="shared" si="10"/>
        <v>400.3906327370201</v>
      </c>
      <c r="CC46" s="59">
        <f t="shared" si="11"/>
        <v>693.72396607035341</v>
      </c>
      <c r="CD46" s="59">
        <f ca="1">AVERAGE(OFFSET($CC$3,0,0,'Données projet'!$E$12+1,1))-AVERAGE(OFFSET($H$3,0,0,'Données projet'!$E$12+1,1))</f>
        <v>449.84356201138451</v>
      </c>
      <c r="CE46" s="59">
        <f t="shared" si="40"/>
        <v>306.61893266146666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6.3313916335668079</v>
      </c>
      <c r="CL46" s="21">
        <f>EXP(-LN(2)/25)*CL45+(1-EXP(-LN(2)/25))/(LN(2)/25)*Calculateur!CG46*Calculateur!CI46*VLOOKUP('Données projet'!$B$12,Paramètres!$A$1:$I$89,3,0)*0.475*44/12</f>
        <v>7.3189149638593687</v>
      </c>
      <c r="CM46" s="21">
        <f>EXP(-LN(2)/2)*CM45+(1-EXP(-LN(2)/2))/(LN(2)/2)*CG46*CJ46*VLOOKUP('Données projet'!$B$12,Paramètres!$A$1:$I$89,3,0)*0.475*44/12</f>
        <v>0.10567819774079232</v>
      </c>
      <c r="CN46" s="22">
        <f t="shared" si="12"/>
        <v>13.755984795166968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181.20000000000002</v>
      </c>
      <c r="CU46" s="17">
        <f>CT46*VLOOKUP('Données projet'!$B$13,Paramètres!$A$1:$I$89,3,0)*VLOOKUP('Données projet'!$B$13,Paramètres!$A$1:$I$89,5,0)</f>
        <v>195.04368000000002</v>
      </c>
      <c r="CV46" s="13">
        <f t="shared" si="41"/>
        <v>48.65333290919024</v>
      </c>
      <c r="CW46" s="20">
        <f t="shared" si="13"/>
        <v>424.43896415017304</v>
      </c>
      <c r="CX46" s="59">
        <f t="shared" si="14"/>
        <v>717.77229748350635</v>
      </c>
      <c r="CY46" s="59">
        <f ca="1">AVERAGE(OFFSET($CX$3,0,0,'Données projet'!$E$13+1,1))-AVERAGE(OFFSET($H$3,0,0,'Données projet'!$E$13+1,1))</f>
        <v>475.01366239340246</v>
      </c>
      <c r="CZ46" s="59">
        <f t="shared" si="42"/>
        <v>322.81767004794284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6.7210157340939913</v>
      </c>
      <c r="DG46" s="21">
        <f>EXP(-LN(2)/25)*DG45+(1-EXP(-LN(2)/25))/(LN(2)/25)*Calculateur!DB46*Calculateur!DD46*VLOOKUP('Données projet'!$B$13,Paramètres!$A$1:$I$89,3,0)*0.475*44/12</f>
        <v>7.7693097308660981</v>
      </c>
      <c r="DH46" s="21">
        <f>EXP(-LN(2)/2)*DH45+(1-EXP(-LN(2)/2))/(LN(2)/2)*DB46*DE46*VLOOKUP('Données projet'!$B$13,Paramètres!$A$1:$I$89,3,0)*0.475*44/12</f>
        <v>0.11218147144791803</v>
      </c>
      <c r="DI46" s="22">
        <f t="shared" si="15"/>
        <v>14.602506936408009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7.4</v>
      </c>
      <c r="DO46" s="12">
        <f>IF('Données projet'!$A$166&gt;35,DO45+DN46-DW45,IF(A46&lt;'Données projet'!$A$166,$DL$205^A46,IF(A46='Données projet'!$A$166,'Données projet'!$B$166,DO45+DN46-DW45)))</f>
        <v>363.20000000000027</v>
      </c>
      <c r="DP46" s="17">
        <f>DO46*VLOOKUP('Données projet'!$B$14,Paramètres!$A$1:$I$89,3,0)*VLOOKUP('Données projet'!$B$14,Paramètres!$A$1:$I$89,5,0)</f>
        <v>328.62336000000022</v>
      </c>
      <c r="DQ46" s="13">
        <f t="shared" si="43"/>
        <v>77.144825174157688</v>
      </c>
      <c r="DR46" s="20">
        <f t="shared" si="16"/>
        <v>706.71292251165823</v>
      </c>
      <c r="DS46" s="59">
        <f t="shared" si="17"/>
        <v>1000.0462558449915</v>
      </c>
      <c r="DT46" s="59">
        <f ca="1">AVERAGE(OFFSET($DS$3,0,0,'Données projet'!$E$14+1,1))-AVERAGE(OFFSET($H$3,0,0,'Données projet'!$E$14+1,1))</f>
        <v>436.23918637269577</v>
      </c>
      <c r="DU46" s="59">
        <f t="shared" si="44"/>
        <v>611.43967996341894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2.5463631887787357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5.2154489766019427E-2</v>
      </c>
      <c r="ED46" s="22">
        <f t="shared" si="18"/>
        <v>2.5985176785447552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186.28272000000001</v>
      </c>
      <c r="P47" s="13">
        <f t="shared" si="33"/>
        <v>46.717172342223918</v>
      </c>
      <c r="Q47" s="20">
        <f t="shared" si="53"/>
        <v>405.80814582937325</v>
      </c>
      <c r="R47" s="59">
        <f t="shared" si="0"/>
        <v>699.14147916270656</v>
      </c>
      <c r="S47" s="59">
        <f ca="1">AVERAGE(OFFSET($R$3,0,0,'Données projet'!$E$9+1,1))-AVERAGE(OFFSET($H$3,0,0,'Données projet'!$E$9+1,1))</f>
        <v>430.94515308997018</v>
      </c>
      <c r="T47" s="59">
        <f t="shared" si="34"/>
        <v>294.45557293177131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5.9207490482278269</v>
      </c>
      <c r="AA47" s="21">
        <f>EXP(-LN(2)/25)*AA46+(1-EXP(-LN(2)/25))/(LN(2)/25)*Calculateur!V47*Calculateur!X47*VLOOKUP('Données projet'!$B$9,Paramètres!$A$1:$I$89,3,0)*0.475*44/12</f>
        <v>6.7902198254743507</v>
      </c>
      <c r="AB47" s="21">
        <f>EXP(-LN(2)/2)*AB46+(1-EXP(-LN(2)/2))/(LN(2)/2)*V47*Y47*VLOOKUP('Données projet'!$B$9,Paramètres!$A$1:$I$89,3,0)*0.475*44/12</f>
        <v>7.127688854242159E-2</v>
      </c>
      <c r="AC47" s="22">
        <f t="shared" si="3"/>
        <v>12.7822457622446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11.5</v>
      </c>
      <c r="AI47" s="13">
        <f>IF('Données projet'!$A$62&gt;35,AI46+AH47-AQ46,IF(A47&lt;'Données projet'!$A$62,$AF$205^A47,IF(A47='Données projet'!$A$62,'Données projet'!$B$62,AI46+AH47-AQ46)))</f>
        <v>219.49999999999989</v>
      </c>
      <c r="AJ47" s="13">
        <f>AI47*VLOOKUP('Données projet'!$B$10,Paramètres!$A$1:$I$89,3,0)*VLOOKUP('Données projet'!$B$10,Paramètres!$A$1:$I$89,5,0)</f>
        <v>102.72599999999994</v>
      </c>
      <c r="AK47" s="13">
        <f t="shared" si="35"/>
        <v>27.610409417164195</v>
      </c>
      <c r="AL47" s="20">
        <f t="shared" si="4"/>
        <v>227.0025797348942</v>
      </c>
      <c r="AM47" s="59">
        <f t="shared" si="5"/>
        <v>520.33591306822746</v>
      </c>
      <c r="AN47" s="59">
        <f ca="1">AVERAGE(OFFSET($AM$3,0,0,'Données projet'!$E$10+1,1))-AVERAGE(OFFSET($H$3,0,0,'Données projet'!$E$10+1,1))</f>
        <v>319.22903094674564</v>
      </c>
      <c r="AO47" s="59">
        <f t="shared" si="36"/>
        <v>254.58690973142848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6.8784484434671374</v>
      </c>
      <c r="AV47" s="21">
        <f>EXP(-LN(2)/25)*AV46+(1-EXP(-LN(2)/25))/(LN(2)/25)*Calculateur!AQ47*Calculateur!AS47*VLOOKUP('Données projet'!$B$10,Paramètres!$A$1:$I$89,3,0)*0.475*44/12</f>
        <v>7.5639646313581395</v>
      </c>
      <c r="AW47" s="21">
        <f>EXP(-LN(2)/2)*AW46+(1-EXP(-LN(2)/2))/(LN(2)/2)*AQ47*AT47*VLOOKUP('Données projet'!$B$10,Paramètres!$A$1:$I$89,3,0)*0.475*44/12</f>
        <v>8.62744425281122E-2</v>
      </c>
      <c r="AX47" s="21">
        <f t="shared" si="6"/>
        <v>14.528687517353388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8.8000000000000007</v>
      </c>
      <c r="BD47" s="12">
        <f>IF('Données projet'!$A$88&gt;35,BD46+BC47-BL46,IF(A47&lt;'Données projet'!$A$88,$BA$205^A47,IF(A47='Données projet'!$A$88,'Données projet'!$B$88,BD46+BC47-BL46)))</f>
        <v>210.20000000000013</v>
      </c>
      <c r="BE47" s="13">
        <f>BD47*VLOOKUP('Données projet'!$B$11,Paramètres!$A$1:$I$89,3,0)*VLOOKUP('Données projet'!$B$11,Paramètres!$A$1:$I$89,5,0)</f>
        <v>183.63072000000014</v>
      </c>
      <c r="BF47" s="13">
        <f t="shared" si="37"/>
        <v>46.129013251634483</v>
      </c>
      <c r="BG47" s="20">
        <f t="shared" si="7"/>
        <v>400.16486874659699</v>
      </c>
      <c r="BH47" s="59">
        <f t="shared" si="8"/>
        <v>693.49820207993025</v>
      </c>
      <c r="BI47" s="59">
        <f ca="1">AVERAGE(OFFSET($BH$3,0,0,'Données projet'!$E$11+1,1))-AVERAGE(OFFSET($H$3,0,0,'Données projet'!$E$11+1,1))</f>
        <v>395.21779046720553</v>
      </c>
      <c r="BJ47" s="59">
        <f t="shared" si="38"/>
        <v>360.05900046417361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3.6465027983655638</v>
      </c>
      <c r="BQ47" s="21">
        <f>EXP(-LN(2)/25)*BQ46+(1-EXP(-LN(2)/25))/(LN(2)/25)*Calculateur!BL47*Calculateur!BN47*VLOOKUP('Données projet'!$B$11,Paramètres!$A$1:$I$89,3,0)*0.475*44/12</f>
        <v>7.6513569720868979</v>
      </c>
      <c r="BR47" s="21">
        <f>EXP(-LN(2)/2)*BR46+(1-EXP(-LN(2)/2))/(LN(2)/2)*BL47*BO47*VLOOKUP('Données projet'!$B$11,Paramètres!$A$1:$I$89,3,0)*0.475*44/12</f>
        <v>5.4668014167968702E-2</v>
      </c>
      <c r="BS47" s="22">
        <f t="shared" si="9"/>
        <v>11.352527784620431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192.60000000000002</v>
      </c>
      <c r="BZ47" s="13">
        <f>BY47*VLOOKUP('Données projet'!$B$12,Paramètres!$A$1:$I$89,3,0)*VLOOKUP('Données projet'!$B$12,Paramètres!$A$1:$I$89,5,0)</f>
        <v>195.29640000000003</v>
      </c>
      <c r="CA47" s="13">
        <f t="shared" si="39"/>
        <v>48.709031383366153</v>
      </c>
      <c r="CB47" s="20">
        <f t="shared" si="10"/>
        <v>424.97612632602949</v>
      </c>
      <c r="CC47" s="59">
        <f t="shared" si="11"/>
        <v>718.3094596593628</v>
      </c>
      <c r="CD47" s="59">
        <f ca="1">AVERAGE(OFFSET($CC$3,0,0,'Données projet'!$E$12+1,1))-AVERAGE(OFFSET($H$3,0,0,'Données projet'!$E$12+1,1))</f>
        <v>449.84356201138451</v>
      </c>
      <c r="CE47" s="59">
        <f t="shared" si="40"/>
        <v>306.61893266146666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6.2072369054001415</v>
      </c>
      <c r="CL47" s="21">
        <f>EXP(-LN(2)/25)*CL46+(1-EXP(-LN(2)/25))/(LN(2)/25)*Calculateur!CG47*Calculateur!CI47*VLOOKUP('Données projet'!$B$12,Paramètres!$A$1:$I$89,3,0)*0.475*44/12</f>
        <v>7.1187788492876241</v>
      </c>
      <c r="CM47" s="21">
        <f>EXP(-LN(2)/2)*CM46+(1-EXP(-LN(2)/2))/(LN(2)/2)*CG47*CJ47*VLOOKUP('Données projet'!$B$12,Paramètres!$A$1:$I$89,3,0)*0.475*44/12</f>
        <v>7.4725770246087134E-2</v>
      </c>
      <c r="CN47" s="22">
        <f t="shared" si="12"/>
        <v>13.400741524933853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192.60000000000002</v>
      </c>
      <c r="CU47" s="17">
        <f>CT47*VLOOKUP('Données projet'!$B$13,Paramètres!$A$1:$I$89,3,0)*VLOOKUP('Données projet'!$B$13,Paramètres!$A$1:$I$89,5,0)</f>
        <v>207.31464000000003</v>
      </c>
      <c r="CV47" s="13">
        <f t="shared" si="41"/>
        <v>51.348328156106163</v>
      </c>
      <c r="CW47" s="20">
        <f t="shared" si="13"/>
        <v>450.50466953855158</v>
      </c>
      <c r="CX47" s="59">
        <f t="shared" si="14"/>
        <v>743.8380028718849</v>
      </c>
      <c r="CY47" s="59">
        <f ca="1">AVERAGE(OFFSET($CX$3,0,0,'Données projet'!$E$13+1,1))-AVERAGE(OFFSET($H$3,0,0,'Données projet'!$E$13+1,1))</f>
        <v>475.01366239340246</v>
      </c>
      <c r="CZ47" s="59">
        <f t="shared" si="42"/>
        <v>322.81767004794284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6.589220714963222</v>
      </c>
      <c r="DG47" s="21">
        <f>EXP(-LN(2)/25)*DG46+(1-EXP(-LN(2)/25))/(LN(2)/25)*Calculateur!DB47*Calculateur!DD47*VLOOKUP('Données projet'!$B$13,Paramètres!$A$1:$I$89,3,0)*0.475*44/12</f>
        <v>7.5568575477053228</v>
      </c>
      <c r="DH47" s="21">
        <f>EXP(-LN(2)/2)*DH46+(1-EXP(-LN(2)/2))/(LN(2)/2)*DB47*DE47*VLOOKUP('Données projet'!$B$13,Paramètres!$A$1:$I$89,3,0)*0.475*44/12</f>
        <v>7.93242791843079E-2</v>
      </c>
      <c r="DI47" s="22">
        <f t="shared" si="15"/>
        <v>14.225402541852853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7.4</v>
      </c>
      <c r="DO47" s="12">
        <f>IF('Données projet'!$A$166&gt;35,DO46+DN47-DW46,IF(A47&lt;'Données projet'!$A$166,$DL$205^A47,IF(A47='Données projet'!$A$166,'Données projet'!$B$166,DO46+DN47-DW46)))</f>
        <v>370.60000000000025</v>
      </c>
      <c r="DP47" s="17">
        <f>DO47*VLOOKUP('Données projet'!$B$14,Paramètres!$A$1:$I$89,3,0)*VLOOKUP('Données projet'!$B$14,Paramètres!$A$1:$I$89,5,0)</f>
        <v>335.31888000000021</v>
      </c>
      <c r="DQ47" s="13">
        <f t="shared" si="43"/>
        <v>78.532018418019703</v>
      </c>
      <c r="DR47" s="20">
        <f t="shared" si="16"/>
        <v>720.7903147447181</v>
      </c>
      <c r="DS47" s="59">
        <f t="shared" si="17"/>
        <v>1014.1236480780515</v>
      </c>
      <c r="DT47" s="59">
        <f ca="1">AVERAGE(OFFSET($DS$3,0,0,'Données projet'!$E$14+1,1))-AVERAGE(OFFSET($H$3,0,0,'Données projet'!$E$14+1,1))</f>
        <v>436.23918637269577</v>
      </c>
      <c r="DU47" s="59">
        <f t="shared" si="44"/>
        <v>611.43967996341894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2.496430559774971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3.687879338287673E-2</v>
      </c>
      <c r="ED47" s="22">
        <f t="shared" si="18"/>
        <v>2.5333093531578479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197.30880000000005</v>
      </c>
      <c r="P48" s="13">
        <f t="shared" si="33"/>
        <v>49.152257900676076</v>
      </c>
      <c r="Q48" s="20">
        <f t="shared" si="53"/>
        <v>429.25300917701088</v>
      </c>
      <c r="R48" s="59">
        <f t="shared" si="0"/>
        <v>722.58634251034414</v>
      </c>
      <c r="S48" s="59">
        <f ca="1">AVERAGE(OFFSET($R$3,0,0,'Données projet'!$E$9+1,1))-AVERAGE(OFFSET($H$3,0,0,'Données projet'!$E$9+1,1))</f>
        <v>430.94515308997018</v>
      </c>
      <c r="T48" s="59">
        <f t="shared" si="34"/>
        <v>294.45557293177131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5.8046467706924121</v>
      </c>
      <c r="AA48" s="21">
        <f>EXP(-LN(2)/25)*AA47+(1-EXP(-LN(2)/25))/(LN(2)/25)*Calculateur!V48*Calculateur!X48*VLOOKUP('Données projet'!$B$9,Paramètres!$A$1:$I$89,3,0)*0.475*44/12</f>
        <v>6.6045409072646128</v>
      </c>
      <c r="AB48" s="21">
        <f>EXP(-LN(2)/2)*AB47+(1-EXP(-LN(2)/2))/(LN(2)/2)*V48*Y48*VLOOKUP('Données projet'!$B$9,Paramètres!$A$1:$I$89,3,0)*0.475*44/12</f>
        <v>5.0400371230224041E-2</v>
      </c>
      <c r="AC48" s="22">
        <f t="shared" si="3"/>
        <v>12.459588049187248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11.5</v>
      </c>
      <c r="AI48" s="13">
        <f>IF('Données projet'!$A$62&gt;35,AI47+AH48-AQ47,IF(A48&lt;'Données projet'!$A$62,$AF$205^A48,IF(A48='Données projet'!$A$62,'Données projet'!$B$62,AI47+AH48-AQ47)))</f>
        <v>230.99999999999989</v>
      </c>
      <c r="AJ48" s="13">
        <f>AI48*VLOOKUP('Données projet'!$B$10,Paramètres!$A$1:$I$89,3,0)*VLOOKUP('Données projet'!$B$10,Paramètres!$A$1:$I$89,5,0)</f>
        <v>108.10799999999995</v>
      </c>
      <c r="AK48" s="13">
        <f t="shared" si="35"/>
        <v>28.884765499467136</v>
      </c>
      <c r="AL48" s="20">
        <f t="shared" si="4"/>
        <v>238.59573324490518</v>
      </c>
      <c r="AM48" s="59">
        <f t="shared" si="5"/>
        <v>531.92906657823846</v>
      </c>
      <c r="AN48" s="59">
        <f ca="1">AVERAGE(OFFSET($AM$3,0,0,'Données projet'!$E$10+1,1))-AVERAGE(OFFSET($H$3,0,0,'Données projet'!$E$10+1,1))</f>
        <v>319.22903094674564</v>
      </c>
      <c r="AO48" s="59">
        <f t="shared" si="36"/>
        <v>254.58690973142848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6.7435662649300321</v>
      </c>
      <c r="AV48" s="21">
        <f>EXP(-LN(2)/25)*AV47+(1-EXP(-LN(2)/25))/(LN(2)/25)*Calculateur!AQ48*Calculateur!AS48*VLOOKUP('Données projet'!$B$10,Paramètres!$A$1:$I$89,3,0)*0.475*44/12</f>
        <v>7.3571276207420384</v>
      </c>
      <c r="AW48" s="21">
        <f>EXP(-LN(2)/2)*AW47+(1-EXP(-LN(2)/2))/(LN(2)/2)*AQ48*AT48*VLOOKUP('Données projet'!$B$10,Paramètres!$A$1:$I$89,3,0)*0.475*44/12</f>
        <v>6.1005243354717208E-2</v>
      </c>
      <c r="AX48" s="21">
        <f t="shared" si="6"/>
        <v>14.161699129026788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219</v>
      </c>
      <c r="BB48" s="12">
        <f>VLOOKUP(A48,'Données projet'!$A$87:$I$107,9,0)</f>
        <v>8.8000000000000007</v>
      </c>
      <c r="BC48" s="12">
        <f t="array" ref="BC48">INDEX(BB:BB,MIN(IF(ISNUMBER(BB48:BB244),ROW(BB48:BB244),"")))</f>
        <v>8.8000000000000007</v>
      </c>
      <c r="BD48" s="12">
        <f>IF('Données projet'!$A$88&gt;35,BD47+BC48-BL47,IF(A48&lt;'Données projet'!$A$88,$BA$205^A48,IF(A48='Données projet'!$A$88,'Données projet'!$B$88,BD47+BC48-BL47)))</f>
        <v>219.00000000000014</v>
      </c>
      <c r="BE48" s="13">
        <f>BD48*VLOOKUP('Données projet'!$B$11,Paramètres!$A$1:$I$89,3,0)*VLOOKUP('Données projet'!$B$11,Paramètres!$A$1:$I$89,5,0)</f>
        <v>191.31840000000014</v>
      </c>
      <c r="BF48" s="13">
        <f t="shared" si="37"/>
        <v>47.831314962098396</v>
      </c>
      <c r="BG48" s="20">
        <f t="shared" si="7"/>
        <v>416.51908689232158</v>
      </c>
      <c r="BH48" s="59">
        <f t="shared" si="8"/>
        <v>709.8524202256549</v>
      </c>
      <c r="BI48" s="59">
        <f ca="1">AVERAGE(OFFSET($BH$3,0,0,'Données projet'!$E$11+1,1))-AVERAGE(OFFSET($H$3,0,0,'Données projet'!$E$11+1,1))</f>
        <v>395.21779046720553</v>
      </c>
      <c r="BJ48" s="59">
        <f t="shared" si="38"/>
        <v>360.05900046417361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30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3.574997102636706</v>
      </c>
      <c r="BQ48" s="21">
        <f>EXP(-LN(2)/25)*BQ47+(1-EXP(-LN(2)/25))/(LN(2)/25)*Calculateur!BL48*Calculateur!BN48*VLOOKUP('Données projet'!$B$11,Paramètres!$A$1:$I$89,3,0)*0.475*44/12</f>
        <v>7.4421302133178058</v>
      </c>
      <c r="BR48" s="21">
        <f>EXP(-LN(2)/2)*BR47+(1-EXP(-LN(2)/2))/(LN(2)/2)*BL48*BO48*VLOOKUP('Données projet'!$B$11,Paramètres!$A$1:$I$89,3,0)*0.475*44/12</f>
        <v>3.8656123532172924E-2</v>
      </c>
      <c r="BS48" s="22">
        <f t="shared" si="9"/>
        <v>11.055783439486683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204.00000000000003</v>
      </c>
      <c r="BZ48" s="13">
        <f>BY48*VLOOKUP('Données projet'!$B$12,Paramètres!$A$1:$I$89,3,0)*VLOOKUP('Données projet'!$B$12,Paramètres!$A$1:$I$89,5,0)</f>
        <v>206.85600000000005</v>
      </c>
      <c r="CA48" s="13">
        <f t="shared" si="39"/>
        <v>51.247940588293027</v>
      </c>
      <c r="CB48" s="20">
        <f t="shared" si="10"/>
        <v>449.53102985794379</v>
      </c>
      <c r="CC48" s="59">
        <f t="shared" si="11"/>
        <v>742.86436319127711</v>
      </c>
      <c r="CD48" s="59">
        <f ca="1">AVERAGE(OFFSET($CC$3,0,0,'Données projet'!$E$12+1,1))-AVERAGE(OFFSET($H$3,0,0,'Données projet'!$E$12+1,1))</f>
        <v>449.84356201138451</v>
      </c>
      <c r="CE48" s="59">
        <f t="shared" si="40"/>
        <v>306.61893266146666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6.0855167757259165</v>
      </c>
      <c r="CL48" s="21">
        <f>EXP(-LN(2)/25)*CL47+(1-EXP(-LN(2)/25))/(LN(2)/25)*Calculateur!CG48*Calculateur!CI48*VLOOKUP('Données projet'!$B$12,Paramètres!$A$1:$I$89,3,0)*0.475*44/12</f>
        <v>6.9241154672935448</v>
      </c>
      <c r="CM48" s="21">
        <f>EXP(-LN(2)/2)*CM47+(1-EXP(-LN(2)/2))/(LN(2)/2)*CG48*CJ48*VLOOKUP('Données projet'!$B$12,Paramètres!$A$1:$I$89,3,0)*0.475*44/12</f>
        <v>5.2839098870396159E-2</v>
      </c>
      <c r="CN48" s="22">
        <f t="shared" si="12"/>
        <v>13.062471341889857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204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204.00000000000003</v>
      </c>
      <c r="CU48" s="17">
        <f>CT48*VLOOKUP('Données projet'!$B$13,Paramètres!$A$1:$I$89,3,0)*VLOOKUP('Données projet'!$B$13,Paramètres!$A$1:$I$89,5,0)</f>
        <v>219.58560000000003</v>
      </c>
      <c r="CV48" s="13">
        <f t="shared" si="41"/>
        <v>54.024808047218549</v>
      </c>
      <c r="CW48" s="20">
        <f t="shared" si="13"/>
        <v>476.53812734890562</v>
      </c>
      <c r="CX48" s="59">
        <f t="shared" si="14"/>
        <v>769.87146068223888</v>
      </c>
      <c r="CY48" s="59">
        <f ca="1">AVERAGE(OFFSET($CX$3,0,0,'Données projet'!$E$13+1,1))-AVERAGE(OFFSET($H$3,0,0,'Données projet'!$E$13+1,1))</f>
        <v>475.01366239340246</v>
      </c>
      <c r="CZ48" s="59">
        <f t="shared" si="42"/>
        <v>322.81767004794284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6.4600101157705829</v>
      </c>
      <c r="DG48" s="21">
        <f>EXP(-LN(2)/25)*DG47+(1-EXP(-LN(2)/25))/(LN(2)/25)*Calculateur!DB48*Calculateur!DD48*VLOOKUP('Données projet'!$B$13,Paramètres!$A$1:$I$89,3,0)*0.475*44/12</f>
        <v>7.3502148806654537</v>
      </c>
      <c r="DH48" s="21">
        <f>EXP(-LN(2)/2)*DH47+(1-EXP(-LN(2)/2))/(LN(2)/2)*DB48*DE48*VLOOKUP('Données projet'!$B$13,Paramètres!$A$1:$I$89,3,0)*0.475*44/12</f>
        <v>5.6090735723959013E-2</v>
      </c>
      <c r="DI48" s="22">
        <f t="shared" si="15"/>
        <v>13.866315732159997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378</v>
      </c>
      <c r="DM48" s="12">
        <f>VLOOKUP(A48,'Données projet'!$A$165:$I$185,9,0)</f>
        <v>7.4</v>
      </c>
      <c r="DN48" s="12">
        <f t="array" ref="DN48">INDEX(DM:DM,MIN(IF(ISNUMBER(DM48:DM244),ROW(DM48:DM244),"")))</f>
        <v>7.4</v>
      </c>
      <c r="DO48" s="12">
        <f>IF('Données projet'!$A$166&gt;35,DO47+DN48-DW47,IF(A48&lt;'Données projet'!$A$166,$DL$205^A48,IF(A48='Données projet'!$A$166,'Données projet'!$B$166,DO47+DN48-DW47)))</f>
        <v>378.00000000000023</v>
      </c>
      <c r="DP48" s="17">
        <f>DO48*VLOOKUP('Données projet'!$B$14,Paramètres!$A$1:$I$89,3,0)*VLOOKUP('Données projet'!$B$14,Paramètres!$A$1:$I$89,5,0)</f>
        <v>342.01440000000019</v>
      </c>
      <c r="DQ48" s="13">
        <f t="shared" si="43"/>
        <v>79.9159910220867</v>
      </c>
      <c r="DR48" s="20">
        <f t="shared" si="16"/>
        <v>734.86209769680136</v>
      </c>
      <c r="DS48" s="59">
        <f t="shared" si="17"/>
        <v>1028.1954310301346</v>
      </c>
      <c r="DT48" s="59">
        <f ca="1">AVERAGE(OFFSET($DS$3,0,0,'Données projet'!$E$14+1,1))-AVERAGE(OFFSET($H$3,0,0,'Données projet'!$E$14+1,1))</f>
        <v>436.23918637269577</v>
      </c>
      <c r="DU48" s="59">
        <f t="shared" si="44"/>
        <v>611.43967996341894</v>
      </c>
      <c r="DV48" s="15">
        <f>IF(ISNA(VLOOKUP(A48,'Données projet'!$A$165:$I$185,3,0)),0,VLOOKUP(A48,'Données projet'!$A$165:$I$185,3,0))</f>
        <v>9</v>
      </c>
      <c r="DW48" s="15">
        <f>IF(ISNA(VLOOKUP(A48,'Données projet'!$A$165:$I$185,4,0)),0,VLOOKUP(A48,'Données projet'!$A$165:$I$185,4,0))</f>
        <v>378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2.4474770791700737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2.6077244883009713E-2</v>
      </c>
      <c r="ED48" s="22">
        <f t="shared" si="18"/>
        <v>2.4735543240530835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180.86640000000003</v>
      </c>
      <c r="P49" s="13">
        <f t="shared" si="33"/>
        <v>45.514890302102152</v>
      </c>
      <c r="Q49" s="20">
        <f t="shared" si="53"/>
        <v>394.28074727616126</v>
      </c>
      <c r="R49" s="59">
        <f t="shared" si="0"/>
        <v>687.61408060949452</v>
      </c>
      <c r="S49" s="59">
        <f ca="1">AVERAGE(OFFSET($R$3,0,0,'Données projet'!$E$9+1,1))-AVERAGE(OFFSET($H$3,0,0,'Données projet'!$E$9+1,1))</f>
        <v>430.94515308997018</v>
      </c>
      <c r="T49" s="59">
        <f t="shared" si="34"/>
        <v>294.45557293177131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5.6908211880040698</v>
      </c>
      <c r="AA49" s="21">
        <f>EXP(-LN(2)/25)*AA48+(1-EXP(-LN(2)/25))/(LN(2)/25)*Calculateur!V49*Calculateur!X49*VLOOKUP('Données projet'!$B$9,Paramètres!$A$1:$I$89,3,0)*0.475*44/12</f>
        <v>6.4239393888377503</v>
      </c>
      <c r="AB49" s="21">
        <f>EXP(-LN(2)/2)*AB48+(1-EXP(-LN(2)/2))/(LN(2)/2)*V49*Y49*VLOOKUP('Données projet'!$B$9,Paramètres!$A$1:$I$89,3,0)*0.475*44/12</f>
        <v>3.5638444271210795E-2</v>
      </c>
      <c r="AC49" s="22">
        <f t="shared" si="3"/>
        <v>12.150399021113031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11.5</v>
      </c>
      <c r="AI49" s="13">
        <f>IF('Données projet'!$A$62&gt;35,AI48+AH49-AQ48,IF(A49&lt;'Données projet'!$A$62,$AF$205^A49,IF(A49='Données projet'!$A$62,'Données projet'!$B$62,AI48+AH49-AQ48)))</f>
        <v>242.49999999999989</v>
      </c>
      <c r="AJ49" s="13">
        <f>AI49*VLOOKUP('Données projet'!$B$10,Paramètres!$A$1:$I$89,3,0)*VLOOKUP('Données projet'!$B$10,Paramètres!$A$1:$I$89,5,0)</f>
        <v>113.48999999999994</v>
      </c>
      <c r="AK49" s="13">
        <f t="shared" si="35"/>
        <v>30.151755078981495</v>
      </c>
      <c r="AL49" s="20">
        <f t="shared" si="4"/>
        <v>250.17605676255928</v>
      </c>
      <c r="AM49" s="59">
        <f t="shared" si="5"/>
        <v>543.50939009589263</v>
      </c>
      <c r="AN49" s="59">
        <f ca="1">AVERAGE(OFFSET($AM$3,0,0,'Données projet'!$E$10+1,1))-AVERAGE(OFFSET($H$3,0,0,'Données projet'!$E$10+1,1))</f>
        <v>319.22903094674564</v>
      </c>
      <c r="AO49" s="59">
        <f t="shared" si="36"/>
        <v>254.58690973142848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6.6113290436440337</v>
      </c>
      <c r="AV49" s="21">
        <f>EXP(-LN(2)/25)*AV48+(1-EXP(-LN(2)/25))/(LN(2)/25)*Calculateur!AQ49*Calculateur!AS49*VLOOKUP('Données projet'!$B$10,Paramètres!$A$1:$I$89,3,0)*0.475*44/12</f>
        <v>7.1559465790583205</v>
      </c>
      <c r="AW49" s="21">
        <f>EXP(-LN(2)/2)*AW48+(1-EXP(-LN(2)/2))/(LN(2)/2)*AQ49*AT49*VLOOKUP('Données projet'!$B$10,Paramètres!$A$1:$I$89,3,0)*0.475*44/12</f>
        <v>4.3137221264056107E-2</v>
      </c>
      <c r="AX49" s="21">
        <f t="shared" si="6"/>
        <v>13.810412843966409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197.20000000000013</v>
      </c>
      <c r="BE49" s="13">
        <f>BD49*VLOOKUP('Données projet'!$B$11,Paramètres!$A$1:$I$89,3,0)*VLOOKUP('Données projet'!$B$11,Paramètres!$A$1:$I$89,5,0)</f>
        <v>172.27392000000015</v>
      </c>
      <c r="BF49" s="13">
        <f t="shared" si="37"/>
        <v>43.59891151369964</v>
      </c>
      <c r="BG49" s="20">
        <f t="shared" si="7"/>
        <v>375.97851488636047</v>
      </c>
      <c r="BH49" s="59">
        <f t="shared" si="8"/>
        <v>669.31184821969373</v>
      </c>
      <c r="BI49" s="59">
        <f ca="1">AVERAGE(OFFSET($BH$3,0,0,'Données projet'!$E$11+1,1))-AVERAGE(OFFSET($H$3,0,0,'Données projet'!$E$11+1,1))</f>
        <v>395.21779046720553</v>
      </c>
      <c r="BJ49" s="59">
        <f t="shared" si="38"/>
        <v>360.05900046417361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3.5048935899869229</v>
      </c>
      <c r="BQ49" s="21">
        <f>EXP(-LN(2)/25)*BQ48+(1-EXP(-LN(2)/25))/(LN(2)/25)*Calculateur!BL49*Calculateur!BN49*VLOOKUP('Données projet'!$B$11,Paramètres!$A$1:$I$89,3,0)*0.475*44/12</f>
        <v>7.238624771270012</v>
      </c>
      <c r="BR49" s="21">
        <f>EXP(-LN(2)/2)*BR48+(1-EXP(-LN(2)/2))/(LN(2)/2)*BL49*BO49*VLOOKUP('Données projet'!$B$11,Paramètres!$A$1:$I$89,3,0)*0.475*44/12</f>
        <v>2.7334007083984351E-2</v>
      </c>
      <c r="BS49" s="22">
        <f t="shared" si="9"/>
        <v>10.77085236834092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187.00000000000003</v>
      </c>
      <c r="BZ49" s="13">
        <f>BY49*VLOOKUP('Données projet'!$B$12,Paramètres!$A$1:$I$89,3,0)*VLOOKUP('Données projet'!$B$12,Paramètres!$A$1:$I$89,5,0)</f>
        <v>189.61800000000005</v>
      </c>
      <c r="CA49" s="13">
        <f t="shared" si="39"/>
        <v>47.4554881852685</v>
      </c>
      <c r="CB49" s="20">
        <f t="shared" si="10"/>
        <v>412.90299192267599</v>
      </c>
      <c r="CC49" s="59">
        <f t="shared" si="11"/>
        <v>706.23632525600931</v>
      </c>
      <c r="CD49" s="59">
        <f ca="1">AVERAGE(OFFSET($CC$3,0,0,'Données projet'!$E$12+1,1))-AVERAGE(OFFSET($H$3,0,0,'Données projet'!$E$12+1,1))</f>
        <v>449.84356201138451</v>
      </c>
      <c r="CE49" s="59">
        <f t="shared" si="40"/>
        <v>306.61893266146666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5.9661835035526547</v>
      </c>
      <c r="CL49" s="21">
        <f>EXP(-LN(2)/25)*CL48+(1-EXP(-LN(2)/25))/(LN(2)/25)*Calculateur!CG49*Calculateur!CI49*VLOOKUP('Données projet'!$B$12,Paramètres!$A$1:$I$89,3,0)*0.475*44/12</f>
        <v>6.7347751657169956</v>
      </c>
      <c r="CM49" s="21">
        <f>EXP(-LN(2)/2)*CM48+(1-EXP(-LN(2)/2))/(LN(2)/2)*CG49*CJ49*VLOOKUP('Données projet'!$B$12,Paramètres!$A$1:$I$89,3,0)*0.475*44/12</f>
        <v>3.7362885123043567E-2</v>
      </c>
      <c r="CN49" s="22">
        <f t="shared" si="12"/>
        <v>12.738321554392693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187.00000000000003</v>
      </c>
      <c r="CU49" s="17">
        <f>CT49*VLOOKUP('Données projet'!$B$13,Paramètres!$A$1:$I$89,3,0)*VLOOKUP('Données projet'!$B$13,Paramètres!$A$1:$I$89,5,0)</f>
        <v>201.2868</v>
      </c>
      <c r="CV49" s="13">
        <f t="shared" si="41"/>
        <v>50.026861773677616</v>
      </c>
      <c r="CW49" s="20">
        <f t="shared" si="13"/>
        <v>437.70462758915511</v>
      </c>
      <c r="CX49" s="59">
        <f t="shared" si="14"/>
        <v>731.03796092248842</v>
      </c>
      <c r="CY49" s="59">
        <f ca="1">AVERAGE(OFFSET($CX$3,0,0,'Données projet'!$E$13+1,1))-AVERAGE(OFFSET($H$3,0,0,'Données projet'!$E$13+1,1))</f>
        <v>475.01366239340246</v>
      </c>
      <c r="CZ49" s="59">
        <f t="shared" si="42"/>
        <v>322.81767004794284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6.3333332576174284</v>
      </c>
      <c r="DG49" s="21">
        <f>EXP(-LN(2)/25)*DG48+(1-EXP(-LN(2)/25))/(LN(2)/25)*Calculateur!DB49*Calculateur!DD49*VLOOKUP('Données projet'!$B$13,Paramètres!$A$1:$I$89,3,0)*0.475*44/12</f>
        <v>7.1492228682226555</v>
      </c>
      <c r="DH49" s="21">
        <f>EXP(-LN(2)/2)*DH48+(1-EXP(-LN(2)/2))/(LN(2)/2)*DB49*DE49*VLOOKUP('Données projet'!$B$13,Paramètres!$A$1:$I$89,3,0)*0.475*44/12</f>
        <v>3.966213959215395E-2</v>
      </c>
      <c r="DI49" s="22">
        <f t="shared" si="15"/>
        <v>13.522218265432238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2.2737367544323206E-13</v>
      </c>
      <c r="DP49" s="17">
        <f>DO49*VLOOKUP('Données projet'!$B$14,Paramètres!$A$1:$I$89,3,0)*VLOOKUP('Données projet'!$B$14,Paramètres!$A$1:$I$89,5,0)</f>
        <v>2.0572770154103635E-13</v>
      </c>
      <c r="DQ49" s="13">
        <f t="shared" si="43"/>
        <v>2.8416956338469711E-12</v>
      </c>
      <c r="DR49" s="20">
        <f t="shared" si="16"/>
        <v>5.3075956424674458E-12</v>
      </c>
      <c r="DS49" s="59">
        <f t="shared" si="17"/>
        <v>293.3333333333386</v>
      </c>
      <c r="DT49" s="59">
        <f ca="1">AVERAGE(OFFSET($DS$3,0,0,'Données projet'!$E$14+1,1))-AVERAGE(OFFSET($H$3,0,0,'Données projet'!$E$14+1,1))</f>
        <v>436.23918637269577</v>
      </c>
      <c r="DU49" s="59">
        <f t="shared" si="44"/>
        <v>611.43967996341894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2.3994835464611639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1.8439396691438365E-2</v>
      </c>
      <c r="ED49" s="22">
        <f t="shared" si="18"/>
        <v>2.4179229431526021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191.50560000000004</v>
      </c>
      <c r="P50" s="13">
        <f t="shared" si="33"/>
        <v>47.872666570685276</v>
      </c>
      <c r="Q50" s="20">
        <f t="shared" si="53"/>
        <v>416.91714761061024</v>
      </c>
      <c r="R50" s="59">
        <f t="shared" si="0"/>
        <v>710.25048094394356</v>
      </c>
      <c r="S50" s="59">
        <f ca="1">AVERAGE(OFFSET($R$3,0,0,'Données projet'!$E$9+1,1))-AVERAGE(OFFSET($H$3,0,0,'Données projet'!$E$9+1,1))</f>
        <v>430.94515308997018</v>
      </c>
      <c r="T50" s="59">
        <f t="shared" si="34"/>
        <v>294.45557293177131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5.5792276555654965</v>
      </c>
      <c r="AA50" s="21">
        <f>EXP(-LN(2)/25)*AA49+(1-EXP(-LN(2)/25))/(LN(2)/25)*Calculateur!V50*Calculateur!X50*VLOOKUP('Données projet'!$B$9,Paramètres!$A$1:$I$89,3,0)*0.475*44/12</f>
        <v>6.2482764284296914</v>
      </c>
      <c r="AB50" s="21">
        <f>EXP(-LN(2)/2)*AB49+(1-EXP(-LN(2)/2))/(LN(2)/2)*V50*Y50*VLOOKUP('Données projet'!$B$9,Paramètres!$A$1:$I$89,3,0)*0.475*44/12</f>
        <v>2.520018561511202E-2</v>
      </c>
      <c r="AC50" s="22">
        <f t="shared" si="3"/>
        <v>11.8527042696103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11.5</v>
      </c>
      <c r="AI50" s="13">
        <f>IF('Données projet'!$A$62&gt;35,AI49+AH50-AQ49,IF(A50&lt;'Données projet'!$A$62,$AF$205^A50,IF(A50='Données projet'!$A$62,'Données projet'!$B$62,AI49+AH50-AQ49)))</f>
        <v>253.99999999999989</v>
      </c>
      <c r="AJ50" s="13">
        <f>AI50*VLOOKUP('Données projet'!$B$10,Paramètres!$A$1:$I$89,3,0)*VLOOKUP('Données projet'!$B$10,Paramètres!$A$1:$I$89,5,0)</f>
        <v>118.87199999999994</v>
      </c>
      <c r="AK50" s="13">
        <f t="shared" si="35"/>
        <v>31.411767382096219</v>
      </c>
      <c r="AL50" s="20">
        <f t="shared" si="4"/>
        <v>261.74422819048414</v>
      </c>
      <c r="AM50" s="59">
        <f t="shared" si="5"/>
        <v>555.07756152381739</v>
      </c>
      <c r="AN50" s="59">
        <f ca="1">AVERAGE(OFFSET($AM$3,0,0,'Données projet'!$E$10+1,1))-AVERAGE(OFFSET($H$3,0,0,'Données projet'!$E$10+1,1))</f>
        <v>319.22903094674564</v>
      </c>
      <c r="AO50" s="59">
        <f t="shared" si="36"/>
        <v>254.58690973142848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6.4816849136107137</v>
      </c>
      <c r="AV50" s="21">
        <f>EXP(-LN(2)/25)*AV49+(1-EXP(-LN(2)/25))/(LN(2)/25)*Calculateur!AQ50*Calculateur!AS50*VLOOKUP('Données projet'!$B$10,Paramètres!$A$1:$I$89,3,0)*0.475*44/12</f>
        <v>6.9602668435390953</v>
      </c>
      <c r="AW50" s="21">
        <f>EXP(-LN(2)/2)*AW49+(1-EXP(-LN(2)/2))/(LN(2)/2)*AQ50*AT50*VLOOKUP('Données projet'!$B$10,Paramètres!$A$1:$I$89,3,0)*0.475*44/12</f>
        <v>3.0502621677358607E-2</v>
      </c>
      <c r="AX50" s="21">
        <f t="shared" si="6"/>
        <v>13.472454378827168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205.40000000000012</v>
      </c>
      <c r="BE50" s="13">
        <f>BD50*VLOOKUP('Données projet'!$B$11,Paramètres!$A$1:$I$89,3,0)*VLOOKUP('Données projet'!$B$11,Paramètres!$A$1:$I$89,5,0)</f>
        <v>179.43744000000012</v>
      </c>
      <c r="BF50" s="13">
        <f t="shared" si="37"/>
        <v>45.197004138831659</v>
      </c>
      <c r="BG50" s="20">
        <f t="shared" si="7"/>
        <v>391.23832354179859</v>
      </c>
      <c r="BH50" s="59">
        <f t="shared" si="8"/>
        <v>684.57165687513191</v>
      </c>
      <c r="BI50" s="59">
        <f ca="1">AVERAGE(OFFSET($BH$3,0,0,'Données projet'!$E$11+1,1))-AVERAGE(OFFSET($H$3,0,0,'Données projet'!$E$11+1,1))</f>
        <v>395.21779046720553</v>
      </c>
      <c r="BJ50" s="59">
        <f t="shared" si="38"/>
        <v>360.05900046417361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3.4361647644612816</v>
      </c>
      <c r="BQ50" s="21">
        <f>EXP(-LN(2)/25)*BQ49+(1-EXP(-LN(2)/25))/(LN(2)/25)*Calculateur!BL50*Calculateur!BN50*VLOOKUP('Données projet'!$B$11,Paramètres!$A$1:$I$89,3,0)*0.475*44/12</f>
        <v>7.0406841962369011</v>
      </c>
      <c r="BR50" s="21">
        <f>EXP(-LN(2)/2)*BR49+(1-EXP(-LN(2)/2))/(LN(2)/2)*BL50*BO50*VLOOKUP('Données projet'!$B$11,Paramètres!$A$1:$I$89,3,0)*0.475*44/12</f>
        <v>1.9328061766086462E-2</v>
      </c>
      <c r="BS50" s="22">
        <f t="shared" si="9"/>
        <v>10.49617702246427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198.00000000000003</v>
      </c>
      <c r="BZ50" s="13">
        <f>BY50*VLOOKUP('Données projet'!$B$12,Paramètres!$A$1:$I$89,3,0)*VLOOKUP('Données projet'!$B$12,Paramètres!$A$1:$I$89,5,0)</f>
        <v>200.77200000000002</v>
      </c>
      <c r="CA50" s="13">
        <f t="shared" si="39"/>
        <v>49.913791898945412</v>
      </c>
      <c r="CB50" s="20">
        <f t="shared" si="10"/>
        <v>436.61108755732994</v>
      </c>
      <c r="CC50" s="59">
        <f t="shared" si="11"/>
        <v>729.9444208906632</v>
      </c>
      <c r="CD50" s="59">
        <f ca="1">AVERAGE(OFFSET($CC$3,0,0,'Données projet'!$E$12+1,1))-AVERAGE(OFFSET($H$3,0,0,'Données projet'!$E$12+1,1))</f>
        <v>449.84356201138451</v>
      </c>
      <c r="CE50" s="59">
        <f t="shared" si="40"/>
        <v>306.61893266146666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5.8491902840606018</v>
      </c>
      <c r="CL50" s="21">
        <f>EXP(-LN(2)/25)*CL49+(1-EXP(-LN(2)/25))/(LN(2)/25)*Calculateur!CG50*Calculateur!CI50*VLOOKUP('Données projet'!$B$12,Paramètres!$A$1:$I$89,3,0)*0.475*44/12</f>
        <v>6.5506123846440314</v>
      </c>
      <c r="CM50" s="21">
        <f>EXP(-LN(2)/2)*CM49+(1-EXP(-LN(2)/2))/(LN(2)/2)*CG50*CJ50*VLOOKUP('Données projet'!$B$12,Paramètres!$A$1:$I$89,3,0)*0.475*44/12</f>
        <v>2.6419549435198079E-2</v>
      </c>
      <c r="CN50" s="22">
        <f t="shared" si="12"/>
        <v>12.426222218139833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198.00000000000003</v>
      </c>
      <c r="CU50" s="17">
        <f>CT50*VLOOKUP('Données projet'!$B$13,Paramètres!$A$1:$I$89,3,0)*VLOOKUP('Données projet'!$B$13,Paramètres!$A$1:$I$89,5,0)</f>
        <v>213.12720000000002</v>
      </c>
      <c r="CV50" s="13">
        <f t="shared" si="41"/>
        <v>52.618368568459893</v>
      </c>
      <c r="CW50" s="20">
        <f t="shared" si="13"/>
        <v>462.8401985900677</v>
      </c>
      <c r="CX50" s="59">
        <f t="shared" si="14"/>
        <v>756.17353192340101</v>
      </c>
      <c r="CY50" s="59">
        <f ca="1">AVERAGE(OFFSET($CX$3,0,0,'Données projet'!$E$13+1,1))-AVERAGE(OFFSET($H$3,0,0,'Données projet'!$E$13+1,1))</f>
        <v>475.01366239340246</v>
      </c>
      <c r="CZ50" s="59">
        <f t="shared" si="42"/>
        <v>322.81767004794284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6.209140455387403</v>
      </c>
      <c r="DG50" s="21">
        <f>EXP(-LN(2)/25)*DG49+(1-EXP(-LN(2)/25))/(LN(2)/25)*Calculateur!DB50*Calculateur!DD50*VLOOKUP('Données projet'!$B$13,Paramètres!$A$1:$I$89,3,0)*0.475*44/12</f>
        <v>6.9537269929298162</v>
      </c>
      <c r="DH50" s="21">
        <f>EXP(-LN(2)/2)*DH49+(1-EXP(-LN(2)/2))/(LN(2)/2)*DB50*DE50*VLOOKUP('Données projet'!$B$13,Paramètres!$A$1:$I$89,3,0)*0.475*44/12</f>
        <v>2.8045367861979507E-2</v>
      </c>
      <c r="DI50" s="22">
        <f t="shared" si="15"/>
        <v>13.190912816179198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2.2737367544323206E-13</v>
      </c>
      <c r="DP50" s="17">
        <f>DO50*VLOOKUP('Données projet'!$B$14,Paramètres!$A$1:$I$89,3,0)*VLOOKUP('Données projet'!$B$14,Paramètres!$A$1:$I$89,5,0)</f>
        <v>2.0572770154103635E-13</v>
      </c>
      <c r="DQ50" s="13">
        <f t="shared" si="43"/>
        <v>2.8416956338469711E-12</v>
      </c>
      <c r="DR50" s="20">
        <f t="shared" si="16"/>
        <v>5.3075956424674458E-12</v>
      </c>
      <c r="DS50" s="59">
        <f t="shared" si="17"/>
        <v>293.3333333333386</v>
      </c>
      <c r="DT50" s="59">
        <f ca="1">AVERAGE(OFFSET($DS$3,0,0,'Données projet'!$E$14+1,1))-AVERAGE(OFFSET($H$3,0,0,'Données projet'!$E$14+1,1))</f>
        <v>436.23918637269577</v>
      </c>
      <c r="DU50" s="59">
        <f t="shared" si="44"/>
        <v>611.43967996341894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2.3524311376555112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1.3038622441504857E-2</v>
      </c>
      <c r="ED50" s="22">
        <f t="shared" si="18"/>
        <v>2.365469760097016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202.14480000000003</v>
      </c>
      <c r="P51" s="13">
        <f t="shared" si="33"/>
        <v>50.215236821738628</v>
      </c>
      <c r="Q51" s="20">
        <f t="shared" si="53"/>
        <v>439.52706413119489</v>
      </c>
      <c r="R51" s="59">
        <f t="shared" si="0"/>
        <v>732.86039746452821</v>
      </c>
      <c r="S51" s="59">
        <f ca="1">AVERAGE(OFFSET($R$3,0,0,'Données projet'!$E$9+1,1))-AVERAGE(OFFSET($H$3,0,0,'Données projet'!$E$9+1,1))</f>
        <v>430.94515308997018</v>
      </c>
      <c r="T51" s="59">
        <f t="shared" si="34"/>
        <v>294.45557293177131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5.4698224042327093</v>
      </c>
      <c r="AA51" s="21">
        <f>EXP(-LN(2)/25)*AA50+(1-EXP(-LN(2)/25))/(LN(2)/25)*Calculateur!V51*Calculateur!X51*VLOOKUP('Données projet'!$B$9,Paramètres!$A$1:$I$89,3,0)*0.475*44/12</f>
        <v>6.0774169809117051</v>
      </c>
      <c r="AB51" s="21">
        <f>EXP(-LN(2)/2)*AB50+(1-EXP(-LN(2)/2))/(LN(2)/2)*V51*Y51*VLOOKUP('Données projet'!$B$9,Paramètres!$A$1:$I$89,3,0)*0.475*44/12</f>
        <v>1.7819222135605398E-2</v>
      </c>
      <c r="AC51" s="22">
        <f t="shared" si="3"/>
        <v>11.565058607280021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11.5</v>
      </c>
      <c r="AI51" s="13">
        <f>IF('Données projet'!$A$62&gt;35,AI50+AH51-AQ50,IF(A51&lt;'Données projet'!$A$62,$AF$205^A51,IF(A51='Données projet'!$A$62,'Données projet'!$B$62,AI50+AH51-AQ50)))</f>
        <v>265.49999999999989</v>
      </c>
      <c r="AJ51" s="13">
        <f>AI51*VLOOKUP('Données projet'!$B$10,Paramètres!$A$1:$I$89,3,0)*VLOOKUP('Données projet'!$B$10,Paramètres!$A$1:$I$89,5,0)</f>
        <v>124.25399999999995</v>
      </c>
      <c r="AK51" s="13">
        <f t="shared" si="35"/>
        <v>32.665154397958723</v>
      </c>
      <c r="AL51" s="20">
        <f t="shared" si="4"/>
        <v>273.30086057644468</v>
      </c>
      <c r="AM51" s="59">
        <f t="shared" si="5"/>
        <v>566.63419390977799</v>
      </c>
      <c r="AN51" s="59">
        <f ca="1">AVERAGE(OFFSET($AM$3,0,0,'Données projet'!$E$10+1,1))-AVERAGE(OFFSET($H$3,0,0,'Données projet'!$E$10+1,1))</f>
        <v>319.22903094674564</v>
      </c>
      <c r="AO51" s="59">
        <f t="shared" si="36"/>
        <v>254.58690973142848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6.3545830258922358</v>
      </c>
      <c r="AV51" s="21">
        <f>EXP(-LN(2)/25)*AV50+(1-EXP(-LN(2)/25))/(LN(2)/25)*Calculateur!AQ51*Calculateur!AS51*VLOOKUP('Données projet'!$B$10,Paramètres!$A$1:$I$89,3,0)*0.475*44/12</f>
        <v>6.7699379806779936</v>
      </c>
      <c r="AW51" s="21">
        <f>EXP(-LN(2)/2)*AW50+(1-EXP(-LN(2)/2))/(LN(2)/2)*AQ51*AT51*VLOOKUP('Données projet'!$B$10,Paramètres!$A$1:$I$89,3,0)*0.475*44/12</f>
        <v>2.1568610632028057E-2</v>
      </c>
      <c r="AX51" s="21">
        <f t="shared" si="6"/>
        <v>13.146089617202259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213.60000000000011</v>
      </c>
      <c r="BE51" s="13">
        <f>BD51*VLOOKUP('Données projet'!$B$11,Paramètres!$A$1:$I$89,3,0)*VLOOKUP('Données projet'!$B$11,Paramètres!$A$1:$I$89,5,0)</f>
        <v>186.60096000000013</v>
      </c>
      <c r="BF51" s="13">
        <f t="shared" si="37"/>
        <v>46.787685683664144</v>
      </c>
      <c r="BG51" s="20">
        <f t="shared" si="7"/>
        <v>406.48522456571527</v>
      </c>
      <c r="BH51" s="59">
        <f t="shared" si="8"/>
        <v>699.81855789904853</v>
      </c>
      <c r="BI51" s="59">
        <f ca="1">AVERAGE(OFFSET($BH$3,0,0,'Données projet'!$E$11+1,1))-AVERAGE(OFFSET($H$3,0,0,'Données projet'!$E$11+1,1))</f>
        <v>395.21779046720553</v>
      </c>
      <c r="BJ51" s="59">
        <f t="shared" si="38"/>
        <v>360.05900046417361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3.3687836692837538</v>
      </c>
      <c r="BQ51" s="21">
        <f>EXP(-LN(2)/25)*BQ50+(1-EXP(-LN(2)/25))/(LN(2)/25)*Calculateur!BL51*Calculateur!BN51*VLOOKUP('Données projet'!$B$11,Paramètres!$A$1:$I$89,3,0)*0.475*44/12</f>
        <v>6.8481563166373132</v>
      </c>
      <c r="BR51" s="21">
        <f>EXP(-LN(2)/2)*BR50+(1-EXP(-LN(2)/2))/(LN(2)/2)*BL51*BO51*VLOOKUP('Données projet'!$B$11,Paramètres!$A$1:$I$89,3,0)*0.475*44/12</f>
        <v>1.3667003541992176E-2</v>
      </c>
      <c r="BS51" s="22">
        <f t="shared" si="9"/>
        <v>10.230606989463059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209.00000000000003</v>
      </c>
      <c r="BZ51" s="13">
        <f>BY51*VLOOKUP('Données projet'!$B$12,Paramètres!$A$1:$I$89,3,0)*VLOOKUP('Données projet'!$B$12,Paramètres!$A$1:$I$89,5,0)</f>
        <v>211.92600000000004</v>
      </c>
      <c r="CA51" s="13">
        <f t="shared" si="39"/>
        <v>52.356241262970165</v>
      </c>
      <c r="CB51" s="20">
        <f t="shared" si="10"/>
        <v>460.29157019967312</v>
      </c>
      <c r="CC51" s="59">
        <f t="shared" si="11"/>
        <v>753.62490353300643</v>
      </c>
      <c r="CD51" s="59">
        <f ca="1">AVERAGE(OFFSET($CC$3,0,0,'Données projet'!$E$12+1,1))-AVERAGE(OFFSET($H$3,0,0,'Données projet'!$E$12+1,1))</f>
        <v>449.84356201138451</v>
      </c>
      <c r="CE51" s="59">
        <f t="shared" si="40"/>
        <v>306.61893266146666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5.7344912302439699</v>
      </c>
      <c r="CL51" s="21">
        <f>EXP(-LN(2)/25)*CL50+(1-EXP(-LN(2)/25))/(LN(2)/25)*Calculateur!CG51*Calculateur!CI51*VLOOKUP('Données projet'!$B$12,Paramètres!$A$1:$I$89,3,0)*0.475*44/12</f>
        <v>6.3714855445042069</v>
      </c>
      <c r="CM51" s="21">
        <f>EXP(-LN(2)/2)*CM50+(1-EXP(-LN(2)/2))/(LN(2)/2)*CG51*CJ51*VLOOKUP('Données projet'!$B$12,Paramètres!$A$1:$I$89,3,0)*0.475*44/12</f>
        <v>1.8681442561521783E-2</v>
      </c>
      <c r="CN51" s="22">
        <f t="shared" si="12"/>
        <v>12.124658217309699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209.00000000000003</v>
      </c>
      <c r="CU51" s="17">
        <f>CT51*VLOOKUP('Données projet'!$B$13,Paramètres!$A$1:$I$89,3,0)*VLOOKUP('Données projet'!$B$13,Paramètres!$A$1:$I$89,5,0)</f>
        <v>224.96760000000003</v>
      </c>
      <c r="CV51" s="13">
        <f t="shared" si="41"/>
        <v>55.193161946335238</v>
      </c>
      <c r="CW51" s="20">
        <f t="shared" si="13"/>
        <v>487.94666038986719</v>
      </c>
      <c r="CX51" s="59">
        <f t="shared" si="14"/>
        <v>781.2799937232005</v>
      </c>
      <c r="CY51" s="59">
        <f ca="1">AVERAGE(OFFSET($CX$3,0,0,'Données projet'!$E$13+1,1))-AVERAGE(OFFSET($H$3,0,0,'Données projet'!$E$13+1,1))</f>
        <v>475.01366239340246</v>
      </c>
      <c r="CZ51" s="59">
        <f t="shared" si="42"/>
        <v>322.81767004794284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6.0873829982589784</v>
      </c>
      <c r="DG51" s="21">
        <f>EXP(-LN(2)/25)*DG50+(1-EXP(-LN(2)/25))/(LN(2)/25)*Calculateur!DB51*Calculateur!DD51*VLOOKUP('Données projet'!$B$13,Paramètres!$A$1:$I$89,3,0)*0.475*44/12</f>
        <v>6.7635769626275408</v>
      </c>
      <c r="DH51" s="21">
        <f>EXP(-LN(2)/2)*DH50+(1-EXP(-LN(2)/2))/(LN(2)/2)*DB51*DE51*VLOOKUP('Données projet'!$B$13,Paramètres!$A$1:$I$89,3,0)*0.475*44/12</f>
        <v>1.9831069796076975E-2</v>
      </c>
      <c r="DI51" s="22">
        <f t="shared" si="15"/>
        <v>12.870791030682597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2.2737367544323206E-13</v>
      </c>
      <c r="DP51" s="17">
        <f>DO51*VLOOKUP('Données projet'!$B$14,Paramètres!$A$1:$I$89,3,0)*VLOOKUP('Données projet'!$B$14,Paramètres!$A$1:$I$89,5,0)</f>
        <v>2.0572770154103635E-13</v>
      </c>
      <c r="DQ51" s="13">
        <f t="shared" si="43"/>
        <v>2.8416956338469711E-12</v>
      </c>
      <c r="DR51" s="20">
        <f t="shared" si="16"/>
        <v>5.3075956424674458E-12</v>
      </c>
      <c r="DS51" s="59">
        <f t="shared" si="17"/>
        <v>293.3333333333386</v>
      </c>
      <c r="DT51" s="59">
        <f ca="1">AVERAGE(OFFSET($DS$3,0,0,'Données projet'!$E$14+1,1))-AVERAGE(OFFSET($H$3,0,0,'Données projet'!$E$14+1,1))</f>
        <v>436.23918637269577</v>
      </c>
      <c r="DU51" s="59">
        <f t="shared" si="44"/>
        <v>611.43967996341894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2.3063013978874016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9.2196983457191826E-3</v>
      </c>
      <c r="ED51" s="22">
        <f t="shared" si="18"/>
        <v>2.315521096233121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212.78400000000002</v>
      </c>
      <c r="P52" s="13">
        <f t="shared" si="33"/>
        <v>52.543492641808065</v>
      </c>
      <c r="Q52" s="20">
        <f t="shared" si="53"/>
        <v>462.11204968448237</v>
      </c>
      <c r="R52" s="59">
        <f t="shared" si="0"/>
        <v>755.44538301781563</v>
      </c>
      <c r="S52" s="59">
        <f ca="1">AVERAGE(OFFSET($R$3,0,0,'Données projet'!$E$9+1,1))-AVERAGE(OFFSET($H$3,0,0,'Données projet'!$E$9+1,1))</f>
        <v>430.94515308997018</v>
      </c>
      <c r="T52" s="59">
        <f t="shared" si="34"/>
        <v>294.45557293177131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5.3625625231479441</v>
      </c>
      <c r="AA52" s="21">
        <f>EXP(-LN(2)/25)*AA51+(1-EXP(-LN(2)/25))/(LN(2)/25)*Calculateur!V52*Calculateur!X52*VLOOKUP('Données projet'!$B$9,Paramètres!$A$1:$I$89,3,0)*0.475*44/12</f>
        <v>5.9112296939712055</v>
      </c>
      <c r="AB52" s="21">
        <f>EXP(-LN(2)/2)*AB51+(1-EXP(-LN(2)/2))/(LN(2)/2)*V52*Y52*VLOOKUP('Données projet'!$B$9,Paramètres!$A$1:$I$89,3,0)*0.475*44/12</f>
        <v>1.260009280755601E-2</v>
      </c>
      <c r="AC52" s="22">
        <f t="shared" si="3"/>
        <v>11.286392309926706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11.5</v>
      </c>
      <c r="AI52" s="13">
        <f>IF('Données projet'!$A$62&gt;35,AI51+AH52-AQ51,IF(A52&lt;'Données projet'!$A$62,$AF$205^A52,IF(A52='Données projet'!$A$62,'Données projet'!$B$62,AI51+AH52-AQ51)))</f>
        <v>276.99999999999989</v>
      </c>
      <c r="AJ52" s="13">
        <f>AI52*VLOOKUP('Données projet'!$B$10,Paramètres!$A$1:$I$89,3,0)*VLOOKUP('Données projet'!$B$10,Paramètres!$A$1:$I$89,5,0)</f>
        <v>129.63599999999994</v>
      </c>
      <c r="AK52" s="13">
        <f t="shared" si="35"/>
        <v>33.912235898830978</v>
      </c>
      <c r="AL52" s="20">
        <f t="shared" si="4"/>
        <v>284.84651085713051</v>
      </c>
      <c r="AM52" s="59">
        <f t="shared" si="5"/>
        <v>578.17984419046388</v>
      </c>
      <c r="AN52" s="59">
        <f ca="1">AVERAGE(OFFSET($AM$3,0,0,'Données projet'!$E$10+1,1))-AVERAGE(OFFSET($H$3,0,0,'Données projet'!$E$10+1,1))</f>
        <v>319.22903094674564</v>
      </c>
      <c r="AO52" s="59">
        <f t="shared" si="36"/>
        <v>254.58690973142848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6.2299735286674203</v>
      </c>
      <c r="AV52" s="21">
        <f>EXP(-LN(2)/25)*AV51+(1-EXP(-LN(2)/25))/(LN(2)/25)*Calculateur!AQ52*Calculateur!AS52*VLOOKUP('Données projet'!$B$10,Paramètres!$A$1:$I$89,3,0)*0.475*44/12</f>
        <v>6.5848136705807887</v>
      </c>
      <c r="AW52" s="21">
        <f>EXP(-LN(2)/2)*AW51+(1-EXP(-LN(2)/2))/(LN(2)/2)*AQ52*AT52*VLOOKUP('Données projet'!$B$10,Paramètres!$A$1:$I$89,3,0)*0.475*44/12</f>
        <v>1.5251310838679307E-2</v>
      </c>
      <c r="AX52" s="21">
        <f t="shared" si="6"/>
        <v>12.830038510086887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221.8000000000001</v>
      </c>
      <c r="BE52" s="13">
        <f>BD52*VLOOKUP('Données projet'!$B$11,Paramètres!$A$1:$I$89,3,0)*VLOOKUP('Données projet'!$B$11,Paramètres!$A$1:$I$89,5,0)</f>
        <v>193.76448000000011</v>
      </c>
      <c r="BF52" s="13">
        <f t="shared" si="37"/>
        <v>48.371273222646494</v>
      </c>
      <c r="BG52" s="20">
        <f t="shared" si="7"/>
        <v>421.71977019610949</v>
      </c>
      <c r="BH52" s="59">
        <f t="shared" si="8"/>
        <v>715.05310352944275</v>
      </c>
      <c r="BI52" s="59">
        <f ca="1">AVERAGE(OFFSET($BH$3,0,0,'Données projet'!$E$11+1,1))-AVERAGE(OFFSET($H$3,0,0,'Données projet'!$E$11+1,1))</f>
        <v>395.21779046720553</v>
      </c>
      <c r="BJ52" s="59">
        <f t="shared" si="38"/>
        <v>360.05900046417361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3.3027238762842477</v>
      </c>
      <c r="BQ52" s="21">
        <f>EXP(-LN(2)/25)*BQ51+(1-EXP(-LN(2)/25))/(LN(2)/25)*Calculateur!BL52*Calculateur!BN52*VLOOKUP('Données projet'!$B$11,Paramètres!$A$1:$I$89,3,0)*0.475*44/12</f>
        <v>6.660893122029977</v>
      </c>
      <c r="BR52" s="21">
        <f>EXP(-LN(2)/2)*BR51+(1-EXP(-LN(2)/2))/(LN(2)/2)*BL52*BO52*VLOOKUP('Données projet'!$B$11,Paramètres!$A$1:$I$89,3,0)*0.475*44/12</f>
        <v>9.6640308830432311E-3</v>
      </c>
      <c r="BS52" s="22">
        <f t="shared" si="9"/>
        <v>9.9732810291972669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220.00000000000003</v>
      </c>
      <c r="BZ52" s="13">
        <f>BY52*VLOOKUP('Données projet'!$B$12,Paramètres!$A$1:$I$89,3,0)*VLOOKUP('Données projet'!$B$12,Paramètres!$A$1:$I$89,5,0)</f>
        <v>223.08000000000004</v>
      </c>
      <c r="CA52" s="13">
        <f t="shared" si="39"/>
        <v>54.783765878062667</v>
      </c>
      <c r="CB52" s="20">
        <f t="shared" si="10"/>
        <v>483.94605890429256</v>
      </c>
      <c r="CC52" s="59">
        <f t="shared" si="11"/>
        <v>777.27939223762587</v>
      </c>
      <c r="CD52" s="59">
        <f ca="1">AVERAGE(OFFSET($CC$3,0,0,'Données projet'!$E$12+1,1))-AVERAGE(OFFSET($H$3,0,0,'Données projet'!$E$12+1,1))</f>
        <v>449.84356201138451</v>
      </c>
      <c r="CE52" s="59">
        <f t="shared" si="40"/>
        <v>306.61893266146666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5.6220413549131676</v>
      </c>
      <c r="CL52" s="21">
        <f>EXP(-LN(2)/25)*CL51+(1-EXP(-LN(2)/25))/(LN(2)/25)*Calculateur!CG52*Calculateur!CI52*VLOOKUP('Données projet'!$B$12,Paramètres!$A$1:$I$89,3,0)*0.475*44/12</f>
        <v>6.197256937227877</v>
      </c>
      <c r="CM52" s="21">
        <f>EXP(-LN(2)/2)*CM51+(1-EXP(-LN(2)/2))/(LN(2)/2)*CG52*CJ52*VLOOKUP('Données projet'!$B$12,Paramètres!$A$1:$I$89,3,0)*0.475*44/12</f>
        <v>1.320977471759904E-2</v>
      </c>
      <c r="CN52" s="22">
        <f t="shared" si="12"/>
        <v>11.832508066858644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220.00000000000003</v>
      </c>
      <c r="CU52" s="17">
        <f>CT52*VLOOKUP('Données projet'!$B$13,Paramètres!$A$1:$I$89,3,0)*VLOOKUP('Données projet'!$B$13,Paramètres!$A$1:$I$89,5,0)</f>
        <v>236.80800000000002</v>
      </c>
      <c r="CV52" s="13">
        <f t="shared" si="41"/>
        <v>57.752221878398714</v>
      </c>
      <c r="CW52" s="20">
        <f t="shared" si="13"/>
        <v>513.02571977154446</v>
      </c>
      <c r="CX52" s="59">
        <f t="shared" si="14"/>
        <v>806.35905310487783</v>
      </c>
      <c r="CY52" s="59">
        <f ca="1">AVERAGE(OFFSET($CX$3,0,0,'Données projet'!$E$13+1,1))-AVERAGE(OFFSET($H$3,0,0,'Données projet'!$E$13+1,1))</f>
        <v>475.01366239340246</v>
      </c>
      <c r="CZ52" s="59">
        <f t="shared" si="42"/>
        <v>322.81767004794284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5.9680131306001272</v>
      </c>
      <c r="DG52" s="21">
        <f>EXP(-LN(2)/25)*DG51+(1-EXP(-LN(2)/25))/(LN(2)/25)*Calculateur!DB52*Calculateur!DD52*VLOOKUP('Données projet'!$B$13,Paramètres!$A$1:$I$89,3,0)*0.475*44/12</f>
        <v>6.5786265949034366</v>
      </c>
      <c r="DH52" s="21">
        <f>EXP(-LN(2)/2)*DH51+(1-EXP(-LN(2)/2))/(LN(2)/2)*DB52*DE52*VLOOKUP('Données projet'!$B$13,Paramètres!$A$1:$I$89,3,0)*0.475*44/12</f>
        <v>1.4022683930989753E-2</v>
      </c>
      <c r="DI52" s="22">
        <f t="shared" si="15"/>
        <v>12.560662409434553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2.2737367544323206E-13</v>
      </c>
      <c r="DP52" s="17">
        <f>DO52*VLOOKUP('Données projet'!$B$14,Paramètres!$A$1:$I$89,3,0)*VLOOKUP('Données projet'!$B$14,Paramètres!$A$1:$I$89,5,0)</f>
        <v>2.0572770154103635E-13</v>
      </c>
      <c r="DQ52" s="13">
        <f t="shared" si="43"/>
        <v>2.8416956338469711E-12</v>
      </c>
      <c r="DR52" s="20">
        <f t="shared" si="16"/>
        <v>5.3075956424674458E-12</v>
      </c>
      <c r="DS52" s="59">
        <f t="shared" si="17"/>
        <v>293.3333333333386</v>
      </c>
      <c r="DT52" s="59">
        <f ca="1">AVERAGE(OFFSET($DS$3,0,0,'Données projet'!$E$14+1,1))-AVERAGE(OFFSET($H$3,0,0,'Données projet'!$E$14+1,1))</f>
        <v>436.23918637269577</v>
      </c>
      <c r="DU52" s="59">
        <f t="shared" si="44"/>
        <v>611.43967996341894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2.2610762341797819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6.5193112207524283E-3</v>
      </c>
      <c r="ED52" s="22">
        <f t="shared" si="18"/>
        <v>2.2675955454005341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223.42320000000004</v>
      </c>
      <c r="P53" s="13">
        <f t="shared" si="33"/>
        <v>54.858231422257631</v>
      </c>
      <c r="Q53" s="20">
        <f t="shared" si="53"/>
        <v>484.67349306043207</v>
      </c>
      <c r="R53" s="59">
        <f t="shared" si="0"/>
        <v>778.00682639376532</v>
      </c>
      <c r="S53" s="59">
        <f ca="1">AVERAGE(OFFSET($R$3,0,0,'Données projet'!$E$9+1,1))-AVERAGE(OFFSET($H$3,0,0,'Données projet'!$E$9+1,1))</f>
        <v>430.94515308997018</v>
      </c>
      <c r="T53" s="59">
        <f t="shared" si="34"/>
        <v>294.45557293177131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5.2574059429091831</v>
      </c>
      <c r="AA53" s="21">
        <f>EXP(-LN(2)/25)*AA52+(1-EXP(-LN(2)/25))/(LN(2)/25)*Calculateur!V53*Calculateur!X53*VLOOKUP('Données projet'!$B$9,Paramètres!$A$1:$I$89,3,0)*0.475*44/12</f>
        <v>5.7495868071315037</v>
      </c>
      <c r="AB53" s="21">
        <f>EXP(-LN(2)/2)*AB52+(1-EXP(-LN(2)/2))/(LN(2)/2)*V53*Y53*VLOOKUP('Données projet'!$B$9,Paramètres!$A$1:$I$89,3,0)*0.475*44/12</f>
        <v>8.9096110678026988E-3</v>
      </c>
      <c r="AC53" s="22">
        <f t="shared" si="3"/>
        <v>11.015902361108491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288.5</v>
      </c>
      <c r="AG53" s="12">
        <f>VLOOKUP(A53,'Données projet'!$A$61:$I$81,9,0)</f>
        <v>11.5</v>
      </c>
      <c r="AH53" s="12">
        <f t="array" ref="AH53">INDEX(AG:AG,MIN(IF(ISNUMBER(AG53:AG249),ROW(AG53:AG249),"")))</f>
        <v>11.5</v>
      </c>
      <c r="AI53" s="13">
        <f>IF('Données projet'!$A$62&gt;35,AI52+AH53-AQ52,IF(A53&lt;'Données projet'!$A$62,$AF$205^A53,IF(A53='Données projet'!$A$62,'Données projet'!$B$62,AI52+AH53-AQ52)))</f>
        <v>288.49999999999989</v>
      </c>
      <c r="AJ53" s="13">
        <f>AI53*VLOOKUP('Données projet'!$B$10,Paramètres!$A$1:$I$89,3,0)*VLOOKUP('Données projet'!$B$10,Paramètres!$A$1:$I$89,5,0)</f>
        <v>135.01799999999994</v>
      </c>
      <c r="AK53" s="13">
        <f t="shared" si="35"/>
        <v>35.153303603250578</v>
      </c>
      <c r="AL53" s="20">
        <f t="shared" si="4"/>
        <v>296.38168710899464</v>
      </c>
      <c r="AM53" s="59">
        <f t="shared" si="5"/>
        <v>589.71502044232795</v>
      </c>
      <c r="AN53" s="59">
        <f ca="1">AVERAGE(OFFSET($AM$3,0,0,'Données projet'!$E$10+1,1))-AVERAGE(OFFSET($H$3,0,0,'Données projet'!$E$10+1,1))</f>
        <v>319.22903094674564</v>
      </c>
      <c r="AO53" s="59">
        <f t="shared" si="36"/>
        <v>254.58690973142848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75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6.1078075476788944</v>
      </c>
      <c r="AV53" s="21">
        <f>EXP(-LN(2)/25)*AV52+(1-EXP(-LN(2)/25))/(LN(2)/25)*Calculateur!AQ53*Calculateur!AS53*VLOOKUP('Données projet'!$B$10,Paramètres!$A$1:$I$89,3,0)*0.475*44/12</f>
        <v>6.4047515944784559</v>
      </c>
      <c r="AW53" s="21">
        <f>EXP(-LN(2)/2)*AW52+(1-EXP(-LN(2)/2))/(LN(2)/2)*AQ53*AT53*VLOOKUP('Données projet'!$B$10,Paramètres!$A$1:$I$89,3,0)*0.475*44/12</f>
        <v>1.078430531601403E-2</v>
      </c>
      <c r="AX53" s="21">
        <f t="shared" si="6"/>
        <v>12.523343447473364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230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230.00000000000009</v>
      </c>
      <c r="BE53" s="13">
        <f>BD53*VLOOKUP('Données projet'!$B$11,Paramètres!$A$1:$I$89,3,0)*VLOOKUP('Données projet'!$B$11,Paramètres!$A$1:$I$89,5,0)</f>
        <v>200.92800000000011</v>
      </c>
      <c r="BF53" s="13">
        <f t="shared" si="37"/>
        <v>49.948059057189084</v>
      </c>
      <c r="BG53" s="20">
        <f t="shared" si="7"/>
        <v>436.94246952460452</v>
      </c>
      <c r="BH53" s="59">
        <f t="shared" si="8"/>
        <v>730.27580285793783</v>
      </c>
      <c r="BI53" s="59">
        <f ca="1">AVERAGE(OFFSET($BH$3,0,0,'Données projet'!$E$11+1,1))-AVERAGE(OFFSET($H$3,0,0,'Données projet'!$E$11+1,1))</f>
        <v>395.21779046720553</v>
      </c>
      <c r="BJ53" s="59">
        <f t="shared" si="38"/>
        <v>360.05900046417361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3.2379594755329664</v>
      </c>
      <c r="BQ53" s="21">
        <f>EXP(-LN(2)/25)*BQ52+(1-EXP(-LN(2)/25))/(LN(2)/25)*Calculateur!BL53*Calculateur!BN53*VLOOKUP('Données projet'!$B$11,Paramètres!$A$1:$I$89,3,0)*0.475*44/12</f>
        <v>6.4787506493269218</v>
      </c>
      <c r="BR53" s="21">
        <f>EXP(-LN(2)/2)*BR52+(1-EXP(-LN(2)/2))/(LN(2)/2)*BL53*BO53*VLOOKUP('Données projet'!$B$11,Paramètres!$A$1:$I$89,3,0)*0.475*44/12</f>
        <v>6.8335017709960878E-3</v>
      </c>
      <c r="BS53" s="22">
        <f t="shared" si="9"/>
        <v>9.7235436266308852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231.00000000000003</v>
      </c>
      <c r="BZ53" s="13">
        <f>BY53*VLOOKUP('Données projet'!$B$12,Paramètres!$A$1:$I$89,3,0)*VLOOKUP('Données projet'!$B$12,Paramètres!$A$1:$I$89,5,0)</f>
        <v>234.23400000000007</v>
      </c>
      <c r="CA53" s="13">
        <f t="shared" si="39"/>
        <v>57.197197133603488</v>
      </c>
      <c r="CB53" s="20">
        <f t="shared" si="10"/>
        <v>507.57600167435953</v>
      </c>
      <c r="CC53" s="59">
        <f t="shared" si="11"/>
        <v>800.90933500769279</v>
      </c>
      <c r="CD53" s="59">
        <f ca="1">AVERAGE(OFFSET($CC$3,0,0,'Données projet'!$E$12+1,1))-AVERAGE(OFFSET($H$3,0,0,'Données projet'!$E$12+1,1))</f>
        <v>449.84356201138451</v>
      </c>
      <c r="CE53" s="59">
        <f t="shared" si="40"/>
        <v>306.61893266146666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5.5117965530499511</v>
      </c>
      <c r="CL53" s="21">
        <f>EXP(-LN(2)/25)*CL52+(1-EXP(-LN(2)/25))/(LN(2)/25)*Calculateur!CG53*Calculateur!CI53*VLOOKUP('Données projet'!$B$12,Paramètres!$A$1:$I$89,3,0)*0.475*44/12</f>
        <v>6.0277926203798025</v>
      </c>
      <c r="CM53" s="21">
        <f>EXP(-LN(2)/2)*CM52+(1-EXP(-LN(2)/2))/(LN(2)/2)*CG53*CJ53*VLOOKUP('Données projet'!$B$12,Paramètres!$A$1:$I$89,3,0)*0.475*44/12</f>
        <v>9.3407212807608917E-3</v>
      </c>
      <c r="CN53" s="22">
        <f t="shared" si="12"/>
        <v>11.548929894710515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231.00000000000003</v>
      </c>
      <c r="CU53" s="17">
        <f>CT53*VLOOKUP('Données projet'!$B$13,Paramètres!$A$1:$I$89,3,0)*VLOOKUP('Données projet'!$B$13,Paramètres!$A$1:$I$89,5,0)</f>
        <v>248.64840000000004</v>
      </c>
      <c r="CV53" s="13">
        <f t="shared" si="41"/>
        <v>60.296424802828774</v>
      </c>
      <c r="CW53" s="20">
        <f t="shared" si="13"/>
        <v>538.07890319826015</v>
      </c>
      <c r="CX53" s="59">
        <f t="shared" si="14"/>
        <v>831.41223653159341</v>
      </c>
      <c r="CY53" s="59">
        <f ca="1">AVERAGE(OFFSET($CX$3,0,0,'Données projet'!$E$13+1,1))-AVERAGE(OFFSET($H$3,0,0,'Données projet'!$E$13+1,1))</f>
        <v>475.01366239340246</v>
      </c>
      <c r="CZ53" s="59">
        <f t="shared" si="42"/>
        <v>322.81767004794284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5.8509840332376353</v>
      </c>
      <c r="DG53" s="21">
        <f>EXP(-LN(2)/25)*DG52+(1-EXP(-LN(2)/25))/(LN(2)/25)*Calculateur!DB53*Calculateur!DD53*VLOOKUP('Données projet'!$B$13,Paramètres!$A$1:$I$89,3,0)*0.475*44/12</f>
        <v>6.3987337047108648</v>
      </c>
      <c r="DH53" s="21">
        <f>EXP(-LN(2)/2)*DH52+(1-EXP(-LN(2)/2))/(LN(2)/2)*DB53*DE53*VLOOKUP('Données projet'!$B$13,Paramètres!$A$1:$I$89,3,0)*0.475*44/12</f>
        <v>9.9155348980384875E-3</v>
      </c>
      <c r="DI53" s="22">
        <f t="shared" si="15"/>
        <v>12.259633272846539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2.2737367544323206E-13</v>
      </c>
      <c r="DP53" s="17">
        <f>DO53*VLOOKUP('Données projet'!$B$14,Paramètres!$A$1:$I$89,3,0)*VLOOKUP('Données projet'!$B$14,Paramètres!$A$1:$I$89,5,0)</f>
        <v>2.0572770154103635E-13</v>
      </c>
      <c r="DQ53" s="13">
        <f t="shared" si="43"/>
        <v>2.8416956338469711E-12</v>
      </c>
      <c r="DR53" s="20">
        <f t="shared" si="16"/>
        <v>5.3075956424674458E-12</v>
      </c>
      <c r="DS53" s="59">
        <f t="shared" si="17"/>
        <v>293.3333333333386</v>
      </c>
      <c r="DT53" s="59">
        <f ca="1">AVERAGE(OFFSET($DS$3,0,0,'Données projet'!$E$14+1,1))-AVERAGE(OFFSET($H$3,0,0,'Données projet'!$E$14+1,1))</f>
        <v>436.23918637269577</v>
      </c>
      <c r="DU53" s="59">
        <f t="shared" si="44"/>
        <v>611.43967996341894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2.2167379083478425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4.6098491728595913E-3</v>
      </c>
      <c r="ED53" s="22">
        <f t="shared" si="18"/>
        <v>2.2213477575207019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206.20704000000001</v>
      </c>
      <c r="P54" s="13">
        <f t="shared" si="33"/>
        <v>51.105851308113081</v>
      </c>
      <c r="Q54" s="20">
        <f t="shared" si="53"/>
        <v>448.15328569496359</v>
      </c>
      <c r="R54" s="59">
        <f t="shared" si="0"/>
        <v>741.4866190282969</v>
      </c>
      <c r="S54" s="59">
        <f ca="1">AVERAGE(OFFSET($R$3,0,0,'Données projet'!$E$9+1,1))-AVERAGE(OFFSET($H$3,0,0,'Données projet'!$E$9+1,1))</f>
        <v>430.94515308997018</v>
      </c>
      <c r="T54" s="59">
        <f t="shared" si="34"/>
        <v>294.45557293177131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5.1543114190697237</v>
      </c>
      <c r="AA54" s="21">
        <f>EXP(-LN(2)/25)*AA53+(1-EXP(-LN(2)/25))/(LN(2)/25)*Calculateur!V54*Calculateur!X54*VLOOKUP('Données projet'!$B$9,Paramètres!$A$1:$I$89,3,0)*0.475*44/12</f>
        <v>5.5923640535328634</v>
      </c>
      <c r="AB54" s="21">
        <f>EXP(-LN(2)/2)*AB53+(1-EXP(-LN(2)/2))/(LN(2)/2)*V54*Y54*VLOOKUP('Données projet'!$B$9,Paramètres!$A$1:$I$89,3,0)*0.475*44/12</f>
        <v>6.3000464037780051E-3</v>
      </c>
      <c r="AC54" s="22">
        <f t="shared" si="3"/>
        <v>10.752975519006364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</v>
      </c>
      <c r="AI54" s="13">
        <f>IF('Données projet'!$A$62&gt;35,AI53+AH54-AQ53,IF(A54&lt;'Données projet'!$A$62,$AF$205^A54,IF(A54='Données projet'!$A$62,'Données projet'!$B$62,AI53+AH54-AQ53)))</f>
        <v>226.99999999999989</v>
      </c>
      <c r="AJ54" s="13">
        <f>AI54*VLOOKUP('Données projet'!$B$10,Paramètres!$A$1:$I$89,3,0)*VLOOKUP('Données projet'!$B$10,Paramètres!$A$1:$I$89,5,0)</f>
        <v>106.23599999999995</v>
      </c>
      <c r="AK54" s="13">
        <f t="shared" si="35"/>
        <v>28.442367793282852</v>
      </c>
      <c r="AL54" s="20">
        <f t="shared" si="4"/>
        <v>234.56482390663419</v>
      </c>
      <c r="AM54" s="59">
        <f t="shared" si="5"/>
        <v>527.89815723996753</v>
      </c>
      <c r="AN54" s="59">
        <f ca="1">AVERAGE(OFFSET($AM$3,0,0,'Données projet'!$E$10+1,1))-AVERAGE(OFFSET($H$3,0,0,'Données projet'!$E$10+1,1))</f>
        <v>319.22903094674564</v>
      </c>
      <c r="AO54" s="59">
        <f t="shared" si="36"/>
        <v>254.58690973142848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5.9880371670636636</v>
      </c>
      <c r="AV54" s="21">
        <f>EXP(-LN(2)/25)*AV53+(1-EXP(-LN(2)/25))/(LN(2)/25)*Calculateur!AQ54*Calculateur!AS54*VLOOKUP('Données projet'!$B$10,Paramètres!$A$1:$I$89,3,0)*0.475*44/12</f>
        <v>6.2296133253161941</v>
      </c>
      <c r="AW54" s="21">
        <f>EXP(-LN(2)/2)*AW53+(1-EXP(-LN(2)/2))/(LN(2)/2)*AQ54*AT54*VLOOKUP('Données projet'!$B$10,Paramètres!$A$1:$I$89,3,0)*0.475*44/12</f>
        <v>7.6256554193396544E-3</v>
      </c>
      <c r="AX54" s="21">
        <f t="shared" si="6"/>
        <v>12.225276147799196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209.40000000000009</v>
      </c>
      <c r="BE54" s="13">
        <f>BD54*VLOOKUP('Données projet'!$B$11,Paramètres!$A$1:$I$89,3,0)*VLOOKUP('Données projet'!$B$11,Paramètres!$A$1:$I$89,5,0)</f>
        <v>182.93184000000011</v>
      </c>
      <c r="BF54" s="13">
        <f t="shared" si="37"/>
        <v>45.973851929814685</v>
      </c>
      <c r="BG54" s="20">
        <f t="shared" si="7"/>
        <v>398.67741344442743</v>
      </c>
      <c r="BH54" s="59">
        <f t="shared" si="8"/>
        <v>692.01074677776069</v>
      </c>
      <c r="BI54" s="59">
        <f ca="1">AVERAGE(OFFSET($BH$3,0,0,'Données projet'!$E$11+1,1))-AVERAGE(OFFSET($H$3,0,0,'Données projet'!$E$11+1,1))</f>
        <v>395.21779046720553</v>
      </c>
      <c r="BJ54" s="59">
        <f t="shared" si="38"/>
        <v>360.05900046417361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3.1744650651780337</v>
      </c>
      <c r="BQ54" s="21">
        <f>EXP(-LN(2)/25)*BQ53+(1-EXP(-LN(2)/25))/(LN(2)/25)*Calculateur!BL54*Calculateur!BN54*VLOOKUP('Données projet'!$B$11,Paramètres!$A$1:$I$89,3,0)*0.475*44/12</f>
        <v>6.3015888721183879</v>
      </c>
      <c r="BR54" s="21">
        <f>EXP(-LN(2)/2)*BR53+(1-EXP(-LN(2)/2))/(LN(2)/2)*BL54*BO54*VLOOKUP('Données projet'!$B$11,Paramètres!$A$1:$I$89,3,0)*0.475*44/12</f>
        <v>4.8320154415216155E-3</v>
      </c>
      <c r="BS54" s="22">
        <f t="shared" si="9"/>
        <v>9.4808859527379443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10.199999999999999</v>
      </c>
      <c r="BY54" s="12">
        <f>IF('Données projet'!$A$114&gt;35,BY53+BX54-CG53,IF(A54&lt;'Données projet'!$A$114,$BV$205^A54,IF(A54='Données projet'!$A$114,'Données projet'!$B$114,BY53+BX54-CG53)))</f>
        <v>213.20000000000002</v>
      </c>
      <c r="BZ54" s="13">
        <f>BY54*VLOOKUP('Données projet'!$B$12,Paramètres!$A$1:$I$89,3,0)*VLOOKUP('Données projet'!$B$12,Paramètres!$A$1:$I$89,5,0)</f>
        <v>216.18480000000002</v>
      </c>
      <c r="CA54" s="13">
        <f t="shared" si="39"/>
        <v>53.284828478170375</v>
      </c>
      <c r="CB54" s="20">
        <f t="shared" si="10"/>
        <v>469.3262695994801</v>
      </c>
      <c r="CC54" s="59">
        <f t="shared" si="11"/>
        <v>762.65960293281341</v>
      </c>
      <c r="CD54" s="59">
        <f ca="1">AVERAGE(OFFSET($CC$3,0,0,'Données projet'!$E$12+1,1))-AVERAGE(OFFSET($H$3,0,0,'Données projet'!$E$12+1,1))</f>
        <v>449.84356201138451</v>
      </c>
      <c r="CE54" s="59">
        <f t="shared" si="40"/>
        <v>306.61893266146666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5.4037135845085826</v>
      </c>
      <c r="CL54" s="21">
        <f>EXP(-LN(2)/25)*CL53+(1-EXP(-LN(2)/25))/(LN(2)/25)*Calculateur!CG54*Calculateur!CI54*VLOOKUP('Données projet'!$B$12,Paramètres!$A$1:$I$89,3,0)*0.475*44/12</f>
        <v>5.8629623141876799</v>
      </c>
      <c r="CM54" s="21">
        <f>EXP(-LN(2)/2)*CM53+(1-EXP(-LN(2)/2))/(LN(2)/2)*CG54*CJ54*VLOOKUP('Données projet'!$B$12,Paramètres!$A$1:$I$89,3,0)*0.475*44/12</f>
        <v>6.6048873587995199E-3</v>
      </c>
      <c r="CN54" s="22">
        <f t="shared" si="12"/>
        <v>11.273280786055063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10.199999999999999</v>
      </c>
      <c r="CT54" s="12">
        <f>IF('Données projet'!$A$140&gt;35,CT53+CS54-DB53,IF(A54&lt;'Données projet'!$A$140,$CQ$205^A54,IF(A54='Données projet'!$A$140,'Données projet'!$B$140,CT53+CS54-DB53)))</f>
        <v>213.20000000000002</v>
      </c>
      <c r="CU54" s="17">
        <f>CT54*VLOOKUP('Données projet'!$B$13,Paramètres!$A$1:$I$89,3,0)*VLOOKUP('Données projet'!$B$13,Paramètres!$A$1:$I$89,5,0)</f>
        <v>229.48848000000001</v>
      </c>
      <c r="CV54" s="13">
        <f t="shared" si="41"/>
        <v>56.17206461989467</v>
      </c>
      <c r="CW54" s="20">
        <f t="shared" si="13"/>
        <v>497.52544854631657</v>
      </c>
      <c r="CX54" s="59">
        <f t="shared" si="14"/>
        <v>790.85878187964988</v>
      </c>
      <c r="CY54" s="59">
        <f ca="1">AVERAGE(OFFSET($CX$3,0,0,'Données projet'!$E$13+1,1))-AVERAGE(OFFSET($H$3,0,0,'Données projet'!$E$13+1,1))</f>
        <v>475.01366239340246</v>
      </c>
      <c r="CZ54" s="59">
        <f t="shared" si="42"/>
        <v>322.81767004794284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5.7362498050937205</v>
      </c>
      <c r="DG54" s="21">
        <f>EXP(-LN(2)/25)*DG53+(1-EXP(-LN(2)/25))/(LN(2)/25)*Calculateur!DB54*Calculateur!DD54*VLOOKUP('Données projet'!$B$13,Paramètres!$A$1:$I$89,3,0)*0.475*44/12</f>
        <v>6.2237599950607647</v>
      </c>
      <c r="DH54" s="21">
        <f>EXP(-LN(2)/2)*DH53+(1-EXP(-LN(2)/2))/(LN(2)/2)*DB54*DE54*VLOOKUP('Données projet'!$B$13,Paramètres!$A$1:$I$89,3,0)*0.475*44/12</f>
        <v>7.0113419654948767E-3</v>
      </c>
      <c r="DI54" s="22">
        <f t="shared" si="15"/>
        <v>11.967021142119979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2.2737367544323206E-13</v>
      </c>
      <c r="DP54" s="17">
        <f>DO54*VLOOKUP('Données projet'!$B$14,Paramètres!$A$1:$I$89,3,0)*VLOOKUP('Données projet'!$B$14,Paramètres!$A$1:$I$89,5,0)</f>
        <v>2.0572770154103635E-13</v>
      </c>
      <c r="DQ54" s="13">
        <f t="shared" si="43"/>
        <v>2.8416956338469711E-12</v>
      </c>
      <c r="DR54" s="20">
        <f t="shared" si="16"/>
        <v>5.3075956424674458E-12</v>
      </c>
      <c r="DS54" s="59">
        <f t="shared" si="17"/>
        <v>293.3333333333386</v>
      </c>
      <c r="DT54" s="59">
        <f ca="1">AVERAGE(OFFSET($DS$3,0,0,'Données projet'!$E$14+1,1))-AVERAGE(OFFSET($H$3,0,0,'Données projet'!$E$14+1,1))</f>
        <v>436.23918637269577</v>
      </c>
      <c r="DU54" s="59">
        <f t="shared" si="44"/>
        <v>611.43967996341894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2.1732690300417588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3.2596556103762142E-3</v>
      </c>
      <c r="ED54" s="22">
        <f t="shared" si="18"/>
        <v>2.1765286856521349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216.07248000000001</v>
      </c>
      <c r="P55" s="13">
        <f t="shared" si="33"/>
        <v>53.260365780197098</v>
      </c>
      <c r="Q55" s="20">
        <f t="shared" si="53"/>
        <v>469.08803973384329</v>
      </c>
      <c r="R55" s="59">
        <f t="shared" si="0"/>
        <v>762.42137306717655</v>
      </c>
      <c r="S55" s="59">
        <f ca="1">AVERAGE(OFFSET($R$3,0,0,'Données projet'!$E$9+1,1))-AVERAGE(OFFSET($H$3,0,0,'Données projet'!$E$9+1,1))</f>
        <v>430.94515308997018</v>
      </c>
      <c r="T55" s="59">
        <f t="shared" si="34"/>
        <v>294.45557293177131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5.053238515961306</v>
      </c>
      <c r="AA55" s="21">
        <f>EXP(-LN(2)/25)*AA54+(1-EXP(-LN(2)/25))/(LN(2)/25)*Calculateur!V55*Calculateur!X55*VLOOKUP('Données projet'!$B$9,Paramètres!$A$1:$I$89,3,0)*0.475*44/12</f>
        <v>5.4394405643993631</v>
      </c>
      <c r="AB55" s="21">
        <f>EXP(-LN(2)/2)*AB54+(1-EXP(-LN(2)/2))/(LN(2)/2)*V55*Y55*VLOOKUP('Données projet'!$B$9,Paramètres!$A$1:$I$89,3,0)*0.475*44/12</f>
        <v>4.4548055339013494E-3</v>
      </c>
      <c r="AC55" s="22">
        <f t="shared" si="3"/>
        <v>10.497133885894572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</v>
      </c>
      <c r="AI55" s="13">
        <f>IF('Données projet'!$A$62&gt;35,AI54+AH55-AQ54,IF(A55&lt;'Données projet'!$A$62,$AF$205^A55,IF(A55='Données projet'!$A$62,'Données projet'!$B$62,AI54+AH55-AQ54)))</f>
        <v>240.49999999999989</v>
      </c>
      <c r="AJ55" s="13">
        <f>AI55*VLOOKUP('Données projet'!$B$10,Paramètres!$A$1:$I$89,3,0)*VLOOKUP('Données projet'!$B$10,Paramètres!$A$1:$I$89,5,0)</f>
        <v>112.55399999999995</v>
      </c>
      <c r="AK55" s="13">
        <f t="shared" si="35"/>
        <v>29.931920700323165</v>
      </c>
      <c r="AL55" s="20">
        <f t="shared" si="4"/>
        <v>248.16297855306274</v>
      </c>
      <c r="AM55" s="59">
        <f t="shared" si="5"/>
        <v>541.49631188639603</v>
      </c>
      <c r="AN55" s="59">
        <f ca="1">AVERAGE(OFFSET($AM$3,0,0,'Données projet'!$E$10+1,1))-AVERAGE(OFFSET($H$3,0,0,'Données projet'!$E$10+1,1))</f>
        <v>319.22903094674564</v>
      </c>
      <c r="AO55" s="59">
        <f t="shared" si="36"/>
        <v>254.58690973142848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5.8706154105595783</v>
      </c>
      <c r="AV55" s="21">
        <f>EXP(-LN(2)/25)*AV54+(1-EXP(-LN(2)/25))/(LN(2)/25)*Calculateur!AQ55*Calculateur!AS55*VLOOKUP('Données projet'!$B$10,Paramètres!$A$1:$I$89,3,0)*0.475*44/12</f>
        <v>6.0592642213342955</v>
      </c>
      <c r="AW55" s="21">
        <f>EXP(-LN(2)/2)*AW54+(1-EXP(-LN(2)/2))/(LN(2)/2)*AQ55*AT55*VLOOKUP('Données projet'!$B$10,Paramètres!$A$1:$I$89,3,0)*0.475*44/12</f>
        <v>5.3921526580070159E-3</v>
      </c>
      <c r="AX55" s="21">
        <f t="shared" si="6"/>
        <v>11.935271784551881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216.8000000000001</v>
      </c>
      <c r="BE55" s="13">
        <f>BD55*VLOOKUP('Données projet'!$B$11,Paramètres!$A$1:$I$89,3,0)*VLOOKUP('Données projet'!$B$11,Paramètres!$A$1:$I$89,5,0)</f>
        <v>189.39648000000011</v>
      </c>
      <c r="BF55" s="13">
        <f t="shared" si="37"/>
        <v>47.406498452084548</v>
      </c>
      <c r="BG55" s="20">
        <f t="shared" si="7"/>
        <v>412.43185413738075</v>
      </c>
      <c r="BH55" s="59">
        <f t="shared" si="8"/>
        <v>705.76518747071407</v>
      </c>
      <c r="BI55" s="59">
        <f ca="1">AVERAGE(OFFSET($BH$3,0,0,'Données projet'!$E$11+1,1))-AVERAGE(OFFSET($H$3,0,0,'Données projet'!$E$11+1,1))</f>
        <v>395.21779046720553</v>
      </c>
      <c r="BJ55" s="59">
        <f t="shared" si="38"/>
        <v>360.05900046417361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3.112215741482395</v>
      </c>
      <c r="BQ55" s="21">
        <f>EXP(-LN(2)/25)*BQ54+(1-EXP(-LN(2)/25))/(LN(2)/25)*Calculateur!BL55*Calculateur!BN55*VLOOKUP('Données projet'!$B$11,Paramètres!$A$1:$I$89,3,0)*0.475*44/12</f>
        <v>6.1292715930241544</v>
      </c>
      <c r="BR55" s="21">
        <f>EXP(-LN(2)/2)*BR54+(1-EXP(-LN(2)/2))/(LN(2)/2)*BL55*BO55*VLOOKUP('Données projet'!$B$11,Paramètres!$A$1:$I$89,3,0)*0.475*44/12</f>
        <v>3.4167508854980439E-3</v>
      </c>
      <c r="BS55" s="22">
        <f t="shared" si="9"/>
        <v>9.2449040853920472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10.199999999999999</v>
      </c>
      <c r="BY55" s="12">
        <f>IF('Données projet'!$A$114&gt;35,BY54+BX55-CG54,IF(A55&lt;'Données projet'!$A$114,$BV$205^A55,IF(A55='Données projet'!$A$114,'Données projet'!$B$114,BY54+BX55-CG54)))</f>
        <v>223.4</v>
      </c>
      <c r="BZ55" s="13">
        <f>BY55*VLOOKUP('Données projet'!$B$12,Paramètres!$A$1:$I$89,3,0)*VLOOKUP('Données projet'!$B$12,Paramètres!$A$1:$I$89,5,0)</f>
        <v>226.52760000000001</v>
      </c>
      <c r="CA55" s="13">
        <f t="shared" si="39"/>
        <v>55.531204013656371</v>
      </c>
      <c r="CB55" s="20">
        <f t="shared" si="10"/>
        <v>491.25241699045142</v>
      </c>
      <c r="CC55" s="59">
        <f t="shared" si="11"/>
        <v>784.58575032378474</v>
      </c>
      <c r="CD55" s="59">
        <f ca="1">AVERAGE(OFFSET($CC$3,0,0,'Données projet'!$E$12+1,1))-AVERAGE(OFFSET($H$3,0,0,'Données projet'!$E$12+1,1))</f>
        <v>449.84356201138451</v>
      </c>
      <c r="CE55" s="59">
        <f t="shared" si="40"/>
        <v>306.61893266146666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5.2977500570562093</v>
      </c>
      <c r="CL55" s="21">
        <f>EXP(-LN(2)/25)*CL54+(1-EXP(-LN(2)/25))/(LN(2)/25)*Calculateur!CG55*Calculateur!CI55*VLOOKUP('Données projet'!$B$12,Paramètres!$A$1:$I$89,3,0)*0.475*44/12</f>
        <v>5.70263930138643</v>
      </c>
      <c r="CM55" s="21">
        <f>EXP(-LN(2)/2)*CM54+(1-EXP(-LN(2)/2))/(LN(2)/2)*CG55*CJ55*VLOOKUP('Données projet'!$B$12,Paramètres!$A$1:$I$89,3,0)*0.475*44/12</f>
        <v>4.6703606403804459E-3</v>
      </c>
      <c r="CN55" s="22">
        <f t="shared" si="12"/>
        <v>11.00505971908302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10.199999999999999</v>
      </c>
      <c r="CT55" s="12">
        <f>IF('Données projet'!$A$140&gt;35,CT54+CS55-DB54,IF(A55&lt;'Données projet'!$A$140,$CQ$205^A55,IF(A55='Données projet'!$A$140,'Données projet'!$B$140,CT54+CS55-DB54)))</f>
        <v>223.4</v>
      </c>
      <c r="CU55" s="17">
        <f>CT55*VLOOKUP('Données projet'!$B$13,Paramètres!$A$1:$I$89,3,0)*VLOOKUP('Données projet'!$B$13,Paramètres!$A$1:$I$89,5,0)</f>
        <v>240.46776</v>
      </c>
      <c r="CV55" s="13">
        <f t="shared" si="41"/>
        <v>58.540159917256176</v>
      </c>
      <c r="CW55" s="20">
        <f t="shared" si="13"/>
        <v>520.77212718922112</v>
      </c>
      <c r="CX55" s="59">
        <f t="shared" si="14"/>
        <v>814.10546052255449</v>
      </c>
      <c r="CY55" s="59">
        <f ca="1">AVERAGE(OFFSET($CX$3,0,0,'Données projet'!$E$13+1,1))-AVERAGE(OFFSET($H$3,0,0,'Données projet'!$E$13+1,1))</f>
        <v>475.01366239340246</v>
      </c>
      <c r="CZ55" s="59">
        <f t="shared" si="42"/>
        <v>322.81767004794284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5.6237654451827392</v>
      </c>
      <c r="DG55" s="21">
        <f>EXP(-LN(2)/25)*DG54+(1-EXP(-LN(2)/25))/(LN(2)/25)*Calculateur!DB55*Calculateur!DD55*VLOOKUP('Données projet'!$B$13,Paramètres!$A$1:$I$89,3,0)*0.475*44/12</f>
        <v>6.0535709507025146</v>
      </c>
      <c r="DH55" s="21">
        <f>EXP(-LN(2)/2)*DH54+(1-EXP(-LN(2)/2))/(LN(2)/2)*DB55*DE55*VLOOKUP('Données projet'!$B$13,Paramètres!$A$1:$I$89,3,0)*0.475*44/12</f>
        <v>4.9577674490192437E-3</v>
      </c>
      <c r="DI55" s="22">
        <f t="shared" si="15"/>
        <v>11.682294163334273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2.2737367544323206E-13</v>
      </c>
      <c r="DP55" s="17">
        <f>DO55*VLOOKUP('Données projet'!$B$14,Paramètres!$A$1:$I$89,3,0)*VLOOKUP('Données projet'!$B$14,Paramètres!$A$1:$I$89,5,0)</f>
        <v>2.0572770154103635E-13</v>
      </c>
      <c r="DQ55" s="13">
        <f t="shared" si="43"/>
        <v>2.8416956338469711E-12</v>
      </c>
      <c r="DR55" s="20">
        <f t="shared" si="16"/>
        <v>5.3075956424674458E-12</v>
      </c>
      <c r="DS55" s="59">
        <f t="shared" si="17"/>
        <v>293.3333333333386</v>
      </c>
      <c r="DT55" s="59">
        <f ca="1">AVERAGE(OFFSET($DS$3,0,0,'Données projet'!$E$14+1,1))-AVERAGE(OFFSET($H$3,0,0,'Données projet'!$E$14+1,1))</f>
        <v>436.23918637269577</v>
      </c>
      <c r="DU55" s="59">
        <f t="shared" si="44"/>
        <v>611.43967996341894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2.1306525499258595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2.3049245864297956E-3</v>
      </c>
      <c r="ED55" s="22">
        <f t="shared" si="18"/>
        <v>2.1329574745122892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225.93791999999999</v>
      </c>
      <c r="P56" s="13">
        <f t="shared" si="33"/>
        <v>55.403456067447962</v>
      </c>
      <c r="Q56" s="20">
        <f t="shared" si="53"/>
        <v>490.00289665080521</v>
      </c>
      <c r="R56" s="59">
        <f t="shared" si="0"/>
        <v>783.33622998413853</v>
      </c>
      <c r="S56" s="59">
        <f ca="1">AVERAGE(OFFSET($R$3,0,0,'Données projet'!$E$9+1,1))-AVERAGE(OFFSET($H$3,0,0,'Données projet'!$E$9+1,1))</f>
        <v>430.94515308997018</v>
      </c>
      <c r="T56" s="59">
        <f t="shared" si="34"/>
        <v>294.45557293177131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4.9541475908344603</v>
      </c>
      <c r="AA56" s="21">
        <f>EXP(-LN(2)/25)*AA55+(1-EXP(-LN(2)/25))/(LN(2)/25)*Calculateur!V56*Calculateur!X56*VLOOKUP('Données projet'!$B$9,Paramètres!$A$1:$I$89,3,0)*0.475*44/12</f>
        <v>5.2906987761181155</v>
      </c>
      <c r="AB56" s="21">
        <f>EXP(-LN(2)/2)*AB55+(1-EXP(-LN(2)/2))/(LN(2)/2)*V56*Y56*VLOOKUP('Données projet'!$B$9,Paramètres!$A$1:$I$89,3,0)*0.475*44/12</f>
        <v>3.1500232018890025E-3</v>
      </c>
      <c r="AC56" s="22">
        <f t="shared" si="3"/>
        <v>10.247996390154464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</v>
      </c>
      <c r="AI56" s="13">
        <f>IF('Données projet'!$A$62&gt;35,AI55+AH56-AQ55,IF(A56&lt;'Données projet'!$A$62,$AF$205^A56,IF(A56='Données projet'!$A$62,'Données projet'!$B$62,AI55+AH56-AQ55)))</f>
        <v>253.99999999999989</v>
      </c>
      <c r="AJ56" s="13">
        <f>AI56*VLOOKUP('Données projet'!$B$10,Paramètres!$A$1:$I$89,3,0)*VLOOKUP('Données projet'!$B$10,Paramètres!$A$1:$I$89,5,0)</f>
        <v>118.87199999999994</v>
      </c>
      <c r="AK56" s="13">
        <f t="shared" si="35"/>
        <v>31.411767382096219</v>
      </c>
      <c r="AL56" s="20">
        <f t="shared" si="4"/>
        <v>261.74422819048414</v>
      </c>
      <c r="AM56" s="59">
        <f t="shared" si="5"/>
        <v>555.07756152381739</v>
      </c>
      <c r="AN56" s="59">
        <f ca="1">AVERAGE(OFFSET($AM$3,0,0,'Données projet'!$E$10+1,1))-AVERAGE(OFFSET($H$3,0,0,'Données projet'!$E$10+1,1))</f>
        <v>319.22903094674564</v>
      </c>
      <c r="AO56" s="59">
        <f t="shared" si="36"/>
        <v>254.58690973142848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5.7554962230803381</v>
      </c>
      <c r="AV56" s="21">
        <f>EXP(-LN(2)/25)*AV55+(1-EXP(-LN(2)/25))/(LN(2)/25)*Calculateur!AQ56*Calculateur!AS56*VLOOKUP('Données projet'!$B$10,Paramètres!$A$1:$I$89,3,0)*0.475*44/12</f>
        <v>5.8935733225590523</v>
      </c>
      <c r="AW56" s="21">
        <f>EXP(-LN(2)/2)*AW55+(1-EXP(-LN(2)/2))/(LN(2)/2)*AQ56*AT56*VLOOKUP('Données projet'!$B$10,Paramètres!$A$1:$I$89,3,0)*0.475*44/12</f>
        <v>3.8128277096698281E-3</v>
      </c>
      <c r="AX56" s="21">
        <f t="shared" si="6"/>
        <v>11.65288237334906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224.2000000000001</v>
      </c>
      <c r="BE56" s="13">
        <f>BD56*VLOOKUP('Données projet'!$B$11,Paramètres!$A$1:$I$89,3,0)*VLOOKUP('Données projet'!$B$11,Paramètres!$A$1:$I$89,5,0)</f>
        <v>195.86112000000011</v>
      </c>
      <c r="BF56" s="13">
        <f t="shared" si="37"/>
        <v>48.833463106716465</v>
      </c>
      <c r="BG56" s="20">
        <f t="shared" si="7"/>
        <v>426.17639891086469</v>
      </c>
      <c r="BH56" s="59">
        <f t="shared" si="8"/>
        <v>719.50973224419795</v>
      </c>
      <c r="BI56" s="59">
        <f ca="1">AVERAGE(OFFSET($BH$3,0,0,'Données projet'!$E$11+1,1))-AVERAGE(OFFSET($H$3,0,0,'Données projet'!$E$11+1,1))</f>
        <v>395.21779046720553</v>
      </c>
      <c r="BJ56" s="59">
        <f t="shared" si="38"/>
        <v>360.05900046417361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3.0511870890560897</v>
      </c>
      <c r="BQ56" s="21">
        <f>EXP(-LN(2)/25)*BQ55+(1-EXP(-LN(2)/25))/(LN(2)/25)*Calculateur!BL56*Calculateur!BN56*VLOOKUP('Données projet'!$B$11,Paramètres!$A$1:$I$89,3,0)*0.475*44/12</f>
        <v>5.9616663389885245</v>
      </c>
      <c r="BR56" s="21">
        <f>EXP(-LN(2)/2)*BR55+(1-EXP(-LN(2)/2))/(LN(2)/2)*BL56*BO56*VLOOKUP('Données projet'!$B$11,Paramètres!$A$1:$I$89,3,0)*0.475*44/12</f>
        <v>2.4160077207608078E-3</v>
      </c>
      <c r="BS56" s="22">
        <f t="shared" si="9"/>
        <v>9.0152694357653758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10.199999999999999</v>
      </c>
      <c r="BY56" s="12">
        <f>IF('Données projet'!$A$114&gt;35,BY55+BX56-CG55,IF(A56&lt;'Données projet'!$A$114,$BV$205^A56,IF(A56='Données projet'!$A$114,'Données projet'!$B$114,BY55+BX56-CG55)))</f>
        <v>233.6</v>
      </c>
      <c r="BZ56" s="13">
        <f>BY56*VLOOKUP('Données projet'!$B$12,Paramètres!$A$1:$I$89,3,0)*VLOOKUP('Données projet'!$B$12,Paramètres!$A$1:$I$89,5,0)</f>
        <v>236.87040000000002</v>
      </c>
      <c r="CA56" s="13">
        <f t="shared" si="39"/>
        <v>57.765668276484661</v>
      </c>
      <c r="CB56" s="20">
        <f t="shared" si="10"/>
        <v>513.15781891487757</v>
      </c>
      <c r="CC56" s="59">
        <f t="shared" si="11"/>
        <v>806.49115224821094</v>
      </c>
      <c r="CD56" s="59">
        <f ca="1">AVERAGE(OFFSET($CC$3,0,0,'Données projet'!$E$12+1,1))-AVERAGE(OFFSET($H$3,0,0,'Données projet'!$E$12+1,1))</f>
        <v>449.84356201138451</v>
      </c>
      <c r="CE56" s="59">
        <f t="shared" si="40"/>
        <v>306.61893266146666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5.1938644097458067</v>
      </c>
      <c r="CL56" s="21">
        <f>EXP(-LN(2)/25)*CL55+(1-EXP(-LN(2)/25))/(LN(2)/25)*Calculateur!CG56*Calculateur!CI56*VLOOKUP('Données projet'!$B$12,Paramètres!$A$1:$I$89,3,0)*0.475*44/12</f>
        <v>5.5467003298012507</v>
      </c>
      <c r="CM56" s="21">
        <f>EXP(-LN(2)/2)*CM55+(1-EXP(-LN(2)/2))/(LN(2)/2)*CG56*CJ56*VLOOKUP('Données projet'!$B$12,Paramètres!$A$1:$I$89,3,0)*0.475*44/12</f>
        <v>3.3024436793997599E-3</v>
      </c>
      <c r="CN56" s="22">
        <f t="shared" si="12"/>
        <v>10.743867183226458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10.199999999999999</v>
      </c>
      <c r="CT56" s="12">
        <f>IF('Données projet'!$A$140&gt;35,CT55+CS56-DB55,IF(A56&lt;'Données projet'!$A$140,$CQ$205^A56,IF(A56='Données projet'!$A$140,'Données projet'!$B$140,CT55+CS56-DB55)))</f>
        <v>233.6</v>
      </c>
      <c r="CU56" s="17">
        <f>CT56*VLOOKUP('Données projet'!$B$13,Paramètres!$A$1:$I$89,3,0)*VLOOKUP('Données projet'!$B$13,Paramètres!$A$1:$I$89,5,0)</f>
        <v>251.44704000000002</v>
      </c>
      <c r="CV56" s="13">
        <f t="shared" si="41"/>
        <v>60.895698530162839</v>
      </c>
      <c r="CW56" s="20">
        <f t="shared" si="13"/>
        <v>543.99693627336694</v>
      </c>
      <c r="CX56" s="59">
        <f t="shared" si="14"/>
        <v>837.33026960670031</v>
      </c>
      <c r="CY56" s="59">
        <f ca="1">AVERAGE(OFFSET($CX$3,0,0,'Données projet'!$E$13+1,1))-AVERAGE(OFFSET($H$3,0,0,'Données projet'!$E$13+1,1))</f>
        <v>475.01366239340246</v>
      </c>
      <c r="CZ56" s="59">
        <f t="shared" si="42"/>
        <v>322.81767004794284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5.5134868349609274</v>
      </c>
      <c r="DG56" s="21">
        <f>EXP(-LN(2)/25)*DG55+(1-EXP(-LN(2)/25))/(LN(2)/25)*Calculateur!DB56*Calculateur!DD56*VLOOKUP('Données projet'!$B$13,Paramètres!$A$1:$I$89,3,0)*0.475*44/12</f>
        <v>5.8880357347120933</v>
      </c>
      <c r="DH56" s="21">
        <f>EXP(-LN(2)/2)*DH55+(1-EXP(-LN(2)/2))/(LN(2)/2)*DB56*DE56*VLOOKUP('Données projet'!$B$13,Paramètres!$A$1:$I$89,3,0)*0.475*44/12</f>
        <v>3.5056709827474383E-3</v>
      </c>
      <c r="DI56" s="22">
        <f t="shared" si="15"/>
        <v>11.405028240655767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2.2737367544323206E-13</v>
      </c>
      <c r="DP56" s="17">
        <f>DO56*VLOOKUP('Données projet'!$B$14,Paramètres!$A$1:$I$89,3,0)*VLOOKUP('Données projet'!$B$14,Paramètres!$A$1:$I$89,5,0)</f>
        <v>2.0572770154103635E-13</v>
      </c>
      <c r="DQ56" s="13">
        <f t="shared" si="43"/>
        <v>2.8416956338469711E-12</v>
      </c>
      <c r="DR56" s="20">
        <f t="shared" si="16"/>
        <v>5.3075956424674458E-12</v>
      </c>
      <c r="DS56" s="59">
        <f t="shared" si="17"/>
        <v>293.3333333333386</v>
      </c>
      <c r="DT56" s="59">
        <f ca="1">AVERAGE(OFFSET($DS$3,0,0,'Données projet'!$E$14+1,1))-AVERAGE(OFFSET($H$3,0,0,'Données projet'!$E$14+1,1))</f>
        <v>436.23918637269577</v>
      </c>
      <c r="DU56" s="59">
        <f t="shared" si="44"/>
        <v>611.43967996341894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2.088871752991547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1.6298278051881071E-3</v>
      </c>
      <c r="ED56" s="22">
        <f t="shared" si="18"/>
        <v>2.0905015807967353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235.80335999999997</v>
      </c>
      <c r="P57" s="13">
        <f t="shared" si="33"/>
        <v>57.53567801144218</v>
      </c>
      <c r="Q57" s="20">
        <f t="shared" si="53"/>
        <v>510.89882453659499</v>
      </c>
      <c r="R57" s="59">
        <f t="shared" si="0"/>
        <v>804.2321578699283</v>
      </c>
      <c r="S57" s="59">
        <f ca="1">AVERAGE(OFFSET($R$3,0,0,'Données projet'!$E$9+1,1))-AVERAGE(OFFSET($H$3,0,0,'Données projet'!$E$9+1,1))</f>
        <v>430.94515308997018</v>
      </c>
      <c r="T57" s="59">
        <f t="shared" si="34"/>
        <v>294.45557293177131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4.8569997783098557</v>
      </c>
      <c r="AA57" s="21">
        <f>EXP(-LN(2)/25)*AA56+(1-EXP(-LN(2)/25))/(LN(2)/25)*Calculateur!V57*Calculateur!X57*VLOOKUP('Données projet'!$B$9,Paramètres!$A$1:$I$89,3,0)*0.475*44/12</f>
        <v>5.1460243398594088</v>
      </c>
      <c r="AB57" s="21">
        <f>EXP(-LN(2)/2)*AB56+(1-EXP(-LN(2)/2))/(LN(2)/2)*V57*Y57*VLOOKUP('Données projet'!$B$9,Paramètres!$A$1:$I$89,3,0)*0.475*44/12</f>
        <v>2.2274027669506747E-3</v>
      </c>
      <c r="AC57" s="22">
        <f t="shared" si="3"/>
        <v>10.005251520936215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</v>
      </c>
      <c r="AI57" s="13">
        <f>IF('Données projet'!$A$62&gt;35,AI56+AH57-AQ56,IF(A57&lt;'Données projet'!$A$62,$AF$205^A57,IF(A57='Données projet'!$A$62,'Données projet'!$B$62,AI56+AH57-AQ56)))</f>
        <v>267.49999999999989</v>
      </c>
      <c r="AJ57" s="13">
        <f>AI57*VLOOKUP('Données projet'!$B$10,Paramètres!$A$1:$I$89,3,0)*VLOOKUP('Données projet'!$B$10,Paramètres!$A$1:$I$89,5,0)</f>
        <v>125.18999999999994</v>
      </c>
      <c r="AK57" s="13">
        <f t="shared" si="35"/>
        <v>32.882482546564304</v>
      </c>
      <c r="AL57" s="20">
        <f t="shared" si="4"/>
        <v>275.30957376859936</v>
      </c>
      <c r="AM57" s="59">
        <f t="shared" si="5"/>
        <v>568.64290710193268</v>
      </c>
      <c r="AN57" s="59">
        <f ca="1">AVERAGE(OFFSET($AM$3,0,0,'Données projet'!$E$10+1,1))-AVERAGE(OFFSET($H$3,0,0,'Données projet'!$E$10+1,1))</f>
        <v>319.22903094674564</v>
      </c>
      <c r="AO57" s="59">
        <f t="shared" si="36"/>
        <v>254.58690973142848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5.6426344526517953</v>
      </c>
      <c r="AV57" s="21">
        <f>EXP(-LN(2)/25)*AV56+(1-EXP(-LN(2)/25))/(LN(2)/25)*Calculateur!AQ57*Calculateur!AS57*VLOOKUP('Données projet'!$B$10,Paramètres!$A$1:$I$89,3,0)*0.475*44/12</f>
        <v>5.7324132501241243</v>
      </c>
      <c r="AW57" s="21">
        <f>EXP(-LN(2)/2)*AW56+(1-EXP(-LN(2)/2))/(LN(2)/2)*AQ57*AT57*VLOOKUP('Données projet'!$B$10,Paramètres!$A$1:$I$89,3,0)*0.475*44/12</f>
        <v>2.6960763290035084E-3</v>
      </c>
      <c r="AX57" s="21">
        <f t="shared" si="6"/>
        <v>11.377743779104923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231.60000000000011</v>
      </c>
      <c r="BE57" s="13">
        <f>BD57*VLOOKUP('Données projet'!$B$11,Paramètres!$A$1:$I$89,3,0)*VLOOKUP('Données projet'!$B$11,Paramètres!$A$1:$I$89,5,0)</f>
        <v>202.32576000000014</v>
      </c>
      <c r="BF57" s="13">
        <f t="shared" si="37"/>
        <v>50.254954935552938</v>
      </c>
      <c r="BG57" s="20">
        <f t="shared" si="7"/>
        <v>439.91141184608824</v>
      </c>
      <c r="BH57" s="59">
        <f t="shared" si="8"/>
        <v>733.24474517942156</v>
      </c>
      <c r="BI57" s="59">
        <f ca="1">AVERAGE(OFFSET($BH$3,0,0,'Données projet'!$E$11+1,1))-AVERAGE(OFFSET($H$3,0,0,'Données projet'!$E$11+1,1))</f>
        <v>395.21779046720553</v>
      </c>
      <c r="BJ57" s="59">
        <f t="shared" si="38"/>
        <v>360.05900046417361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2.9913551712800617</v>
      </c>
      <c r="BQ57" s="21">
        <f>EXP(-LN(2)/25)*BQ56+(1-EXP(-LN(2)/25))/(LN(2)/25)*Calculateur!BL57*Calculateur!BN57*VLOOKUP('Données projet'!$B$11,Paramètres!$A$1:$I$89,3,0)*0.475*44/12</f>
        <v>5.7986442594384764</v>
      </c>
      <c r="BR57" s="21">
        <f>EXP(-LN(2)/2)*BR56+(1-EXP(-LN(2)/2))/(LN(2)/2)*BL57*BO57*VLOOKUP('Données projet'!$B$11,Paramètres!$A$1:$I$89,3,0)*0.475*44/12</f>
        <v>1.7083754427490219E-3</v>
      </c>
      <c r="BS57" s="22">
        <f t="shared" si="9"/>
        <v>8.7917078061612877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10.199999999999999</v>
      </c>
      <c r="BY57" s="12">
        <f>IF('Données projet'!$A$114&gt;35,BY56+BX57-CG56,IF(A57&lt;'Données projet'!$A$114,$BV$205^A57,IF(A57='Données projet'!$A$114,'Données projet'!$B$114,BY56+BX57-CG56)))</f>
        <v>243.79999999999998</v>
      </c>
      <c r="BZ57" s="13">
        <f>BY57*VLOOKUP('Données projet'!$B$12,Paramètres!$A$1:$I$89,3,0)*VLOOKUP('Données projet'!$B$12,Paramètres!$A$1:$I$89,5,0)</f>
        <v>247.2132</v>
      </c>
      <c r="CA57" s="13">
        <f t="shared" si="39"/>
        <v>59.988800807398761</v>
      </c>
      <c r="CB57" s="20">
        <f t="shared" si="10"/>
        <v>535.04348473955281</v>
      </c>
      <c r="CC57" s="59">
        <f t="shared" si="11"/>
        <v>828.37681807288618</v>
      </c>
      <c r="CD57" s="59">
        <f ca="1">AVERAGE(OFFSET($CC$3,0,0,'Données projet'!$E$12+1,1))-AVERAGE(OFFSET($H$3,0,0,'Données projet'!$E$12+1,1))</f>
        <v>449.84356201138451</v>
      </c>
      <c r="CE57" s="59">
        <f t="shared" si="40"/>
        <v>306.61893266146666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5.0920158966151732</v>
      </c>
      <c r="CL57" s="21">
        <f>EXP(-LN(2)/25)*CL56+(1-EXP(-LN(2)/25))/(LN(2)/25)*Calculateur!CG57*Calculateur!CI57*VLOOKUP('Données projet'!$B$12,Paramètres!$A$1:$I$89,3,0)*0.475*44/12</f>
        <v>5.3950255175945427</v>
      </c>
      <c r="CM57" s="21">
        <f>EXP(-LN(2)/2)*CM56+(1-EXP(-LN(2)/2))/(LN(2)/2)*CG57*CJ57*VLOOKUP('Données projet'!$B$12,Paramètres!$A$1:$I$89,3,0)*0.475*44/12</f>
        <v>2.3351803201902229E-3</v>
      </c>
      <c r="CN57" s="22">
        <f t="shared" si="12"/>
        <v>10.489376594529906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10.199999999999999</v>
      </c>
      <c r="CT57" s="12">
        <f>IF('Données projet'!$A$140&gt;35,CT56+CS57-DB56,IF(A57&lt;'Données projet'!$A$140,$CQ$205^A57,IF(A57='Données projet'!$A$140,'Données projet'!$B$140,CT56+CS57-DB56)))</f>
        <v>243.79999999999998</v>
      </c>
      <c r="CU57" s="17">
        <f>CT57*VLOOKUP('Données projet'!$B$13,Paramètres!$A$1:$I$89,3,0)*VLOOKUP('Données projet'!$B$13,Paramètres!$A$1:$I$89,5,0)</f>
        <v>262.42631999999998</v>
      </c>
      <c r="CV57" s="13">
        <f t="shared" si="41"/>
        <v>63.239291401748304</v>
      </c>
      <c r="CW57" s="20">
        <f t="shared" si="13"/>
        <v>567.20093985804488</v>
      </c>
      <c r="CX57" s="59">
        <f t="shared" si="14"/>
        <v>860.53427319137813</v>
      </c>
      <c r="CY57" s="59">
        <f ca="1">AVERAGE(OFFSET($CX$3,0,0,'Données projet'!$E$13+1,1))-AVERAGE(OFFSET($H$3,0,0,'Données projet'!$E$13+1,1))</f>
        <v>475.01366239340246</v>
      </c>
      <c r="CZ57" s="59">
        <f t="shared" si="42"/>
        <v>322.81767004794284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5.4053707210222548</v>
      </c>
      <c r="DG57" s="21">
        <f>EXP(-LN(2)/25)*DG56+(1-EXP(-LN(2)/25))/(LN(2)/25)*Calculateur!DB57*Calculateur!DD57*VLOOKUP('Données projet'!$B$13,Paramètres!$A$1:$I$89,3,0)*0.475*44/12</f>
        <v>5.7270270879080494</v>
      </c>
      <c r="DH57" s="21">
        <f>EXP(-LN(2)/2)*DH56+(1-EXP(-LN(2)/2))/(LN(2)/2)*DB57*DE57*VLOOKUP('Données projet'!$B$13,Paramètres!$A$1:$I$89,3,0)*0.475*44/12</f>
        <v>2.4788837245096219E-3</v>
      </c>
      <c r="DI57" s="22">
        <f t="shared" si="15"/>
        <v>11.134876692654814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2.2737367544323206E-13</v>
      </c>
      <c r="DP57" s="17">
        <f>DO57*VLOOKUP('Données projet'!$B$14,Paramètres!$A$1:$I$89,3,0)*VLOOKUP('Données projet'!$B$14,Paramètres!$A$1:$I$89,5,0)</f>
        <v>2.0572770154103635E-13</v>
      </c>
      <c r="DQ57" s="13">
        <f t="shared" si="43"/>
        <v>2.8416956338469711E-12</v>
      </c>
      <c r="DR57" s="20">
        <f t="shared" si="16"/>
        <v>5.3075956424674458E-12</v>
      </c>
      <c r="DS57" s="59">
        <f t="shared" si="17"/>
        <v>293.3333333333386</v>
      </c>
      <c r="DT57" s="59">
        <f ca="1">AVERAGE(OFFSET($DS$3,0,0,'Données projet'!$E$14+1,1))-AVERAGE(OFFSET($H$3,0,0,'Données projet'!$E$14+1,1))</f>
        <v>436.23918637269577</v>
      </c>
      <c r="DU57" s="59">
        <f t="shared" si="44"/>
        <v>611.43967996341894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2.0479102520013468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1.1524622932148978E-3</v>
      </c>
      <c r="ED57" s="22">
        <f t="shared" si="18"/>
        <v>2.0490627142945619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245.6688</v>
      </c>
      <c r="P58" s="13">
        <f t="shared" si="33"/>
        <v>59.657538312400263</v>
      </c>
      <c r="Q58" s="20">
        <f t="shared" si="53"/>
        <v>531.77670589409706</v>
      </c>
      <c r="R58" s="59">
        <f t="shared" si="0"/>
        <v>825.11003922743043</v>
      </c>
      <c r="S58" s="59">
        <f ca="1">AVERAGE(OFFSET($R$3,0,0,'Données projet'!$E$9+1,1))-AVERAGE(OFFSET($H$3,0,0,'Données projet'!$E$9+1,1))</f>
        <v>430.94515308997018</v>
      </c>
      <c r="T58" s="59">
        <f t="shared" si="34"/>
        <v>294.45557293177131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4.7617569751345439</v>
      </c>
      <c r="AA58" s="21">
        <f>EXP(-LN(2)/25)*AA57+(1-EXP(-LN(2)/25))/(LN(2)/25)*Calculateur!V58*Calculateur!X58*VLOOKUP('Données projet'!$B$9,Paramètres!$A$1:$I$89,3,0)*0.475*44/12</f>
        <v>5.0053060336682949</v>
      </c>
      <c r="AB58" s="21">
        <f>EXP(-LN(2)/2)*AB57+(1-EXP(-LN(2)/2))/(LN(2)/2)*V58*Y58*VLOOKUP('Données projet'!$B$9,Paramètres!$A$1:$I$89,3,0)*0.475*44/12</f>
        <v>1.5750116009445013E-3</v>
      </c>
      <c r="AC58" s="22">
        <f t="shared" si="3"/>
        <v>9.7686380204037846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</v>
      </c>
      <c r="AI58" s="13">
        <f>IF('Données projet'!$A$62&gt;35,AI57+AH58-AQ57,IF(A58&lt;'Données projet'!$A$62,$AF$205^A58,IF(A58='Données projet'!$A$62,'Données projet'!$B$62,AI57+AH58-AQ57)))</f>
        <v>280.99999999999989</v>
      </c>
      <c r="AJ58" s="13">
        <f>AI58*VLOOKUP('Données projet'!$B$10,Paramètres!$A$1:$I$89,3,0)*VLOOKUP('Données projet'!$B$10,Paramètres!$A$1:$I$89,5,0)</f>
        <v>131.50799999999995</v>
      </c>
      <c r="AK58" s="13">
        <f t="shared" si="35"/>
        <v>34.344579617082481</v>
      </c>
      <c r="AL58" s="20">
        <f t="shared" si="4"/>
        <v>288.85990949975189</v>
      </c>
      <c r="AM58" s="59">
        <f t="shared" si="5"/>
        <v>582.19324283308515</v>
      </c>
      <c r="AN58" s="59">
        <f ca="1">AVERAGE(OFFSET($AM$3,0,0,'Données projet'!$E$10+1,1))-AVERAGE(OFFSET($H$3,0,0,'Données projet'!$E$10+1,1))</f>
        <v>319.22903094674564</v>
      </c>
      <c r="AO58" s="59">
        <f t="shared" si="36"/>
        <v>254.58690973142848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5.5319858327024729</v>
      </c>
      <c r="AV58" s="21">
        <f>EXP(-LN(2)/25)*AV57+(1-EXP(-LN(2)/25))/(LN(2)/25)*Calculateur!AQ58*Calculateur!AS58*VLOOKUP('Données projet'!$B$10,Paramètres!$A$1:$I$89,3,0)*0.475*44/12</f>
        <v>5.5756601083449686</v>
      </c>
      <c r="AW58" s="21">
        <f>EXP(-LN(2)/2)*AW57+(1-EXP(-LN(2)/2))/(LN(2)/2)*AQ58*AT58*VLOOKUP('Données projet'!$B$10,Paramètres!$A$1:$I$89,3,0)*0.475*44/12</f>
        <v>1.9064138548349143E-3</v>
      </c>
      <c r="AX58" s="21">
        <f t="shared" si="6"/>
        <v>11.109552354902275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239.00000000000011</v>
      </c>
      <c r="BE58" s="13">
        <f>BD58*VLOOKUP('Données projet'!$B$11,Paramètres!$A$1:$I$89,3,0)*VLOOKUP('Données projet'!$B$11,Paramètres!$A$1:$I$89,5,0)</f>
        <v>208.79040000000015</v>
      </c>
      <c r="BF58" s="13">
        <f t="shared" si="37"/>
        <v>51.671168863475195</v>
      </c>
      <c r="BG58" s="20">
        <f t="shared" si="7"/>
        <v>453.63723243721955</v>
      </c>
      <c r="BH58" s="59">
        <f t="shared" si="8"/>
        <v>746.97056577055287</v>
      </c>
      <c r="BI58" s="59">
        <f ca="1">AVERAGE(OFFSET($BH$3,0,0,'Données projet'!$E$11+1,1))-AVERAGE(OFFSET($H$3,0,0,'Données projet'!$E$11+1,1))</f>
        <v>395.21779046720553</v>
      </c>
      <c r="BJ58" s="59">
        <f t="shared" si="38"/>
        <v>360.05900046417361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26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2.9326965209177551</v>
      </c>
      <c r="BQ58" s="21">
        <f>EXP(-LN(2)/25)*BQ57+(1-EXP(-LN(2)/25))/(LN(2)/25)*Calculateur!BL58*Calculateur!BN58*VLOOKUP('Données projet'!$B$11,Paramètres!$A$1:$I$89,3,0)*0.475*44/12</f>
        <v>5.6400800272266824</v>
      </c>
      <c r="BR58" s="21">
        <f>EXP(-LN(2)/2)*BR57+(1-EXP(-LN(2)/2))/(LN(2)/2)*BL58*BO58*VLOOKUP('Données projet'!$B$11,Paramètres!$A$1:$I$89,3,0)*0.475*44/12</f>
        <v>1.2080038603804039E-3</v>
      </c>
      <c r="BS58" s="22">
        <f t="shared" si="9"/>
        <v>8.5739845520048181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10.199999999999999</v>
      </c>
      <c r="BX58" s="12">
        <f t="array" ref="BX58">INDEX(BW:BW,MIN(IF(ISNUMBER(BW58:BW254),ROW(BW58:BW254),"")))</f>
        <v>10.199999999999999</v>
      </c>
      <c r="BY58" s="12">
        <f>IF('Données projet'!$A$114&gt;35,BY57+BX58-CG57,IF(A58&lt;'Données projet'!$A$114,$BV$205^A58,IF(A58='Données projet'!$A$114,'Données projet'!$B$114,BY57+BX58-CG57)))</f>
        <v>253.99999999999997</v>
      </c>
      <c r="BZ58" s="13">
        <f>BY58*VLOOKUP('Données projet'!$B$12,Paramètres!$A$1:$I$89,3,0)*VLOOKUP('Données projet'!$B$12,Paramètres!$A$1:$I$89,5,0)</f>
        <v>257.55599999999998</v>
      </c>
      <c r="CA58" s="13">
        <f t="shared" si="39"/>
        <v>62.201129910568184</v>
      </c>
      <c r="CB58" s="20">
        <f t="shared" si="10"/>
        <v>556.91033459423954</v>
      </c>
      <c r="CC58" s="59">
        <f t="shared" si="11"/>
        <v>850.24366792757291</v>
      </c>
      <c r="CD58" s="59">
        <f ca="1">AVERAGE(OFFSET($CC$3,0,0,'Données projet'!$E$12+1,1))-AVERAGE(OFFSET($H$3,0,0,'Données projet'!$E$12+1,1))</f>
        <v>449.84356201138451</v>
      </c>
      <c r="CE58" s="59">
        <f t="shared" si="40"/>
        <v>306.61893266146666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4.9921645707055724</v>
      </c>
      <c r="CL58" s="21">
        <f>EXP(-LN(2)/25)*CL57+(1-EXP(-LN(2)/25))/(LN(2)/25)*Calculateur!CG58*Calculateur!CI58*VLOOKUP('Données projet'!$B$12,Paramètres!$A$1:$I$89,3,0)*0.475*44/12</f>
        <v>5.2474982611038588</v>
      </c>
      <c r="CM58" s="21">
        <f>EXP(-LN(2)/2)*CM57+(1-EXP(-LN(2)/2))/(LN(2)/2)*CG58*CJ58*VLOOKUP('Données projet'!$B$12,Paramètres!$A$1:$I$89,3,0)*0.475*44/12</f>
        <v>1.65122183969988E-3</v>
      </c>
      <c r="CN58" s="22">
        <f t="shared" si="12"/>
        <v>10.24131405364913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254</v>
      </c>
      <c r="CR58" s="12">
        <f>VLOOKUP(A58,'Données projet'!$A$139:$I$159,9,0)</f>
        <v>10.199999999999999</v>
      </c>
      <c r="CS58" s="12">
        <f t="array" ref="CS58">INDEX(CR:CR,MIN(IF(ISNUMBER(CR58:CR254),ROW(CR58:CR254),"")))</f>
        <v>10.199999999999999</v>
      </c>
      <c r="CT58" s="12">
        <f>IF('Données projet'!$A$140&gt;35,CT57+CS58-DB57,IF(A58&lt;'Données projet'!$A$140,$CQ$205^A58,IF(A58='Données projet'!$A$140,'Données projet'!$B$140,CT57+CS58-DB57)))</f>
        <v>253.99999999999997</v>
      </c>
      <c r="CU58" s="17">
        <f>CT58*VLOOKUP('Données projet'!$B$13,Paramètres!$A$1:$I$89,3,0)*VLOOKUP('Données projet'!$B$13,Paramètres!$A$1:$I$89,5,0)</f>
        <v>273.40559999999994</v>
      </c>
      <c r="CV58" s="13">
        <f t="shared" si="41"/>
        <v>65.571495462320897</v>
      </c>
      <c r="CW58" s="20">
        <f t="shared" si="13"/>
        <v>590.38510793020873</v>
      </c>
      <c r="CX58" s="59">
        <f t="shared" si="14"/>
        <v>883.71844126354199</v>
      </c>
      <c r="CY58" s="59">
        <f ca="1">AVERAGE(OFFSET($CX$3,0,0,'Données projet'!$E$13+1,1))-AVERAGE(OFFSET($H$3,0,0,'Données projet'!$E$13+1,1))</f>
        <v>475.01366239340246</v>
      </c>
      <c r="CZ58" s="59">
        <f t="shared" si="42"/>
        <v>322.81767004794284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5.299374698133601</v>
      </c>
      <c r="DG58" s="21">
        <f>EXP(-LN(2)/25)*DG57+(1-EXP(-LN(2)/25))/(LN(2)/25)*Calculateur!DB58*Calculateur!DD58*VLOOKUP('Données projet'!$B$13,Paramètres!$A$1:$I$89,3,0)*0.475*44/12</f>
        <v>5.5704212310179386</v>
      </c>
      <c r="DH58" s="21">
        <f>EXP(-LN(2)/2)*DH57+(1-EXP(-LN(2)/2))/(LN(2)/2)*DB58*DE58*VLOOKUP('Données projet'!$B$13,Paramètres!$A$1:$I$89,3,0)*0.475*44/12</f>
        <v>1.7528354913737192E-3</v>
      </c>
      <c r="DI58" s="22">
        <f t="shared" si="15"/>
        <v>10.871548764642913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2.2737367544323206E-13</v>
      </c>
      <c r="DP58" s="17">
        <f>DO58*VLOOKUP('Données projet'!$B$14,Paramètres!$A$1:$I$89,3,0)*VLOOKUP('Données projet'!$B$14,Paramètres!$A$1:$I$89,5,0)</f>
        <v>2.0572770154103635E-13</v>
      </c>
      <c r="DQ58" s="13">
        <f t="shared" si="43"/>
        <v>2.8416956338469711E-12</v>
      </c>
      <c r="DR58" s="20">
        <f t="shared" si="16"/>
        <v>5.3075956424674458E-12</v>
      </c>
      <c r="DS58" s="59">
        <f t="shared" si="17"/>
        <v>293.3333333333386</v>
      </c>
      <c r="DT58" s="59">
        <f ca="1">AVERAGE(OFFSET($DS$3,0,0,'Données projet'!$E$14+1,1))-AVERAGE(OFFSET($H$3,0,0,'Données projet'!$E$14+1,1))</f>
        <v>436.23918637269577</v>
      </c>
      <c r="DU58" s="59">
        <f t="shared" si="44"/>
        <v>611.43967996341894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2.0077519810615154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8.1491390259405354E-4</v>
      </c>
      <c r="ED58" s="22">
        <f t="shared" si="18"/>
        <v>2.0085668949641096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227.67887999999996</v>
      </c>
      <c r="P59" s="13">
        <f t="shared" si="33"/>
        <v>55.780505229774469</v>
      </c>
      <c r="Q59" s="20">
        <f t="shared" si="53"/>
        <v>493.69176260852379</v>
      </c>
      <c r="R59" s="59">
        <f t="shared" si="0"/>
        <v>787.0250959418571</v>
      </c>
      <c r="S59" s="59">
        <f ca="1">AVERAGE(OFFSET($R$3,0,0,'Données projet'!$E$9+1,1))-AVERAGE(OFFSET($H$3,0,0,'Données projet'!$E$9+1,1))</f>
        <v>430.94515308997018</v>
      </c>
      <c r="T59" s="59">
        <f t="shared" si="34"/>
        <v>294.45557293177131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4.6683818252371259</v>
      </c>
      <c r="AA59" s="21">
        <f>EXP(-LN(2)/25)*AA58+(1-EXP(-LN(2)/25))/(LN(2)/25)*Calculateur!V59*Calculateur!X59*VLOOKUP('Données projet'!$B$9,Paramètres!$A$1:$I$89,3,0)*0.475*44/12</f>
        <v>4.868435676960031</v>
      </c>
      <c r="AB59" s="21">
        <f>EXP(-LN(2)/2)*AB58+(1-EXP(-LN(2)/2))/(LN(2)/2)*V59*Y59*VLOOKUP('Données projet'!$B$9,Paramètres!$A$1:$I$89,3,0)*0.475*44/12</f>
        <v>1.1137013834753373E-3</v>
      </c>
      <c r="AC59" s="22">
        <f t="shared" si="3"/>
        <v>9.5379312035806318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</v>
      </c>
      <c r="AI59" s="13">
        <f>IF('Données projet'!$A$62&gt;35,AI58+AH59-AQ58,IF(A59&lt;'Données projet'!$A$62,$AF$205^A59,IF(A59='Données projet'!$A$62,'Données projet'!$B$62,AI58+AH59-AQ58)))</f>
        <v>294.49999999999989</v>
      </c>
      <c r="AJ59" s="13">
        <f>AI59*VLOOKUP('Données projet'!$B$10,Paramètres!$A$1:$I$89,3,0)*VLOOKUP('Données projet'!$B$10,Paramètres!$A$1:$I$89,5,0)</f>
        <v>137.82599999999994</v>
      </c>
      <c r="AK59" s="13">
        <f t="shared" si="35"/>
        <v>35.798519897115497</v>
      </c>
      <c r="AL59" s="20">
        <f t="shared" si="4"/>
        <v>302.39603882080934</v>
      </c>
      <c r="AM59" s="59">
        <f t="shared" si="5"/>
        <v>595.72937215414265</v>
      </c>
      <c r="AN59" s="59">
        <f ca="1">AVERAGE(OFFSET($AM$3,0,0,'Données projet'!$E$10+1,1))-AVERAGE(OFFSET($H$3,0,0,'Données projet'!$E$10+1,1))</f>
        <v>319.22903094674564</v>
      </c>
      <c r="AO59" s="59">
        <f t="shared" si="36"/>
        <v>254.58690973142848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5.423506964701363</v>
      </c>
      <c r="AV59" s="21">
        <f>EXP(-LN(2)/25)*AV58+(1-EXP(-LN(2)/25))/(LN(2)/25)*Calculateur!AQ59*Calculateur!AS59*VLOOKUP('Données projet'!$B$10,Paramètres!$A$1:$I$89,3,0)*0.475*44/12</f>
        <v>5.423193389471054</v>
      </c>
      <c r="AW59" s="21">
        <f>EXP(-LN(2)/2)*AW58+(1-EXP(-LN(2)/2))/(LN(2)/2)*AQ59*AT59*VLOOKUP('Données projet'!$B$10,Paramètres!$A$1:$I$89,3,0)*0.475*44/12</f>
        <v>1.3480381645017544E-3</v>
      </c>
      <c r="AX59" s="21">
        <f t="shared" si="6"/>
        <v>10.848048392336917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6.6</v>
      </c>
      <c r="BD59" s="12">
        <f>IF('Données projet'!$A$88&gt;35,BD58+BC59-BL58,IF(A59&lt;'Données projet'!$A$88,$BA$205^A59,IF(A59='Données projet'!$A$88,'Données projet'!$B$88,BD58+BC59-BL58)))</f>
        <v>219.60000000000011</v>
      </c>
      <c r="BE59" s="13">
        <f>BD59*VLOOKUP('Données projet'!$B$11,Paramètres!$A$1:$I$89,3,0)*VLOOKUP('Données projet'!$B$11,Paramètres!$A$1:$I$89,5,0)</f>
        <v>191.84256000000011</v>
      </c>
      <c r="BF59" s="13">
        <f t="shared" si="37"/>
        <v>47.947087613384845</v>
      </c>
      <c r="BG59" s="20">
        <f t="shared" si="7"/>
        <v>417.6336362599788</v>
      </c>
      <c r="BH59" s="59">
        <f t="shared" si="8"/>
        <v>710.96696959331211</v>
      </c>
      <c r="BI59" s="59">
        <f ca="1">AVERAGE(OFFSET($BH$3,0,0,'Données projet'!$E$11+1,1))-AVERAGE(OFFSET($H$3,0,0,'Données projet'!$E$11+1,1))</f>
        <v>395.21779046720553</v>
      </c>
      <c r="BJ59" s="59">
        <f t="shared" si="38"/>
        <v>360.05900046417361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2.8751881309108094</v>
      </c>
      <c r="BQ59" s="21">
        <f>EXP(-LN(2)/25)*BQ58+(1-EXP(-LN(2)/25))/(LN(2)/25)*Calculateur!BL59*Calculateur!BN59*VLOOKUP('Données projet'!$B$11,Paramètres!$A$1:$I$89,3,0)*0.475*44/12</f>
        <v>5.4858517422832511</v>
      </c>
      <c r="BR59" s="21">
        <f>EXP(-LN(2)/2)*BR58+(1-EXP(-LN(2)/2))/(LN(2)/2)*BL59*BO59*VLOOKUP('Données projet'!$B$11,Paramètres!$A$1:$I$89,3,0)*0.475*44/12</f>
        <v>8.5418772137451097E-4</v>
      </c>
      <c r="BS59" s="22">
        <f t="shared" si="9"/>
        <v>8.3618940609154357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9.4</v>
      </c>
      <c r="BY59" s="12">
        <f>IF('Données projet'!$A$114&gt;35,BY58+BX59-CG58,IF(A59&lt;'Données projet'!$A$114,$BV$205^A59,IF(A59='Données projet'!$A$114,'Données projet'!$B$114,BY58+BX59-CG58)))</f>
        <v>235.39999999999998</v>
      </c>
      <c r="BZ59" s="13">
        <f>BY59*VLOOKUP('Données projet'!$B$12,Paramètres!$A$1:$I$89,3,0)*VLOOKUP('Données projet'!$B$12,Paramètres!$A$1:$I$89,5,0)</f>
        <v>238.69559999999998</v>
      </c>
      <c r="CA59" s="13">
        <f t="shared" si="39"/>
        <v>58.158793514165929</v>
      </c>
      <c r="CB59" s="20">
        <f t="shared" si="10"/>
        <v>517.02140203717238</v>
      </c>
      <c r="CC59" s="59">
        <f t="shared" si="11"/>
        <v>810.35473537050575</v>
      </c>
      <c r="CD59" s="59">
        <f ca="1">AVERAGE(OFFSET($CC$3,0,0,'Données projet'!$E$12+1,1))-AVERAGE(OFFSET($H$3,0,0,'Données projet'!$E$12+1,1))</f>
        <v>449.84356201138451</v>
      </c>
      <c r="CE59" s="59">
        <f t="shared" si="40"/>
        <v>306.61893266146666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4.894271268393763</v>
      </c>
      <c r="CL59" s="21">
        <f>EXP(-LN(2)/25)*CL58+(1-EXP(-LN(2)/25))/(LN(2)/25)*Calculateur!CG59*Calculateur!CI59*VLOOKUP('Données projet'!$B$12,Paramètres!$A$1:$I$89,3,0)*0.475*44/12</f>
        <v>5.1040051452000332</v>
      </c>
      <c r="CM59" s="21">
        <f>EXP(-LN(2)/2)*CM58+(1-EXP(-LN(2)/2))/(LN(2)/2)*CG59*CJ59*VLOOKUP('Données projet'!$B$12,Paramètres!$A$1:$I$89,3,0)*0.475*44/12</f>
        <v>1.1675901600951115E-3</v>
      </c>
      <c r="CN59" s="22">
        <f t="shared" si="12"/>
        <v>9.9994440037538919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9.4</v>
      </c>
      <c r="CT59" s="12">
        <f>IF('Données projet'!$A$140&gt;35,CT58+CS59-DB58,IF(A59&lt;'Données projet'!$A$140,$CQ$205^A59,IF(A59='Données projet'!$A$140,'Données projet'!$B$140,CT58+CS59-DB58)))</f>
        <v>235.39999999999998</v>
      </c>
      <c r="CU59" s="17">
        <f>CT59*VLOOKUP('Données projet'!$B$13,Paramètres!$A$1:$I$89,3,0)*VLOOKUP('Données projet'!$B$13,Paramètres!$A$1:$I$89,5,0)</f>
        <v>253.38455999999994</v>
      </c>
      <c r="CV59" s="13">
        <f t="shared" si="41"/>
        <v>61.310125241957316</v>
      </c>
      <c r="CW59" s="20">
        <f t="shared" si="13"/>
        <v>548.09324346307551</v>
      </c>
      <c r="CX59" s="59">
        <f t="shared" si="14"/>
        <v>841.42657679640888</v>
      </c>
      <c r="CY59" s="59">
        <f ca="1">AVERAGE(OFFSET($CX$3,0,0,'Données projet'!$E$13+1,1))-AVERAGE(OFFSET($H$3,0,0,'Données projet'!$E$13+1,1))</f>
        <v>475.01366239340246</v>
      </c>
      <c r="CZ59" s="59">
        <f t="shared" si="42"/>
        <v>322.81767004794284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5.1954571926026034</v>
      </c>
      <c r="DG59" s="21">
        <f>EXP(-LN(2)/25)*DG58+(1-EXP(-LN(2)/25))/(LN(2)/25)*Calculateur!DB59*Calculateur!DD59*VLOOKUP('Données projet'!$B$13,Paramètres!$A$1:$I$89,3,0)*0.475*44/12</f>
        <v>5.4180977695200321</v>
      </c>
      <c r="DH59" s="21">
        <f>EXP(-LN(2)/2)*DH58+(1-EXP(-LN(2)/2))/(LN(2)/2)*DB59*DE59*VLOOKUP('Données projet'!$B$13,Paramètres!$A$1:$I$89,3,0)*0.475*44/12</f>
        <v>1.2394418622548109E-3</v>
      </c>
      <c r="DI59" s="22">
        <f t="shared" si="15"/>
        <v>10.61479440398489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2.2737367544323206E-13</v>
      </c>
      <c r="DP59" s="17">
        <f>DO59*VLOOKUP('Données projet'!$B$14,Paramètres!$A$1:$I$89,3,0)*VLOOKUP('Données projet'!$B$14,Paramètres!$A$1:$I$89,5,0)</f>
        <v>2.0572770154103635E-13</v>
      </c>
      <c r="DQ59" s="13">
        <f t="shared" si="43"/>
        <v>2.8416956338469711E-12</v>
      </c>
      <c r="DR59" s="20">
        <f t="shared" si="16"/>
        <v>5.3075956424674458E-12</v>
      </c>
      <c r="DS59" s="59">
        <f t="shared" si="17"/>
        <v>293.3333333333386</v>
      </c>
      <c r="DT59" s="59">
        <f ca="1">AVERAGE(OFFSET($DS$3,0,0,'Données projet'!$E$14+1,1))-AVERAGE(OFFSET($H$3,0,0,'Données projet'!$E$14+1,1))</f>
        <v>436.23918637269577</v>
      </c>
      <c r="DU59" s="59">
        <f t="shared" si="44"/>
        <v>611.43967996341894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1.9683811893206875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5.7623114660744891E-4</v>
      </c>
      <c r="ED59" s="22">
        <f t="shared" si="18"/>
        <v>1.968957420467295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236.77055999999999</v>
      </c>
      <c r="P60" s="13">
        <f t="shared" si="33"/>
        <v>57.744153841586929</v>
      </c>
      <c r="Q60" s="20">
        <f t="shared" si="53"/>
        <v>512.94645994076382</v>
      </c>
      <c r="R60" s="59">
        <f t="shared" si="0"/>
        <v>806.27979327409707</v>
      </c>
      <c r="S60" s="59">
        <f ca="1">AVERAGE(OFFSET($R$3,0,0,'Données projet'!$E$9+1,1))-AVERAGE(OFFSET($H$3,0,0,'Données projet'!$E$9+1,1))</f>
        <v>430.94515308997018</v>
      </c>
      <c r="T60" s="59">
        <f t="shared" si="34"/>
        <v>294.45557293177131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4.5768377050759783</v>
      </c>
      <c r="AA60" s="21">
        <f>EXP(-LN(2)/25)*AA59+(1-EXP(-LN(2)/25))/(LN(2)/25)*Calculateur!V60*Calculateur!X60*VLOOKUP('Données projet'!$B$9,Paramètres!$A$1:$I$89,3,0)*0.475*44/12</f>
        <v>4.7353080473536533</v>
      </c>
      <c r="AB60" s="21">
        <f>EXP(-LN(2)/2)*AB59+(1-EXP(-LN(2)/2))/(LN(2)/2)*V60*Y60*VLOOKUP('Données projet'!$B$9,Paramètres!$A$1:$I$89,3,0)*0.475*44/12</f>
        <v>7.8750580047225063E-4</v>
      </c>
      <c r="AC60" s="22">
        <f t="shared" si="3"/>
        <v>9.312933258230105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</v>
      </c>
      <c r="AI60" s="13">
        <f>IF('Données projet'!$A$62&gt;35,AI59+AH60-AQ59,IF(A60&lt;'Données projet'!$A$62,$AF$205^A60,IF(A60='Données projet'!$A$62,'Données projet'!$B$62,AI59+AH60-AQ59)))</f>
        <v>307.99999999999989</v>
      </c>
      <c r="AJ60" s="13">
        <f>AI60*VLOOKUP('Données projet'!$B$10,Paramètres!$A$1:$I$89,3,0)*VLOOKUP('Données projet'!$B$10,Paramètres!$A$1:$I$89,5,0)</f>
        <v>144.14399999999995</v>
      </c>
      <c r="AK60" s="13">
        <f t="shared" si="35"/>
        <v>37.244720006976216</v>
      </c>
      <c r="AL60" s="20">
        <f t="shared" si="4"/>
        <v>315.91868734548348</v>
      </c>
      <c r="AM60" s="59">
        <f t="shared" si="5"/>
        <v>609.25202067881673</v>
      </c>
      <c r="AN60" s="59">
        <f ca="1">AVERAGE(OFFSET($AM$3,0,0,'Données projet'!$E$10+1,1))-AVERAGE(OFFSET($H$3,0,0,'Données projet'!$E$10+1,1))</f>
        <v>319.22903094674564</v>
      </c>
      <c r="AO60" s="59">
        <f t="shared" si="36"/>
        <v>254.58690973142848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5.3171553011361787</v>
      </c>
      <c r="AV60" s="21">
        <f>EXP(-LN(2)/25)*AV59+(1-EXP(-LN(2)/25))/(LN(2)/25)*Calculateur!AQ60*Calculateur!AS60*VLOOKUP('Données projet'!$B$10,Paramètres!$A$1:$I$89,3,0)*0.475*44/12</f>
        <v>5.2748958810426227</v>
      </c>
      <c r="AW60" s="21">
        <f>EXP(-LN(2)/2)*AW59+(1-EXP(-LN(2)/2))/(LN(2)/2)*AQ60*AT60*VLOOKUP('Données projet'!$B$10,Paramètres!$A$1:$I$89,3,0)*0.475*44/12</f>
        <v>9.5320692741745724E-4</v>
      </c>
      <c r="AX60" s="21">
        <f t="shared" si="6"/>
        <v>10.59300438910622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6.6</v>
      </c>
      <c r="BD60" s="12">
        <f>IF('Données projet'!$A$88&gt;35,BD59+BC60-BL59,IF(A60&lt;'Données projet'!$A$88,$BA$205^A60,IF(A60='Données projet'!$A$88,'Données projet'!$B$88,BD59+BC60-BL59)))</f>
        <v>226.2000000000001</v>
      </c>
      <c r="BE60" s="13">
        <f>BD60*VLOOKUP('Données projet'!$B$11,Paramètres!$A$1:$I$89,3,0)*VLOOKUP('Données projet'!$B$11,Paramètres!$A$1:$I$89,5,0)</f>
        <v>197.60832000000011</v>
      </c>
      <c r="BF60" s="13">
        <f t="shared" si="37"/>
        <v>49.218181392381403</v>
      </c>
      <c r="BG60" s="20">
        <f t="shared" si="7"/>
        <v>429.88948992506448</v>
      </c>
      <c r="BH60" s="59">
        <f t="shared" si="8"/>
        <v>723.22282325839774</v>
      </c>
      <c r="BI60" s="59">
        <f ca="1">AVERAGE(OFFSET($BH$3,0,0,'Données projet'!$E$11+1,1))-AVERAGE(OFFSET($H$3,0,0,'Données projet'!$E$11+1,1))</f>
        <v>395.21779046720553</v>
      </c>
      <c r="BJ60" s="59">
        <f t="shared" si="38"/>
        <v>360.05900046417361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2.8188074453552456</v>
      </c>
      <c r="BQ60" s="21">
        <f>EXP(-LN(2)/25)*BQ59+(1-EXP(-LN(2)/25))/(LN(2)/25)*Calculateur!BL60*Calculateur!BN60*VLOOKUP('Données projet'!$B$11,Paramètres!$A$1:$I$89,3,0)*0.475*44/12</f>
        <v>5.3358408379021105</v>
      </c>
      <c r="BR60" s="21">
        <f>EXP(-LN(2)/2)*BR59+(1-EXP(-LN(2)/2))/(LN(2)/2)*BL60*BO60*VLOOKUP('Données projet'!$B$11,Paramètres!$A$1:$I$89,3,0)*0.475*44/12</f>
        <v>6.0400193019020194E-4</v>
      </c>
      <c r="BS60" s="22">
        <f t="shared" si="9"/>
        <v>8.1552522851875455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9.4</v>
      </c>
      <c r="BY60" s="12">
        <f>IF('Données projet'!$A$114&gt;35,BY59+BX60-CG59,IF(A60&lt;'Données projet'!$A$114,$BV$205^A60,IF(A60='Données projet'!$A$114,'Données projet'!$B$114,BY59+BX60-CG59)))</f>
        <v>244.79999999999998</v>
      </c>
      <c r="BZ60" s="13">
        <f>BY60*VLOOKUP('Données projet'!$B$12,Paramètres!$A$1:$I$89,3,0)*VLOOKUP('Données projet'!$B$12,Paramètres!$A$1:$I$89,5,0)</f>
        <v>248.22720000000001</v>
      </c>
      <c r="CA60" s="13">
        <f t="shared" si="39"/>
        <v>60.20616532763993</v>
      </c>
      <c r="CB60" s="20">
        <f t="shared" si="10"/>
        <v>537.18811127897277</v>
      </c>
      <c r="CC60" s="59">
        <f t="shared" si="11"/>
        <v>830.52144461230614</v>
      </c>
      <c r="CD60" s="59">
        <f ca="1">AVERAGE(OFFSET($CC$3,0,0,'Données projet'!$E$12+1,1))-AVERAGE(OFFSET($H$3,0,0,'Données projet'!$E$12+1,1))</f>
        <v>449.84356201138451</v>
      </c>
      <c r="CE60" s="59">
        <f t="shared" si="40"/>
        <v>306.61893266146666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4.7982975940312702</v>
      </c>
      <c r="CL60" s="21">
        <f>EXP(-LN(2)/25)*CL59+(1-EXP(-LN(2)/25))/(LN(2)/25)*Calculateur!CG60*Calculateur!CI60*VLOOKUP('Données projet'!$B$12,Paramètres!$A$1:$I$89,3,0)*0.475*44/12</f>
        <v>4.9644358560965731</v>
      </c>
      <c r="CM60" s="21">
        <f>EXP(-LN(2)/2)*CM59+(1-EXP(-LN(2)/2))/(LN(2)/2)*CG60*CJ60*VLOOKUP('Données projet'!$B$12,Paramètres!$A$1:$I$89,3,0)*0.475*44/12</f>
        <v>8.2561091984993998E-4</v>
      </c>
      <c r="CN60" s="22">
        <f t="shared" si="12"/>
        <v>9.7635590610476939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9.4</v>
      </c>
      <c r="CT60" s="12">
        <f>IF('Données projet'!$A$140&gt;35,CT59+CS60-DB59,IF(A60&lt;'Données projet'!$A$140,$CQ$205^A60,IF(A60='Données projet'!$A$140,'Données projet'!$B$140,CT59+CS60-DB59)))</f>
        <v>244.79999999999998</v>
      </c>
      <c r="CU60" s="17">
        <f>CT60*VLOOKUP('Données projet'!$B$13,Paramètres!$A$1:$I$89,3,0)*VLOOKUP('Données projet'!$B$13,Paramètres!$A$1:$I$89,5,0)</f>
        <v>263.50271999999995</v>
      </c>
      <c r="CV60" s="13">
        <f t="shared" si="41"/>
        <v>63.468433809179686</v>
      </c>
      <c r="CW60" s="20">
        <f t="shared" si="13"/>
        <v>569.47475955098787</v>
      </c>
      <c r="CX60" s="59">
        <f t="shared" si="14"/>
        <v>862.80809288432124</v>
      </c>
      <c r="CY60" s="59">
        <f ca="1">AVERAGE(OFFSET($CX$3,0,0,'Données projet'!$E$13+1,1))-AVERAGE(OFFSET($H$3,0,0,'Données projet'!$E$13+1,1))</f>
        <v>475.01366239340246</v>
      </c>
      <c r="CZ60" s="59">
        <f t="shared" si="42"/>
        <v>322.81767004794284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5.0935774459716496</v>
      </c>
      <c r="DG60" s="21">
        <f>EXP(-LN(2)/25)*DG59+(1-EXP(-LN(2)/25))/(LN(2)/25)*Calculateur!DB60*Calculateur!DD60*VLOOKUP('Données projet'!$B$13,Paramètres!$A$1:$I$89,3,0)*0.475*44/12</f>
        <v>5.2699396010871284</v>
      </c>
      <c r="DH60" s="21">
        <f>EXP(-LN(2)/2)*DH59+(1-EXP(-LN(2)/2))/(LN(2)/2)*DB60*DE60*VLOOKUP('Données projet'!$B$13,Paramètres!$A$1:$I$89,3,0)*0.475*44/12</f>
        <v>8.7641774568685959E-4</v>
      </c>
      <c r="DI60" s="22">
        <f t="shared" si="15"/>
        <v>10.364393464804465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2.2737367544323206E-13</v>
      </c>
      <c r="DP60" s="17">
        <f>DO60*VLOOKUP('Données projet'!$B$14,Paramètres!$A$1:$I$89,3,0)*VLOOKUP('Données projet'!$B$14,Paramètres!$A$1:$I$89,5,0)</f>
        <v>2.0572770154103635E-13</v>
      </c>
      <c r="DQ60" s="13">
        <f t="shared" si="43"/>
        <v>2.8416956338469711E-12</v>
      </c>
      <c r="DR60" s="20">
        <f t="shared" si="16"/>
        <v>5.3075956424674458E-12</v>
      </c>
      <c r="DS60" s="59">
        <f t="shared" si="17"/>
        <v>293.3333333333386</v>
      </c>
      <c r="DT60" s="59">
        <f ca="1">AVERAGE(OFFSET($DS$3,0,0,'Données projet'!$E$14+1,1))-AVERAGE(OFFSET($H$3,0,0,'Données projet'!$E$14+1,1))</f>
        <v>436.23918637269577</v>
      </c>
      <c r="DU60" s="59">
        <f t="shared" si="44"/>
        <v>611.43967996341894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1.9297824347920856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4.0745695129702677E-4</v>
      </c>
      <c r="ED60" s="22">
        <f t="shared" si="18"/>
        <v>1.9301898917433826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245.86223999999999</v>
      </c>
      <c r="P61" s="13">
        <f t="shared" si="33"/>
        <v>59.699043025687963</v>
      </c>
      <c r="Q61" s="20">
        <f t="shared" si="53"/>
        <v>532.18590126973982</v>
      </c>
      <c r="R61" s="59">
        <f t="shared" si="0"/>
        <v>825.51923460307307</v>
      </c>
      <c r="S61" s="59">
        <f ca="1">AVERAGE(OFFSET($R$3,0,0,'Données projet'!$E$9+1,1))-AVERAGE(OFFSET($H$3,0,0,'Données projet'!$E$9+1,1))</f>
        <v>430.94515308997018</v>
      </c>
      <c r="T61" s="59">
        <f t="shared" si="34"/>
        <v>294.45557293177131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4.4870887092747918</v>
      </c>
      <c r="AA61" s="21">
        <f>EXP(-LN(2)/25)*AA60+(1-EXP(-LN(2)/25))/(LN(2)/25)*Calculateur!V61*Calculateur!X61*VLOOKUP('Données projet'!$B$9,Paramètres!$A$1:$I$89,3,0)*0.475*44/12</f>
        <v>4.6058207997797398</v>
      </c>
      <c r="AB61" s="21">
        <f>EXP(-LN(2)/2)*AB60+(1-EXP(-LN(2)/2))/(LN(2)/2)*V61*Y61*VLOOKUP('Données projet'!$B$9,Paramètres!$A$1:$I$89,3,0)*0.475*44/12</f>
        <v>5.5685069173766867E-4</v>
      </c>
      <c r="AC61" s="22">
        <f t="shared" si="3"/>
        <v>9.0934663597462695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13.5</v>
      </c>
      <c r="AI61" s="13">
        <f>IF('Données projet'!$A$62&gt;35,AI60+AH61-AQ60,IF(A61&lt;'Données projet'!$A$62,$AF$205^A61,IF(A61='Données projet'!$A$62,'Données projet'!$B$62,AI60+AH61-AQ60)))</f>
        <v>321.49999999999989</v>
      </c>
      <c r="AJ61" s="13">
        <f>AI61*VLOOKUP('Données projet'!$B$10,Paramètres!$A$1:$I$89,3,0)*VLOOKUP('Données projet'!$B$10,Paramètres!$A$1:$I$89,5,0)</f>
        <v>150.46199999999993</v>
      </c>
      <c r="AK61" s="13">
        <f t="shared" si="35"/>
        <v>38.683557979918994</v>
      </c>
      <c r="AL61" s="20">
        <f t="shared" si="4"/>
        <v>329.42851348169211</v>
      </c>
      <c r="AM61" s="59">
        <f t="shared" si="5"/>
        <v>622.76184681502536</v>
      </c>
      <c r="AN61" s="59">
        <f ca="1">AVERAGE(OFFSET($AM$3,0,0,'Données projet'!$E$10+1,1))-AVERAGE(OFFSET($H$3,0,0,'Données projet'!$E$10+1,1))</f>
        <v>319.22903094674564</v>
      </c>
      <c r="AO61" s="59">
        <f t="shared" si="36"/>
        <v>254.58690973142848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5.212889128825398</v>
      </c>
      <c r="AV61" s="21">
        <f>EXP(-LN(2)/25)*AV60+(1-EXP(-LN(2)/25))/(LN(2)/25)*Calculateur!AQ61*Calculateur!AS61*VLOOKUP('Données projet'!$B$10,Paramètres!$A$1:$I$89,3,0)*0.475*44/12</f>
        <v>5.1306535757807934</v>
      </c>
      <c r="AW61" s="21">
        <f>EXP(-LN(2)/2)*AW60+(1-EXP(-LN(2)/2))/(LN(2)/2)*AQ61*AT61*VLOOKUP('Données projet'!$B$10,Paramètres!$A$1:$I$89,3,0)*0.475*44/12</f>
        <v>6.7401908225087732E-4</v>
      </c>
      <c r="AX61" s="21">
        <f t="shared" si="6"/>
        <v>10.344216723688442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6.6</v>
      </c>
      <c r="BD61" s="12">
        <f>IF('Données projet'!$A$88&gt;35,BD60+BC61-BL60,IF(A61&lt;'Données projet'!$A$88,$BA$205^A61,IF(A61='Données projet'!$A$88,'Données projet'!$B$88,BD60+BC61-BL60)))</f>
        <v>232.8000000000001</v>
      </c>
      <c r="BE61" s="13">
        <f>BD61*VLOOKUP('Données projet'!$B$11,Paramètres!$A$1:$I$89,3,0)*VLOOKUP('Données projet'!$B$11,Paramètres!$A$1:$I$89,5,0)</f>
        <v>203.37408000000013</v>
      </c>
      <c r="BF61" s="13">
        <f t="shared" si="37"/>
        <v>50.484964849140624</v>
      </c>
      <c r="BG61" s="20">
        <f t="shared" si="7"/>
        <v>442.1378364455868</v>
      </c>
      <c r="BH61" s="59">
        <f t="shared" si="8"/>
        <v>735.47116977892006</v>
      </c>
      <c r="BI61" s="59">
        <f ca="1">AVERAGE(OFFSET($BH$3,0,0,'Données projet'!$E$11+1,1))-AVERAGE(OFFSET($H$3,0,0,'Données projet'!$E$11+1,1))</f>
        <v>395.21779046720553</v>
      </c>
      <c r="BJ61" s="59">
        <f t="shared" si="38"/>
        <v>360.05900046417361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2.7635323506546037</v>
      </c>
      <c r="BQ61" s="21">
        <f>EXP(-LN(2)/25)*BQ60+(1-EXP(-LN(2)/25))/(LN(2)/25)*Calculateur!BL61*Calculateur!BN61*VLOOKUP('Données projet'!$B$11,Paramètres!$A$1:$I$89,3,0)*0.475*44/12</f>
        <v>5.1899319895900025</v>
      </c>
      <c r="BR61" s="21">
        <f>EXP(-LN(2)/2)*BR60+(1-EXP(-LN(2)/2))/(LN(2)/2)*BL61*BO61*VLOOKUP('Données projet'!$B$11,Paramètres!$A$1:$I$89,3,0)*0.475*44/12</f>
        <v>4.2709386068725549E-4</v>
      </c>
      <c r="BS61" s="22">
        <f t="shared" si="9"/>
        <v>7.9538914341052935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9.4</v>
      </c>
      <c r="BY61" s="12">
        <f>IF('Données projet'!$A$114&gt;35,BY60+BX61-CG60,IF(A61&lt;'Données projet'!$A$114,$BV$205^A61,IF(A61='Données projet'!$A$114,'Données projet'!$B$114,BY60+BX61-CG60)))</f>
        <v>254.2</v>
      </c>
      <c r="BZ61" s="13">
        <f>BY61*VLOOKUP('Données projet'!$B$12,Paramètres!$A$1:$I$89,3,0)*VLOOKUP('Données projet'!$B$12,Paramètres!$A$1:$I$89,5,0)</f>
        <v>257.75880000000001</v>
      </c>
      <c r="CA61" s="13">
        <f t="shared" si="39"/>
        <v>62.244404241627407</v>
      </c>
      <c r="CB61" s="20">
        <f t="shared" si="10"/>
        <v>557.33891405416773</v>
      </c>
      <c r="CC61" s="59">
        <f t="shared" si="11"/>
        <v>850.6722473875011</v>
      </c>
      <c r="CD61" s="59">
        <f ca="1">AVERAGE(OFFSET($CC$3,0,0,'Données projet'!$E$12+1,1))-AVERAGE(OFFSET($H$3,0,0,'Données projet'!$E$12+1,1))</f>
        <v>449.84356201138451</v>
      </c>
      <c r="CE61" s="59">
        <f t="shared" si="40"/>
        <v>306.61893266146666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4.7042059048848648</v>
      </c>
      <c r="CL61" s="21">
        <f>EXP(-LN(2)/25)*CL60+(1-EXP(-LN(2)/25))/(LN(2)/25)*Calculateur!CG61*Calculateur!CI61*VLOOKUP('Données projet'!$B$12,Paramètres!$A$1:$I$89,3,0)*0.475*44/12</f>
        <v>4.8286830965432772</v>
      </c>
      <c r="CM61" s="21">
        <f>EXP(-LN(2)/2)*CM60+(1-EXP(-LN(2)/2))/(LN(2)/2)*CG61*CJ61*VLOOKUP('Données projet'!$B$12,Paramètres!$A$1:$I$89,3,0)*0.475*44/12</f>
        <v>5.8379508004755573E-4</v>
      </c>
      <c r="CN61" s="22">
        <f t="shared" si="12"/>
        <v>9.5334727965081889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9.4</v>
      </c>
      <c r="CT61" s="12">
        <f>IF('Données projet'!$A$140&gt;35,CT60+CS61-DB60,IF(A61&lt;'Données projet'!$A$140,$CQ$205^A61,IF(A61='Données projet'!$A$140,'Données projet'!$B$140,CT60+CS61-DB60)))</f>
        <v>254.2</v>
      </c>
      <c r="CU61" s="17">
        <f>CT61*VLOOKUP('Données projet'!$B$13,Paramètres!$A$1:$I$89,3,0)*VLOOKUP('Données projet'!$B$13,Paramètres!$A$1:$I$89,5,0)</f>
        <v>273.62087999999994</v>
      </c>
      <c r="CV61" s="13">
        <f t="shared" si="41"/>
        <v>65.617114611149361</v>
      </c>
      <c r="CW61" s="20">
        <f t="shared" si="13"/>
        <v>590.83950728108505</v>
      </c>
      <c r="CX61" s="59">
        <f t="shared" si="14"/>
        <v>884.17284061441842</v>
      </c>
      <c r="CY61" s="59">
        <f ca="1">AVERAGE(OFFSET($CX$3,0,0,'Données projet'!$E$13+1,1))-AVERAGE(OFFSET($H$3,0,0,'Données projet'!$E$13+1,1))</f>
        <v>475.01366239340246</v>
      </c>
      <c r="CZ61" s="59">
        <f t="shared" si="42"/>
        <v>322.81767004794284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4.9936954990316194</v>
      </c>
      <c r="DG61" s="21">
        <f>EXP(-LN(2)/25)*DG60+(1-EXP(-LN(2)/25))/(LN(2)/25)*Calculateur!DB61*Calculateur!DD61*VLOOKUP('Données projet'!$B$13,Paramètres!$A$1:$I$89,3,0)*0.475*44/12</f>
        <v>5.1258328255613215</v>
      </c>
      <c r="DH61" s="21">
        <f>EXP(-LN(2)/2)*DH60+(1-EXP(-LN(2)/2))/(LN(2)/2)*DB61*DE61*VLOOKUP('Données projet'!$B$13,Paramètres!$A$1:$I$89,3,0)*0.475*44/12</f>
        <v>6.1972093112740547E-4</v>
      </c>
      <c r="DI61" s="22">
        <f t="shared" si="15"/>
        <v>10.120148045524068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2.2737367544323206E-13</v>
      </c>
      <c r="DP61" s="17">
        <f>DO61*VLOOKUP('Données projet'!$B$14,Paramètres!$A$1:$I$89,3,0)*VLOOKUP('Données projet'!$B$14,Paramètres!$A$1:$I$89,5,0)</f>
        <v>2.0572770154103635E-13</v>
      </c>
      <c r="DQ61" s="13">
        <f t="shared" si="43"/>
        <v>2.8416956338469711E-12</v>
      </c>
      <c r="DR61" s="20">
        <f t="shared" si="16"/>
        <v>5.3075956424674458E-12</v>
      </c>
      <c r="DS61" s="59">
        <f t="shared" si="17"/>
        <v>293.3333333333386</v>
      </c>
      <c r="DT61" s="59">
        <f ca="1">AVERAGE(OFFSET($DS$3,0,0,'Données projet'!$E$14+1,1))-AVERAGE(OFFSET($H$3,0,0,'Données projet'!$E$14+1,1))</f>
        <v>436.23918637269577</v>
      </c>
      <c r="DU61" s="59">
        <f t="shared" si="44"/>
        <v>611.43967996341894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1.8919405782968739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2.8811557330372446E-4</v>
      </c>
      <c r="ED61" s="22">
        <f t="shared" si="18"/>
        <v>1.8922286938701776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254.95391999999998</v>
      </c>
      <c r="P62" s="13">
        <f t="shared" si="33"/>
        <v>61.645533788540583</v>
      </c>
      <c r="Q62" s="20">
        <f t="shared" si="53"/>
        <v>551.41071534837477</v>
      </c>
      <c r="R62" s="59">
        <f t="shared" si="0"/>
        <v>844.74404868170814</v>
      </c>
      <c r="S62" s="59">
        <f ca="1">AVERAGE(OFFSET($R$3,0,0,'Données projet'!$E$9+1,1))-AVERAGE(OFFSET($H$3,0,0,'Données projet'!$E$9+1,1))</f>
        <v>430.94515308997018</v>
      </c>
      <c r="T62" s="59">
        <f t="shared" si="34"/>
        <v>294.45557293177131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4.3990996365397841</v>
      </c>
      <c r="AA62" s="21">
        <f>EXP(-LN(2)/25)*AA61+(1-EXP(-LN(2)/25))/(LN(2)/25)*Calculateur!V62*Calculateur!X62*VLOOKUP('Données projet'!$B$9,Paramètres!$A$1:$I$89,3,0)*0.475*44/12</f>
        <v>4.4798743878001739</v>
      </c>
      <c r="AB62" s="21">
        <f>EXP(-LN(2)/2)*AB61+(1-EXP(-LN(2)/2))/(LN(2)/2)*V62*Y62*VLOOKUP('Données projet'!$B$9,Paramètres!$A$1:$I$89,3,0)*0.475*44/12</f>
        <v>3.9375290023612532E-4</v>
      </c>
      <c r="AC62" s="22">
        <f t="shared" si="3"/>
        <v>8.8793677772401924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13.5</v>
      </c>
      <c r="AI62" s="13">
        <f>IF('Données projet'!$A$62&gt;35,AI61+AH62-AQ61,IF(A62&lt;'Données projet'!$A$62,$AF$205^A62,IF(A62='Données projet'!$A$62,'Données projet'!$B$62,AI61+AH62-AQ61)))</f>
        <v>334.99999999999989</v>
      </c>
      <c r="AJ62" s="13">
        <f>AI62*VLOOKUP('Données projet'!$B$10,Paramètres!$A$1:$I$89,3,0)*VLOOKUP('Données projet'!$B$10,Paramètres!$A$1:$I$89,5,0)</f>
        <v>156.77999999999994</v>
      </c>
      <c r="AK62" s="13">
        <f t="shared" si="35"/>
        <v>40.115378305457938</v>
      </c>
      <c r="AL62" s="20">
        <f t="shared" si="4"/>
        <v>342.92611721533916</v>
      </c>
      <c r="AM62" s="59">
        <f t="shared" si="5"/>
        <v>636.25945054867248</v>
      </c>
      <c r="AN62" s="59">
        <f ca="1">AVERAGE(OFFSET($AM$3,0,0,'Données projet'!$E$10+1,1))-AVERAGE(OFFSET($H$3,0,0,'Données projet'!$E$10+1,1))</f>
        <v>319.22903094674564</v>
      </c>
      <c r="AO62" s="59">
        <f t="shared" si="36"/>
        <v>254.58690973142848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5.1106675525575458</v>
      </c>
      <c r="AV62" s="21">
        <f>EXP(-LN(2)/25)*AV61+(1-EXP(-LN(2)/25))/(LN(2)/25)*Calculateur!AQ62*Calculateur!AS62*VLOOKUP('Données projet'!$B$10,Paramètres!$A$1:$I$89,3,0)*0.475*44/12</f>
        <v>4.9903555839417226</v>
      </c>
      <c r="AW62" s="21">
        <f>EXP(-LN(2)/2)*AW61+(1-EXP(-LN(2)/2))/(LN(2)/2)*AQ62*AT62*VLOOKUP('Données projet'!$B$10,Paramètres!$A$1:$I$89,3,0)*0.475*44/12</f>
        <v>4.7660346370872873E-4</v>
      </c>
      <c r="AX62" s="21">
        <f t="shared" si="6"/>
        <v>10.101499739962977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6.6</v>
      </c>
      <c r="BD62" s="12">
        <f>IF('Données projet'!$A$88&gt;35,BD61+BC62-BL61,IF(A62&lt;'Données projet'!$A$88,$BA$205^A62,IF(A62='Données projet'!$A$88,'Données projet'!$B$88,BD61+BC62-BL61)))</f>
        <v>239.40000000000009</v>
      </c>
      <c r="BE62" s="13">
        <f>BD62*VLOOKUP('Données projet'!$B$11,Paramètres!$A$1:$I$89,3,0)*VLOOKUP('Données projet'!$B$11,Paramètres!$A$1:$I$89,5,0)</f>
        <v>209.13984000000008</v>
      </c>
      <c r="BF62" s="13">
        <f t="shared" si="37"/>
        <v>51.747574219710266</v>
      </c>
      <c r="BG62" s="20">
        <f t="shared" si="7"/>
        <v>454.37891309932888</v>
      </c>
      <c r="BH62" s="59">
        <f t="shared" si="8"/>
        <v>747.71224643266214</v>
      </c>
      <c r="BI62" s="59">
        <f ca="1">AVERAGE(OFFSET($BH$3,0,0,'Données projet'!$E$11+1,1))-AVERAGE(OFFSET($H$3,0,0,'Données projet'!$E$11+1,1))</f>
        <v>395.21779046720553</v>
      </c>
      <c r="BJ62" s="59">
        <f t="shared" si="38"/>
        <v>360.05900046417361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2.7093411668465626</v>
      </c>
      <c r="BQ62" s="21">
        <f>EXP(-LN(2)/25)*BQ61+(1-EXP(-LN(2)/25))/(LN(2)/25)*Calculateur!BL62*Calculateur!BN62*VLOOKUP('Données projet'!$B$11,Paramètres!$A$1:$I$89,3,0)*0.475*44/12</f>
        <v>5.0480130264080021</v>
      </c>
      <c r="BR62" s="21">
        <f>EXP(-LN(2)/2)*BR61+(1-EXP(-LN(2)/2))/(LN(2)/2)*BL62*BO62*VLOOKUP('Données projet'!$B$11,Paramètres!$A$1:$I$89,3,0)*0.475*44/12</f>
        <v>3.0200096509510097E-4</v>
      </c>
      <c r="BS62" s="22">
        <f t="shared" si="9"/>
        <v>7.7576561942196598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9.4</v>
      </c>
      <c r="BY62" s="12">
        <f>IF('Données projet'!$A$114&gt;35,BY61+BX62-CG61,IF(A62&lt;'Données projet'!$A$114,$BV$205^A62,IF(A62='Données projet'!$A$114,'Données projet'!$B$114,BY61+BX62-CG61)))</f>
        <v>263.59999999999997</v>
      </c>
      <c r="BZ62" s="13">
        <f>BY62*VLOOKUP('Données projet'!$B$12,Paramètres!$A$1:$I$89,3,0)*VLOOKUP('Données projet'!$B$12,Paramètres!$A$1:$I$89,5,0)</f>
        <v>267.29039999999998</v>
      </c>
      <c r="CA62" s="13">
        <f t="shared" si="39"/>
        <v>64.273886654661325</v>
      </c>
      <c r="CB62" s="20">
        <f t="shared" si="10"/>
        <v>577.47446592353515</v>
      </c>
      <c r="CC62" s="59">
        <f t="shared" si="11"/>
        <v>870.80779925686852</v>
      </c>
      <c r="CD62" s="59">
        <f ca="1">AVERAGE(OFFSET($CC$3,0,0,'Données projet'!$E$12+1,1))-AVERAGE(OFFSET($H$3,0,0,'Données projet'!$E$12+1,1))</f>
        <v>449.84356201138451</v>
      </c>
      <c r="CE62" s="59">
        <f t="shared" si="40"/>
        <v>306.61893266146666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4.6119592963723566</v>
      </c>
      <c r="CL62" s="21">
        <f>EXP(-LN(2)/25)*CL61+(1-EXP(-LN(2)/25))/(LN(2)/25)*Calculateur!CG62*Calculateur!CI62*VLOOKUP('Données projet'!$B$12,Paramètres!$A$1:$I$89,3,0)*0.475*44/12</f>
        <v>4.696642503338893</v>
      </c>
      <c r="CM62" s="21">
        <f>EXP(-LN(2)/2)*CM61+(1-EXP(-LN(2)/2))/(LN(2)/2)*CG62*CJ62*VLOOKUP('Données projet'!$B$12,Paramètres!$A$1:$I$89,3,0)*0.475*44/12</f>
        <v>4.1280545992496999E-4</v>
      </c>
      <c r="CN62" s="22">
        <f t="shared" si="12"/>
        <v>9.3090146051711748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9.4</v>
      </c>
      <c r="CT62" s="12">
        <f>IF('Données projet'!$A$140&gt;35,CT61+CS62-DB61,IF(A62&lt;'Données projet'!$A$140,$CQ$205^A62,IF(A62='Données projet'!$A$140,'Données projet'!$B$140,CT61+CS62-DB61)))</f>
        <v>263.59999999999997</v>
      </c>
      <c r="CU62" s="17">
        <f>CT62*VLOOKUP('Données projet'!$B$13,Paramètres!$A$1:$I$89,3,0)*VLOOKUP('Données projet'!$B$13,Paramètres!$A$1:$I$89,5,0)</f>
        <v>283.73903999999993</v>
      </c>
      <c r="CV62" s="13">
        <f t="shared" si="41"/>
        <v>67.756564441537463</v>
      </c>
      <c r="CW62" s="20">
        <f t="shared" si="13"/>
        <v>612.18817773567764</v>
      </c>
      <c r="CX62" s="59">
        <f t="shared" si="14"/>
        <v>905.52151106901101</v>
      </c>
      <c r="CY62" s="59">
        <f ca="1">AVERAGE(OFFSET($CX$3,0,0,'Données projet'!$E$13+1,1))-AVERAGE(OFFSET($H$3,0,0,'Données projet'!$E$13+1,1))</f>
        <v>475.01366239340246</v>
      </c>
      <c r="CZ62" s="59">
        <f t="shared" si="42"/>
        <v>322.81767004794284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4.8957721761491104</v>
      </c>
      <c r="DG62" s="21">
        <f>EXP(-LN(2)/25)*DG61+(1-EXP(-LN(2)/25))/(LN(2)/25)*Calculateur!DB62*Calculateur!DD62*VLOOKUP('Données projet'!$B$13,Paramètres!$A$1:$I$89,3,0)*0.475*44/12</f>
        <v>4.9856666573905137</v>
      </c>
      <c r="DH62" s="21">
        <f>EXP(-LN(2)/2)*DH61+(1-EXP(-LN(2)/2))/(LN(2)/2)*DB62*DE62*VLOOKUP('Données projet'!$B$13,Paramètres!$A$1:$I$89,3,0)*0.475*44/12</f>
        <v>4.3820887284342979E-4</v>
      </c>
      <c r="DI62" s="22">
        <f t="shared" si="15"/>
        <v>9.8818770424124676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2.2737367544323206E-13</v>
      </c>
      <c r="DP62" s="17">
        <f>DO62*VLOOKUP('Données projet'!$B$14,Paramètres!$A$1:$I$89,3,0)*VLOOKUP('Données projet'!$B$14,Paramètres!$A$1:$I$89,5,0)</f>
        <v>2.0572770154103635E-13</v>
      </c>
      <c r="DQ62" s="13">
        <f t="shared" si="43"/>
        <v>2.8416956338469711E-12</v>
      </c>
      <c r="DR62" s="20">
        <f t="shared" si="16"/>
        <v>5.3075956424674458E-12</v>
      </c>
      <c r="DS62" s="59">
        <f t="shared" si="17"/>
        <v>293.3333333333386</v>
      </c>
      <c r="DT62" s="59">
        <f ca="1">AVERAGE(OFFSET($DS$3,0,0,'Données projet'!$E$14+1,1))-AVERAGE(OFFSET($H$3,0,0,'Données projet'!$E$14+1,1))</f>
        <v>436.23918637269577</v>
      </c>
      <c r="DU62" s="59">
        <f t="shared" si="44"/>
        <v>611.43967996341894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1.8548407775262798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2.0372847564851339E-4</v>
      </c>
      <c r="ED62" s="22">
        <f t="shared" si="18"/>
        <v>1.8550445060019283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264.04559999999992</v>
      </c>
      <c r="P63" s="13">
        <f t="shared" si="33"/>
        <v>63.58395992997368</v>
      </c>
      <c r="Q63" s="20">
        <f t="shared" si="53"/>
        <v>570.62148354470401</v>
      </c>
      <c r="R63" s="59">
        <f t="shared" si="0"/>
        <v>863.95481687803726</v>
      </c>
      <c r="S63" s="59">
        <f ca="1">AVERAGE(OFFSET($R$3,0,0,'Données projet'!$E$9+1,1))-AVERAGE(OFFSET($H$3,0,0,'Données projet'!$E$9+1,1))</f>
        <v>430.94515308997018</v>
      </c>
      <c r="T63" s="59">
        <f t="shared" si="34"/>
        <v>294.45557293177131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4.3128359758530745</v>
      </c>
      <c r="AA63" s="21">
        <f>EXP(-LN(2)/25)*AA62+(1-EXP(-LN(2)/25))/(LN(2)/25)*Calculateur!V63*Calculateur!X63*VLOOKUP('Données projet'!$B$9,Paramètres!$A$1:$I$89,3,0)*0.475*44/12</f>
        <v>4.3573719870794232</v>
      </c>
      <c r="AB63" s="21">
        <f>EXP(-LN(2)/2)*AB62+(1-EXP(-LN(2)/2))/(LN(2)/2)*V63*Y63*VLOOKUP('Données projet'!$B$9,Paramètres!$A$1:$I$89,3,0)*0.475*44/12</f>
        <v>2.7842534586883434E-4</v>
      </c>
      <c r="AC63" s="22">
        <f t="shared" si="3"/>
        <v>8.6704863882783663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348.5</v>
      </c>
      <c r="AG63" s="12">
        <f>VLOOKUP(A63,'Données projet'!$A$61:$I$81,9,0)</f>
        <v>13.5</v>
      </c>
      <c r="AH63" s="12">
        <f t="array" ref="AH63">INDEX(AG:AG,MIN(IF(ISNUMBER(AG63:AG259),ROW(AG63:AG259),"")))</f>
        <v>13.5</v>
      </c>
      <c r="AI63" s="13">
        <f>IF('Données projet'!$A$62&gt;35,AI62+AH63-AQ62,IF(A63&lt;'Données projet'!$A$62,$AF$205^A63,IF(A63='Données projet'!$A$62,'Données projet'!$B$62,AI62+AH63-AQ62)))</f>
        <v>348.49999999999989</v>
      </c>
      <c r="AJ63" s="13">
        <f>AI63*VLOOKUP('Données projet'!$B$10,Paramètres!$A$1:$I$89,3,0)*VLOOKUP('Données projet'!$B$10,Paramètres!$A$1:$I$89,5,0)</f>
        <v>163.09799999999993</v>
      </c>
      <c r="AK63" s="13">
        <f t="shared" si="35"/>
        <v>41.540496136845142</v>
      </c>
      <c r="AL63" s="20">
        <f t="shared" si="4"/>
        <v>356.4120474383385</v>
      </c>
      <c r="AM63" s="59">
        <f t="shared" si="5"/>
        <v>649.74538077167176</v>
      </c>
      <c r="AN63" s="59">
        <f ca="1">AVERAGE(OFFSET($AM$3,0,0,'Données projet'!$E$10+1,1))-AVERAGE(OFFSET($H$3,0,0,'Données projet'!$E$10+1,1))</f>
        <v>319.22903094674564</v>
      </c>
      <c r="AO63" s="59">
        <f t="shared" si="36"/>
        <v>254.58690973142848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5.0104504790513014</v>
      </c>
      <c r="AV63" s="21">
        <f>EXP(-LN(2)/25)*AV62+(1-EXP(-LN(2)/25))/(LN(2)/25)*Calculateur!AQ63*Calculateur!AS63*VLOOKUP('Données projet'!$B$10,Paramètres!$A$1:$I$89,3,0)*0.475*44/12</f>
        <v>4.853894048067442</v>
      </c>
      <c r="AW63" s="21">
        <f>EXP(-LN(2)/2)*AW62+(1-EXP(-LN(2)/2))/(LN(2)/2)*AQ63*AT63*VLOOKUP('Données projet'!$B$10,Paramètres!$A$1:$I$89,3,0)*0.475*44/12</f>
        <v>3.3700954112543871E-4</v>
      </c>
      <c r="AX63" s="21">
        <f t="shared" si="6"/>
        <v>9.8646815366598677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246</v>
      </c>
      <c r="BB63" s="12">
        <f>VLOOKUP(A63,'Données projet'!$A$87:$I$107,9,0)</f>
        <v>6.6</v>
      </c>
      <c r="BC63" s="12">
        <f t="array" ref="BC63">INDEX(BB:BB,MIN(IF(ISNUMBER(BB63:BB259),ROW(BB63:BB259),"")))</f>
        <v>6.6</v>
      </c>
      <c r="BD63" s="12">
        <f>IF('Données projet'!$A$88&gt;35,BD62+BC63-BL62,IF(A63&lt;'Données projet'!$A$88,$BA$205^A63,IF(A63='Données projet'!$A$88,'Données projet'!$B$88,BD62+BC63-BL62)))</f>
        <v>246.00000000000009</v>
      </c>
      <c r="BE63" s="13">
        <f>BD63*VLOOKUP('Données projet'!$B$11,Paramètres!$A$1:$I$89,3,0)*VLOOKUP('Données projet'!$B$11,Paramètres!$A$1:$I$89,5,0)</f>
        <v>214.90560000000008</v>
      </c>
      <c r="BF63" s="13">
        <f t="shared" si="37"/>
        <v>53.006137800892326</v>
      </c>
      <c r="BG63" s="20">
        <f t="shared" si="7"/>
        <v>466.61294333655428</v>
      </c>
      <c r="BH63" s="59">
        <f t="shared" si="8"/>
        <v>759.94627666988754</v>
      </c>
      <c r="BI63" s="59">
        <f ca="1">AVERAGE(OFFSET($BH$3,0,0,'Données projet'!$E$11+1,1))-AVERAGE(OFFSET($H$3,0,0,'Données projet'!$E$11+1,1))</f>
        <v>395.21779046720553</v>
      </c>
      <c r="BJ63" s="59">
        <f t="shared" si="38"/>
        <v>360.05900046417361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24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2.656212639099639</v>
      </c>
      <c r="BQ63" s="21">
        <f>EXP(-LN(2)/25)*BQ62+(1-EXP(-LN(2)/25))/(LN(2)/25)*Calculateur!BL63*Calculateur!BN63*VLOOKUP('Données projet'!$B$11,Paramètres!$A$1:$I$89,3,0)*0.475*44/12</f>
        <v>4.9099748447374072</v>
      </c>
      <c r="BR63" s="21">
        <f>EXP(-LN(2)/2)*BR62+(1-EXP(-LN(2)/2))/(LN(2)/2)*BL63*BO63*VLOOKUP('Données projet'!$B$11,Paramètres!$A$1:$I$89,3,0)*0.475*44/12</f>
        <v>2.1354693034362774E-4</v>
      </c>
      <c r="BS63" s="22">
        <f t="shared" si="9"/>
        <v>7.5664010307673895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273</v>
      </c>
      <c r="BW63" s="12">
        <f>VLOOKUP(A63,'Données projet'!$A$113:$I$133,9,0)</f>
        <v>9.4</v>
      </c>
      <c r="BX63" s="12">
        <f t="array" ref="BX63">INDEX(BW:BW,MIN(IF(ISNUMBER(BW63:BW259),ROW(BW63:BW259),"")))</f>
        <v>9.4</v>
      </c>
      <c r="BY63" s="12">
        <f>IF('Données projet'!$A$114&gt;35,BY62+BX63-CG62,IF(A63&lt;'Données projet'!$A$114,$BV$205^A63,IF(A63='Données projet'!$A$114,'Données projet'!$B$114,BY62+BX63-CG62)))</f>
        <v>272.99999999999994</v>
      </c>
      <c r="BZ63" s="13">
        <f>BY63*VLOOKUP('Données projet'!$B$12,Paramètres!$A$1:$I$89,3,0)*VLOOKUP('Données projet'!$B$12,Paramètres!$A$1:$I$89,5,0)</f>
        <v>276.82199999999995</v>
      </c>
      <c r="CA63" s="13">
        <f t="shared" si="39"/>
        <v>66.29496059864374</v>
      </c>
      <c r="CB63" s="20">
        <f t="shared" si="10"/>
        <v>597.59537304263779</v>
      </c>
      <c r="CC63" s="59">
        <f t="shared" si="11"/>
        <v>890.92870637597116</v>
      </c>
      <c r="CD63" s="59">
        <f ca="1">AVERAGE(OFFSET($CC$3,0,0,'Données projet'!$E$12+1,1))-AVERAGE(OFFSET($H$3,0,0,'Données projet'!$E$12+1,1))</f>
        <v>449.84356201138451</v>
      </c>
      <c r="CE63" s="59">
        <f t="shared" si="40"/>
        <v>306.61893266146666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4.5215215875879027</v>
      </c>
      <c r="CL63" s="21">
        <f>EXP(-LN(2)/25)*CL62+(1-EXP(-LN(2)/25))/(LN(2)/25)*Calculateur!CG63*Calculateur!CI63*VLOOKUP('Données projet'!$B$12,Paramètres!$A$1:$I$89,3,0)*0.475*44/12</f>
        <v>4.5682125670993958</v>
      </c>
      <c r="CM63" s="21">
        <f>EXP(-LN(2)/2)*CM62+(1-EXP(-LN(2)/2))/(LN(2)/2)*CG63*CJ63*VLOOKUP('Données projet'!$B$12,Paramètres!$A$1:$I$89,3,0)*0.475*44/12</f>
        <v>2.9189754002377787E-4</v>
      </c>
      <c r="CN63" s="22">
        <f t="shared" si="12"/>
        <v>9.0900260522273229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273</v>
      </c>
      <c r="CR63" s="12">
        <f>VLOOKUP(A63,'Données projet'!$A$139:$I$159,9,0)</f>
        <v>9.4</v>
      </c>
      <c r="CS63" s="12">
        <f t="array" ref="CS63">INDEX(CR:CR,MIN(IF(ISNUMBER(CR63:CR259),ROW(CR63:CR259),"")))</f>
        <v>9.4</v>
      </c>
      <c r="CT63" s="12">
        <f>IF('Données projet'!$A$140&gt;35,CT62+CS63-DB62,IF(A63&lt;'Données projet'!$A$140,$CQ$205^A63,IF(A63='Données projet'!$A$140,'Données projet'!$B$140,CT62+CS63-DB62)))</f>
        <v>272.99999999999994</v>
      </c>
      <c r="CU63" s="17">
        <f>CT63*VLOOKUP('Données projet'!$B$13,Paramètres!$A$1:$I$89,3,0)*VLOOKUP('Données projet'!$B$13,Paramètres!$A$1:$I$89,5,0)</f>
        <v>293.85719999999992</v>
      </c>
      <c r="CV63" s="13">
        <f t="shared" si="41"/>
        <v>69.887150190339781</v>
      </c>
      <c r="CW63" s="20">
        <f t="shared" si="13"/>
        <v>633.52140991484157</v>
      </c>
      <c r="CX63" s="59">
        <f t="shared" si="14"/>
        <v>926.85474324817483</v>
      </c>
      <c r="CY63" s="59">
        <f ca="1">AVERAGE(OFFSET($CX$3,0,0,'Données projet'!$E$13+1,1))-AVERAGE(OFFSET($H$3,0,0,'Données projet'!$E$13+1,1))</f>
        <v>475.01366239340246</v>
      </c>
      <c r="CZ63" s="59">
        <f t="shared" si="42"/>
        <v>322.81767004794284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4.7997690699009983</v>
      </c>
      <c r="DG63" s="21">
        <f>EXP(-LN(2)/25)*DG62+(1-EXP(-LN(2)/25))/(LN(2)/25)*Calculateur!DB63*Calculateur!DD63*VLOOKUP('Données projet'!$B$13,Paramètres!$A$1:$I$89,3,0)*0.475*44/12</f>
        <v>4.8493333404593555</v>
      </c>
      <c r="DH63" s="21">
        <f>EXP(-LN(2)/2)*DH62+(1-EXP(-LN(2)/2))/(LN(2)/2)*DB63*DE63*VLOOKUP('Données projet'!$B$13,Paramètres!$A$1:$I$89,3,0)*0.475*44/12</f>
        <v>3.0986046556370273E-4</v>
      </c>
      <c r="DI63" s="22">
        <f t="shared" si="15"/>
        <v>9.6494122708259162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2.2737367544323206E-13</v>
      </c>
      <c r="DP63" s="17">
        <f>DO63*VLOOKUP('Données projet'!$B$14,Paramètres!$A$1:$I$89,3,0)*VLOOKUP('Données projet'!$B$14,Paramètres!$A$1:$I$89,5,0)</f>
        <v>2.0572770154103635E-13</v>
      </c>
      <c r="DQ63" s="13">
        <f t="shared" si="43"/>
        <v>2.8416956338469711E-12</v>
      </c>
      <c r="DR63" s="20">
        <f t="shared" si="16"/>
        <v>5.3075956424674458E-12</v>
      </c>
      <c r="DS63" s="59">
        <f t="shared" si="17"/>
        <v>293.3333333333386</v>
      </c>
      <c r="DT63" s="59">
        <f ca="1">AVERAGE(OFFSET($DS$3,0,0,'Données projet'!$E$14+1,1))-AVERAGE(OFFSET($H$3,0,0,'Données projet'!$E$14+1,1))</f>
        <v>436.23918637269577</v>
      </c>
      <c r="DU63" s="59">
        <f t="shared" si="44"/>
        <v>611.43967996341894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1.818468481220153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1.4405778665186223E-4</v>
      </c>
      <c r="ED63" s="22">
        <f t="shared" si="18"/>
        <v>1.8186125390068049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245.47535999999997</v>
      </c>
      <c r="P64" s="13">
        <f t="shared" si="33"/>
        <v>59.616029794883758</v>
      </c>
      <c r="Q64" s="20">
        <f t="shared" si="53"/>
        <v>531.36750389275585</v>
      </c>
      <c r="R64" s="59">
        <f t="shared" si="0"/>
        <v>824.70083722608911</v>
      </c>
      <c r="S64" s="59">
        <f ca="1">AVERAGE(OFFSET($R$3,0,0,'Données projet'!$E$9+1,1))-AVERAGE(OFFSET($H$3,0,0,'Données projet'!$E$9+1,1))</f>
        <v>430.94515308997018</v>
      </c>
      <c r="T64" s="59">
        <f t="shared" si="34"/>
        <v>294.45557293177131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4.2282638929367939</v>
      </c>
      <c r="AA64" s="21">
        <f>EXP(-LN(2)/25)*AA63+(1-EXP(-LN(2)/25))/(LN(2)/25)*Calculateur!V64*Calculateur!X64*VLOOKUP('Données projet'!$B$9,Paramètres!$A$1:$I$89,3,0)*0.475*44/12</f>
        <v>4.2382194209485027</v>
      </c>
      <c r="AB64" s="21">
        <f>EXP(-LN(2)/2)*AB63+(1-EXP(-LN(2)/2))/(LN(2)/2)*V64*Y64*VLOOKUP('Données projet'!$B$9,Paramètres!$A$1:$I$89,3,0)*0.475*44/12</f>
        <v>1.9687645011806266E-4</v>
      </c>
      <c r="AC64" s="22">
        <f t="shared" si="3"/>
        <v>8.4666801903354152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283.99999999999989</v>
      </c>
      <c r="AJ64" s="13">
        <f>AI64*VLOOKUP('Données projet'!$B$10,Paramètres!$A$1:$I$89,3,0)*VLOOKUP('Données projet'!$B$10,Paramètres!$A$1:$I$89,5,0)</f>
        <v>132.91199999999995</v>
      </c>
      <c r="AK64" s="13">
        <f t="shared" si="35"/>
        <v>34.668367043546574</v>
      </c>
      <c r="AL64" s="20">
        <f t="shared" si="4"/>
        <v>291.86913926751021</v>
      </c>
      <c r="AM64" s="59">
        <f t="shared" si="5"/>
        <v>585.20247260084352</v>
      </c>
      <c r="AN64" s="59">
        <f ca="1">AVERAGE(OFFSET($AM$3,0,0,'Données projet'!$E$10+1,1))-AVERAGE(OFFSET($H$3,0,0,'Données projet'!$E$10+1,1))</f>
        <v>319.22903094674564</v>
      </c>
      <c r="AO64" s="59">
        <f t="shared" si="36"/>
        <v>254.58690973142848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4.9121986012301351</v>
      </c>
      <c r="AV64" s="21">
        <f>EXP(-LN(2)/25)*AV63+(1-EXP(-LN(2)/25))/(LN(2)/25)*Calculateur!AQ64*Calculateur!AS64*VLOOKUP('Données projet'!$B$10,Paramètres!$A$1:$I$89,3,0)*0.475*44/12</f>
        <v>4.7211640600678431</v>
      </c>
      <c r="AW64" s="21">
        <f>EXP(-LN(2)/2)*AW63+(1-EXP(-LN(2)/2))/(LN(2)/2)*AQ64*AT64*VLOOKUP('Données projet'!$B$10,Paramètres!$A$1:$I$89,3,0)*0.475*44/12</f>
        <v>2.3830173185436439E-4</v>
      </c>
      <c r="AX64" s="21">
        <f t="shared" si="6"/>
        <v>9.6336009630298332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</v>
      </c>
      <c r="BD64" s="12">
        <f>IF('Données projet'!$A$88&gt;35,BD63+BC64-BL63,IF(A64&lt;'Données projet'!$A$88,$BA$205^A64,IF(A64='Données projet'!$A$88,'Données projet'!$B$88,BD63+BC64-BL63)))</f>
        <v>228.00000000000009</v>
      </c>
      <c r="BE64" s="13">
        <f>BD64*VLOOKUP('Données projet'!$B$11,Paramètres!$A$1:$I$89,3,0)*VLOOKUP('Données projet'!$B$11,Paramètres!$A$1:$I$89,5,0)</f>
        <v>199.18080000000012</v>
      </c>
      <c r="BF64" s="13">
        <f t="shared" si="37"/>
        <v>49.564089376413726</v>
      </c>
      <c r="BG64" s="20">
        <f t="shared" si="7"/>
        <v>433.2306823305874</v>
      </c>
      <c r="BH64" s="59">
        <f t="shared" si="8"/>
        <v>726.56401566392071</v>
      </c>
      <c r="BI64" s="59">
        <f ca="1">AVERAGE(OFFSET($BH$3,0,0,'Données projet'!$E$11+1,1))-AVERAGE(OFFSET($H$3,0,0,'Données projet'!$E$11+1,1))</f>
        <v>395.21779046720553</v>
      </c>
      <c r="BJ64" s="59">
        <f t="shared" si="38"/>
        <v>360.05900046417361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2.6041259293766306</v>
      </c>
      <c r="BQ64" s="21">
        <f>EXP(-LN(2)/25)*BQ63+(1-EXP(-LN(2)/25))/(LN(2)/25)*Calculateur!BL64*Calculateur!BN64*VLOOKUP('Données projet'!$B$11,Paramètres!$A$1:$I$89,3,0)*0.475*44/12</f>
        <v>4.7757113244037077</v>
      </c>
      <c r="BR64" s="21">
        <f>EXP(-LN(2)/2)*BR63+(1-EXP(-LN(2)/2))/(LN(2)/2)*BL64*BO64*VLOOKUP('Données projet'!$B$11,Paramètres!$A$1:$I$89,3,0)*0.475*44/12</f>
        <v>1.5100048254755049E-4</v>
      </c>
      <c r="BS64" s="22">
        <f t="shared" si="9"/>
        <v>7.3799882542628854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8.8000000000000007</v>
      </c>
      <c r="BY64" s="12">
        <f>IF('Données projet'!$A$114&gt;35,BY63+BX64-CG63,IF(A64&lt;'Données projet'!$A$114,$BV$205^A64,IF(A64='Données projet'!$A$114,'Données projet'!$B$114,BY63+BX64-CG63)))</f>
        <v>253.79999999999995</v>
      </c>
      <c r="BZ64" s="13">
        <f>BY64*VLOOKUP('Données projet'!$B$12,Paramètres!$A$1:$I$89,3,0)*VLOOKUP('Données projet'!$B$12,Paramètres!$A$1:$I$89,5,0)</f>
        <v>257.35319999999996</v>
      </c>
      <c r="CA64" s="13">
        <f t="shared" si="39"/>
        <v>62.157851613080908</v>
      </c>
      <c r="CB64" s="20">
        <f t="shared" si="10"/>
        <v>556.48174822611588</v>
      </c>
      <c r="CC64" s="59">
        <f t="shared" si="11"/>
        <v>849.81508155944925</v>
      </c>
      <c r="CD64" s="59">
        <f ca="1">AVERAGE(OFFSET($CC$3,0,0,'Données projet'!$E$12+1,1))-AVERAGE(OFFSET($H$3,0,0,'Données projet'!$E$12+1,1))</f>
        <v>449.84356201138451</v>
      </c>
      <c r="CE64" s="59">
        <f t="shared" si="40"/>
        <v>306.61893266146666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4.4328573071111563</v>
      </c>
      <c r="CL64" s="21">
        <f>EXP(-LN(2)/25)*CL63+(1-EXP(-LN(2)/25))/(LN(2)/25)*Calculateur!CG64*Calculateur!CI64*VLOOKUP('Données projet'!$B$12,Paramètres!$A$1:$I$89,3,0)*0.475*44/12</f>
        <v>4.4432945542202047</v>
      </c>
      <c r="CM64" s="21">
        <f>EXP(-LN(2)/2)*CM63+(1-EXP(-LN(2)/2))/(LN(2)/2)*CG64*CJ64*VLOOKUP('Données projet'!$B$12,Paramètres!$A$1:$I$89,3,0)*0.475*44/12</f>
        <v>2.06402729962485E-4</v>
      </c>
      <c r="CN64" s="22">
        <f t="shared" si="12"/>
        <v>8.8763582640613237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8.8000000000000007</v>
      </c>
      <c r="CT64" s="12">
        <f>IF('Données projet'!$A$140&gt;35,CT63+CS64-DB63,IF(A64&lt;'Données projet'!$A$140,$CQ$205^A64,IF(A64='Données projet'!$A$140,'Données projet'!$B$140,CT63+CS64-DB63)))</f>
        <v>253.79999999999995</v>
      </c>
      <c r="CU64" s="17">
        <f>CT64*VLOOKUP('Données projet'!$B$13,Paramètres!$A$1:$I$89,3,0)*VLOOKUP('Données projet'!$B$13,Paramètres!$A$1:$I$89,5,0)</f>
        <v>273.19031999999993</v>
      </c>
      <c r="CV64" s="13">
        <f t="shared" si="41"/>
        <v>65.525872132143832</v>
      </c>
      <c r="CW64" s="20">
        <f t="shared" si="13"/>
        <v>589.93070129681701</v>
      </c>
      <c r="CX64" s="59">
        <f t="shared" si="14"/>
        <v>883.26403463015026</v>
      </c>
      <c r="CY64" s="59">
        <f ca="1">AVERAGE(OFFSET($CX$3,0,0,'Données projet'!$E$13+1,1))-AVERAGE(OFFSET($H$3,0,0,'Données projet'!$E$13+1,1))</f>
        <v>475.01366239340246</v>
      </c>
      <c r="CZ64" s="59">
        <f t="shared" si="42"/>
        <v>322.81767004794284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4.7056485260102985</v>
      </c>
      <c r="DG64" s="21">
        <f>EXP(-LN(2)/25)*DG63+(1-EXP(-LN(2)/25))/(LN(2)/25)*Calculateur!DB64*Calculateur!DD64*VLOOKUP('Données projet'!$B$13,Paramètres!$A$1:$I$89,3,0)*0.475*44/12</f>
        <v>4.7167280652491375</v>
      </c>
      <c r="DH64" s="21">
        <f>EXP(-LN(2)/2)*DH63+(1-EXP(-LN(2)/2))/(LN(2)/2)*DB64*DE64*VLOOKUP('Données projet'!$B$13,Paramètres!$A$1:$I$89,3,0)*0.475*44/12</f>
        <v>2.191044364217149E-4</v>
      </c>
      <c r="DI64" s="22">
        <f t="shared" si="15"/>
        <v>9.4225956956958576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2.2737367544323206E-13</v>
      </c>
      <c r="DP64" s="17">
        <f>DO64*VLOOKUP('Données projet'!$B$14,Paramètres!$A$1:$I$89,3,0)*VLOOKUP('Données projet'!$B$14,Paramètres!$A$1:$I$89,5,0)</f>
        <v>2.0572770154103635E-13</v>
      </c>
      <c r="DQ64" s="13">
        <f t="shared" si="43"/>
        <v>2.8416956338469711E-12</v>
      </c>
      <c r="DR64" s="20">
        <f t="shared" si="16"/>
        <v>5.3075956424674458E-12</v>
      </c>
      <c r="DS64" s="59">
        <f t="shared" si="17"/>
        <v>293.3333333333386</v>
      </c>
      <c r="DT64" s="59">
        <f ca="1">AVERAGE(OFFSET($DS$3,0,0,'Données projet'!$E$14+1,1))-AVERAGE(OFFSET($H$3,0,0,'Données projet'!$E$14+1,1))</f>
        <v>436.23918637269577</v>
      </c>
      <c r="DU64" s="59">
        <f t="shared" si="44"/>
        <v>611.43967996341894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1.7828094234596792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1.0186423782425669E-4</v>
      </c>
      <c r="ED64" s="22">
        <f t="shared" si="18"/>
        <v>1.7829112876975035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253.98671999999999</v>
      </c>
      <c r="P65" s="13">
        <f t="shared" si="33"/>
        <v>61.438849277739124</v>
      </c>
      <c r="Q65" s="20">
        <f t="shared" si="53"/>
        <v>549.3661998253956</v>
      </c>
      <c r="R65" s="59">
        <f t="shared" si="0"/>
        <v>842.69953315872885</v>
      </c>
      <c r="S65" s="59">
        <f ca="1">AVERAGE(OFFSET($R$3,0,0,'Données projet'!$E$9+1,1))-AVERAGE(OFFSET($H$3,0,0,'Données projet'!$E$9+1,1))</f>
        <v>430.94515308997018</v>
      </c>
      <c r="T65" s="59">
        <f t="shared" si="34"/>
        <v>294.45557293177131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4.1453502169826244</v>
      </c>
      <c r="AA65" s="21">
        <f>EXP(-LN(2)/25)*AA64+(1-EXP(-LN(2)/25))/(LN(2)/25)*Calculateur!V65*Calculateur!X65*VLOOKUP('Données projet'!$B$9,Paramètres!$A$1:$I$89,3,0)*0.475*44/12</f>
        <v>4.1223250880043931</v>
      </c>
      <c r="AB65" s="21">
        <f>EXP(-LN(2)/2)*AB64+(1-EXP(-LN(2)/2))/(LN(2)/2)*V65*Y65*VLOOKUP('Données projet'!$B$9,Paramètres!$A$1:$I$89,3,0)*0.475*44/12</f>
        <v>1.3921267293441717E-4</v>
      </c>
      <c r="AC65" s="22">
        <f t="shared" si="3"/>
        <v>8.2678145176599518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299.49999999999989</v>
      </c>
      <c r="AJ65" s="13">
        <f>AI65*VLOOKUP('Données projet'!$B$10,Paramètres!$A$1:$I$89,3,0)*VLOOKUP('Données projet'!$B$10,Paramètres!$A$1:$I$89,5,0)</f>
        <v>140.16599999999994</v>
      </c>
      <c r="AK65" s="13">
        <f t="shared" si="35"/>
        <v>36.33503114084008</v>
      </c>
      <c r="AL65" s="20">
        <f t="shared" si="4"/>
        <v>307.40596257029637</v>
      </c>
      <c r="AM65" s="59">
        <f t="shared" si="5"/>
        <v>600.73929590362968</v>
      </c>
      <c r="AN65" s="59">
        <f ca="1">AVERAGE(OFFSET($AM$3,0,0,'Données projet'!$E$10+1,1))-AVERAGE(OFFSET($H$3,0,0,'Données projet'!$E$10+1,1))</f>
        <v>319.22903094674564</v>
      </c>
      <c r="AO65" s="59">
        <f t="shared" si="36"/>
        <v>254.58690973142848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4.8158733828053144</v>
      </c>
      <c r="AV65" s="21">
        <f>EXP(-LN(2)/25)*AV64+(1-EXP(-LN(2)/25))/(LN(2)/25)*Calculateur!AQ65*Calculateur!AS65*VLOOKUP('Données projet'!$B$10,Paramètres!$A$1:$I$89,3,0)*0.475*44/12</f>
        <v>4.59206358057006</v>
      </c>
      <c r="AW65" s="21">
        <f>EXP(-LN(2)/2)*AW64+(1-EXP(-LN(2)/2))/(LN(2)/2)*AQ65*AT65*VLOOKUP('Données projet'!$B$10,Paramètres!$A$1:$I$89,3,0)*0.475*44/12</f>
        <v>1.6850477056271938E-4</v>
      </c>
      <c r="AX65" s="21">
        <f t="shared" si="6"/>
        <v>9.4081054681459371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</v>
      </c>
      <c r="BD65" s="12">
        <f>IF('Données projet'!$A$88&gt;35,BD64+BC65-BL64,IF(A65&lt;'Données projet'!$A$88,$BA$205^A65,IF(A65='Données projet'!$A$88,'Données projet'!$B$88,BD64+BC65-BL64)))</f>
        <v>234.00000000000009</v>
      </c>
      <c r="BE65" s="13">
        <f>BD65*VLOOKUP('Données projet'!$B$11,Paramètres!$A$1:$I$89,3,0)*VLOOKUP('Données projet'!$B$11,Paramètres!$A$1:$I$89,5,0)</f>
        <v>204.4224000000001</v>
      </c>
      <c r="BF65" s="13">
        <f t="shared" si="37"/>
        <v>50.714836797527312</v>
      </c>
      <c r="BG65" s="20">
        <f t="shared" si="7"/>
        <v>444.3640207556935</v>
      </c>
      <c r="BH65" s="59">
        <f t="shared" si="8"/>
        <v>737.69735408902682</v>
      </c>
      <c r="BI65" s="59">
        <f ca="1">AVERAGE(OFFSET($BH$3,0,0,'Données projet'!$E$11+1,1))-AVERAGE(OFFSET($H$3,0,0,'Données projet'!$E$11+1,1))</f>
        <v>395.21779046720553</v>
      </c>
      <c r="BJ65" s="59">
        <f t="shared" si="38"/>
        <v>360.05900046417361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2.5530606082615344</v>
      </c>
      <c r="BQ65" s="21">
        <f>EXP(-LN(2)/25)*BQ64+(1-EXP(-LN(2)/25))/(LN(2)/25)*Calculateur!BL65*Calculateur!BN65*VLOOKUP('Données projet'!$B$11,Paramètres!$A$1:$I$89,3,0)*0.475*44/12</f>
        <v>4.6451192470941445</v>
      </c>
      <c r="BR65" s="21">
        <f>EXP(-LN(2)/2)*BR64+(1-EXP(-LN(2)/2))/(LN(2)/2)*BL65*BO65*VLOOKUP('Données projet'!$B$11,Paramètres!$A$1:$I$89,3,0)*0.475*44/12</f>
        <v>1.0677346517181387E-4</v>
      </c>
      <c r="BS65" s="22">
        <f t="shared" si="9"/>
        <v>7.1982866288208509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8.8000000000000007</v>
      </c>
      <c r="BY65" s="12">
        <f>IF('Données projet'!$A$114&gt;35,BY64+BX65-CG64,IF(A65&lt;'Données projet'!$A$114,$BV$205^A65,IF(A65='Données projet'!$A$114,'Données projet'!$B$114,BY64+BX65-CG64)))</f>
        <v>262.59999999999997</v>
      </c>
      <c r="BZ65" s="13">
        <f>BY65*VLOOKUP('Données projet'!$B$12,Paramètres!$A$1:$I$89,3,0)*VLOOKUP('Données projet'!$B$12,Paramètres!$A$1:$I$89,5,0)</f>
        <v>266.27640000000002</v>
      </c>
      <c r="CA65" s="13">
        <f t="shared" si="39"/>
        <v>64.058389829439747</v>
      </c>
      <c r="CB65" s="20">
        <f t="shared" si="10"/>
        <v>575.33309228627434</v>
      </c>
      <c r="CC65" s="59">
        <f t="shared" si="11"/>
        <v>868.66642561960771</v>
      </c>
      <c r="CD65" s="59">
        <f ca="1">AVERAGE(OFFSET($CC$3,0,0,'Données projet'!$E$12+1,1))-AVERAGE(OFFSET($H$3,0,0,'Données projet'!$E$12+1,1))</f>
        <v>449.84356201138451</v>
      </c>
      <c r="CE65" s="59">
        <f t="shared" si="40"/>
        <v>306.61893266146666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4.3459316790946882</v>
      </c>
      <c r="CL65" s="21">
        <f>EXP(-LN(2)/25)*CL64+(1-EXP(-LN(2)/25))/(LN(2)/25)*Calculateur!CG65*Calculateur!CI65*VLOOKUP('Données projet'!$B$12,Paramètres!$A$1:$I$89,3,0)*0.475*44/12</f>
        <v>4.3217924309723479</v>
      </c>
      <c r="CM65" s="21">
        <f>EXP(-LN(2)/2)*CM64+(1-EXP(-LN(2)/2))/(LN(2)/2)*CG65*CJ65*VLOOKUP('Données projet'!$B$12,Paramètres!$A$1:$I$89,3,0)*0.475*44/12</f>
        <v>1.4594877001188893E-4</v>
      </c>
      <c r="CN65" s="22">
        <f t="shared" si="12"/>
        <v>8.6678700588370479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8.8000000000000007</v>
      </c>
      <c r="CT65" s="12">
        <f>IF('Données projet'!$A$140&gt;35,CT64+CS65-DB64,IF(A65&lt;'Données projet'!$A$140,$CQ$205^A65,IF(A65='Données projet'!$A$140,'Données projet'!$B$140,CT64+CS65-DB64)))</f>
        <v>262.59999999999997</v>
      </c>
      <c r="CU65" s="17">
        <f>CT65*VLOOKUP('Données projet'!$B$13,Paramètres!$A$1:$I$89,3,0)*VLOOKUP('Données projet'!$B$13,Paramètres!$A$1:$I$89,5,0)</f>
        <v>282.66263999999995</v>
      </c>
      <c r="CV65" s="13">
        <f t="shared" si="41"/>
        <v>67.529390930099993</v>
      </c>
      <c r="CW65" s="20">
        <f t="shared" si="13"/>
        <v>609.91778720325738</v>
      </c>
      <c r="CX65" s="59">
        <f t="shared" si="14"/>
        <v>903.25112053659063</v>
      </c>
      <c r="CY65" s="59">
        <f ca="1">AVERAGE(OFFSET($CX$3,0,0,'Données projet'!$E$13+1,1))-AVERAGE(OFFSET($H$3,0,0,'Données projet'!$E$13+1,1))</f>
        <v>475.01366239340246</v>
      </c>
      <c r="CZ65" s="59">
        <f t="shared" si="42"/>
        <v>322.81767004794284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4.6133736285774321</v>
      </c>
      <c r="DG65" s="21">
        <f>EXP(-LN(2)/25)*DG64+(1-EXP(-LN(2)/25))/(LN(2)/25)*Calculateur!DB65*Calculateur!DD65*VLOOKUP('Données projet'!$B$13,Paramètres!$A$1:$I$89,3,0)*0.475*44/12</f>
        <v>4.5877488882629507</v>
      </c>
      <c r="DH65" s="21">
        <f>EXP(-LN(2)/2)*DH64+(1-EXP(-LN(2)/2))/(LN(2)/2)*DB65*DE65*VLOOKUP('Données projet'!$B$13,Paramètres!$A$1:$I$89,3,0)*0.475*44/12</f>
        <v>1.5493023278185137E-4</v>
      </c>
      <c r="DI65" s="22">
        <f t="shared" si="15"/>
        <v>9.2012774470731635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2.2737367544323206E-13</v>
      </c>
      <c r="DP65" s="17">
        <f>DO65*VLOOKUP('Données projet'!$B$14,Paramètres!$A$1:$I$89,3,0)*VLOOKUP('Données projet'!$B$14,Paramètres!$A$1:$I$89,5,0)</f>
        <v>2.0572770154103635E-13</v>
      </c>
      <c r="DQ65" s="13">
        <f t="shared" si="43"/>
        <v>2.8416956338469711E-12</v>
      </c>
      <c r="DR65" s="20">
        <f t="shared" si="16"/>
        <v>5.3075956424674458E-12</v>
      </c>
      <c r="DS65" s="59">
        <f t="shared" si="17"/>
        <v>293.3333333333386</v>
      </c>
      <c r="DT65" s="59">
        <f ca="1">AVERAGE(OFFSET($DS$3,0,0,'Données projet'!$E$14+1,1))-AVERAGE(OFFSET($H$3,0,0,'Données projet'!$E$14+1,1))</f>
        <v>436.23918637269577</v>
      </c>
      <c r="DU65" s="59">
        <f t="shared" si="44"/>
        <v>611.43967996341894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1.7478496180720107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7.2028893325931114E-5</v>
      </c>
      <c r="ED65" s="22">
        <f t="shared" si="18"/>
        <v>1.7479216469653367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262.49807999999996</v>
      </c>
      <c r="P66" s="13">
        <f t="shared" si="33"/>
        <v>63.254570961138086</v>
      </c>
      <c r="Q66" s="20">
        <f t="shared" si="53"/>
        <v>567.35253375731543</v>
      </c>
      <c r="R66" s="59">
        <f t="shared" si="0"/>
        <v>860.6858670906488</v>
      </c>
      <c r="S66" s="59">
        <f ca="1">AVERAGE(OFFSET($R$3,0,0,'Données projet'!$E$9+1,1))-AVERAGE(OFFSET($H$3,0,0,'Données projet'!$E$9+1,1))</f>
        <v>430.94515308997018</v>
      </c>
      <c r="T66" s="59">
        <f t="shared" si="34"/>
        <v>294.45557293177131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4.0640624276415673</v>
      </c>
      <c r="AA66" s="21">
        <f>EXP(-LN(2)/25)*AA65+(1-EXP(-LN(2)/25))/(LN(2)/25)*Calculateur!V66*Calculateur!X66*VLOOKUP('Données projet'!$B$9,Paramètres!$A$1:$I$89,3,0)*0.475*44/12</f>
        <v>4.0095998916892581</v>
      </c>
      <c r="AB66" s="21">
        <f>EXP(-LN(2)/2)*AB65+(1-EXP(-LN(2)/2))/(LN(2)/2)*V66*Y66*VLOOKUP('Données projet'!$B$9,Paramètres!$A$1:$I$89,3,0)*0.475*44/12</f>
        <v>9.8438225059031329E-5</v>
      </c>
      <c r="AC66" s="22">
        <f t="shared" si="3"/>
        <v>8.0737607575558847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314.99999999999989</v>
      </c>
      <c r="AJ66" s="13">
        <f>AI66*VLOOKUP('Données projet'!$B$10,Paramètres!$A$1:$I$89,3,0)*VLOOKUP('Données projet'!$B$10,Paramètres!$A$1:$I$89,5,0)</f>
        <v>147.41999999999993</v>
      </c>
      <c r="AK66" s="13">
        <f t="shared" si="35"/>
        <v>37.991680647570291</v>
      </c>
      <c r="AL66" s="20">
        <f t="shared" si="4"/>
        <v>322.92534379451814</v>
      </c>
      <c r="AM66" s="59">
        <f t="shared" si="5"/>
        <v>616.25867712785146</v>
      </c>
      <c r="AN66" s="59">
        <f ca="1">AVERAGE(OFFSET($AM$3,0,0,'Données projet'!$E$10+1,1))-AVERAGE(OFFSET($H$3,0,0,'Données projet'!$E$10+1,1))</f>
        <v>319.22903094674564</v>
      </c>
      <c r="AO66" s="59">
        <f t="shared" si="36"/>
        <v>254.58690973142848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4.721437043161222</v>
      </c>
      <c r="AV66" s="21">
        <f>EXP(-LN(2)/25)*AV65+(1-EXP(-LN(2)/25))/(LN(2)/25)*Calculateur!AQ66*Calculateur!AS66*VLOOKUP('Données projet'!$B$10,Paramètres!$A$1:$I$89,3,0)*0.475*44/12</f>
        <v>4.4664933604732431</v>
      </c>
      <c r="AW66" s="21">
        <f>EXP(-LN(2)/2)*AW65+(1-EXP(-LN(2)/2))/(LN(2)/2)*AQ66*AT66*VLOOKUP('Données projet'!$B$10,Paramètres!$A$1:$I$89,3,0)*0.475*44/12</f>
        <v>1.1915086592718222E-4</v>
      </c>
      <c r="AX66" s="21">
        <f t="shared" si="6"/>
        <v>9.1880495545003917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</v>
      </c>
      <c r="BD66" s="12">
        <f>IF('Données projet'!$A$88&gt;35,BD65+BC66-BL65,IF(A66&lt;'Données projet'!$A$88,$BA$205^A66,IF(A66='Données projet'!$A$88,'Données projet'!$B$88,BD65+BC66-BL65)))</f>
        <v>240.00000000000009</v>
      </c>
      <c r="BE66" s="13">
        <f>BD66*VLOOKUP('Données projet'!$B$11,Paramètres!$A$1:$I$89,3,0)*VLOOKUP('Données projet'!$B$11,Paramètres!$A$1:$I$89,5,0)</f>
        <v>209.6640000000001</v>
      </c>
      <c r="BF66" s="13">
        <f t="shared" si="37"/>
        <v>51.862154403304537</v>
      </c>
      <c r="BG66" s="20">
        <f t="shared" si="7"/>
        <v>455.49138558575561</v>
      </c>
      <c r="BH66" s="59">
        <f t="shared" si="8"/>
        <v>748.82471891908892</v>
      </c>
      <c r="BI66" s="59">
        <f ca="1">AVERAGE(OFFSET($BH$3,0,0,'Données projet'!$E$11+1,1))-AVERAGE(OFFSET($H$3,0,0,'Données projet'!$E$11+1,1))</f>
        <v>395.21779046720553</v>
      </c>
      <c r="BJ66" s="59">
        <f t="shared" si="38"/>
        <v>360.05900046417361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2.5029966469467348</v>
      </c>
      <c r="BQ66" s="21">
        <f>EXP(-LN(2)/25)*BQ65+(1-EXP(-LN(2)/25))/(LN(2)/25)*Calculateur!BL66*Calculateur!BN66*VLOOKUP('Données projet'!$B$11,Paramètres!$A$1:$I$89,3,0)*0.475*44/12</f>
        <v>4.5180982170061501</v>
      </c>
      <c r="BR66" s="21">
        <f>EXP(-LN(2)/2)*BR65+(1-EXP(-LN(2)/2))/(LN(2)/2)*BL66*BO66*VLOOKUP('Données projet'!$B$11,Paramètres!$A$1:$I$89,3,0)*0.475*44/12</f>
        <v>7.5500241273775243E-5</v>
      </c>
      <c r="BS66" s="22">
        <f t="shared" si="9"/>
        <v>7.021170364194159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8.8000000000000007</v>
      </c>
      <c r="BY66" s="12">
        <f>IF('Données projet'!$A$114&gt;35,BY65+BX66-CG65,IF(A66&lt;'Données projet'!$A$114,$BV$205^A66,IF(A66='Données projet'!$A$114,'Données projet'!$B$114,BY65+BX66-CG65)))</f>
        <v>271.39999999999998</v>
      </c>
      <c r="BZ66" s="13">
        <f>BY66*VLOOKUP('Données projet'!$B$12,Paramètres!$A$1:$I$89,3,0)*VLOOKUP('Données projet'!$B$12,Paramètres!$A$1:$I$89,5,0)</f>
        <v>275.19960000000003</v>
      </c>
      <c r="CA66" s="13">
        <f t="shared" si="39"/>
        <v>65.951527620662617</v>
      </c>
      <c r="CB66" s="20">
        <f t="shared" si="10"/>
        <v>594.17154727265404</v>
      </c>
      <c r="CC66" s="59">
        <f t="shared" si="11"/>
        <v>887.50488060598741</v>
      </c>
      <c r="CD66" s="59">
        <f ca="1">AVERAGE(OFFSET($CC$3,0,0,'Données projet'!$E$12+1,1))-AVERAGE(OFFSET($H$3,0,0,'Données projet'!$E$12+1,1))</f>
        <v>449.84356201138451</v>
      </c>
      <c r="CE66" s="59">
        <f t="shared" si="40"/>
        <v>306.61893266146666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4.2607106096242253</v>
      </c>
      <c r="CL66" s="21">
        <f>EXP(-LN(2)/25)*CL65+(1-EXP(-LN(2)/25))/(LN(2)/25)*Calculateur!CG66*Calculateur!CI66*VLOOKUP('Données projet'!$B$12,Paramètres!$A$1:$I$89,3,0)*0.475*44/12</f>
        <v>4.2036127896742226</v>
      </c>
      <c r="CM66" s="21">
        <f>EXP(-LN(2)/2)*CM65+(1-EXP(-LN(2)/2))/(LN(2)/2)*CG66*CJ66*VLOOKUP('Données projet'!$B$12,Paramètres!$A$1:$I$89,3,0)*0.475*44/12</f>
        <v>1.032013649812425E-4</v>
      </c>
      <c r="CN66" s="22">
        <f t="shared" si="12"/>
        <v>8.4644266006634279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8.8000000000000007</v>
      </c>
      <c r="CT66" s="12">
        <f>IF('Données projet'!$A$140&gt;35,CT65+CS66-DB65,IF(A66&lt;'Données projet'!$A$140,$CQ$205^A66,IF(A66='Données projet'!$A$140,'Données projet'!$B$140,CT65+CS66-DB65)))</f>
        <v>271.39999999999998</v>
      </c>
      <c r="CU66" s="17">
        <f>CT66*VLOOKUP('Données projet'!$B$13,Paramètres!$A$1:$I$89,3,0)*VLOOKUP('Données projet'!$B$13,Paramètres!$A$1:$I$89,5,0)</f>
        <v>292.13495999999998</v>
      </c>
      <c r="CV66" s="13">
        <f t="shared" si="41"/>
        <v>69.525108311202231</v>
      </c>
      <c r="CW66" s="20">
        <f t="shared" si="13"/>
        <v>629.89128564201053</v>
      </c>
      <c r="CX66" s="59">
        <f t="shared" si="14"/>
        <v>923.2246189753439</v>
      </c>
      <c r="CY66" s="59">
        <f ca="1">AVERAGE(OFFSET($CX$3,0,0,'Données projet'!$E$13+1,1))-AVERAGE(OFFSET($H$3,0,0,'Données projet'!$E$13+1,1))</f>
        <v>475.01366239340246</v>
      </c>
      <c r="CZ66" s="59">
        <f t="shared" si="42"/>
        <v>322.81767004794284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4.5229081856010946</v>
      </c>
      <c r="DG66" s="21">
        <f>EXP(-LN(2)/25)*DG65+(1-EXP(-LN(2)/25))/(LN(2)/25)*Calculateur!DB66*Calculateur!DD66*VLOOKUP('Données projet'!$B$13,Paramètres!$A$1:$I$89,3,0)*0.475*44/12</f>
        <v>4.4622966536541719</v>
      </c>
      <c r="DH66" s="21">
        <f>EXP(-LN(2)/2)*DH65+(1-EXP(-LN(2)/2))/(LN(2)/2)*DB66*DE66*VLOOKUP('Données projet'!$B$13,Paramètres!$A$1:$I$89,3,0)*0.475*44/12</f>
        <v>1.0955221821085745E-4</v>
      </c>
      <c r="DI66" s="22">
        <f t="shared" si="15"/>
        <v>8.9853143914734783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2.2737367544323206E-13</v>
      </c>
      <c r="DP66" s="17">
        <f>DO66*VLOOKUP('Données projet'!$B$14,Paramètres!$A$1:$I$89,3,0)*VLOOKUP('Données projet'!$B$14,Paramètres!$A$1:$I$89,5,0)</f>
        <v>2.0572770154103635E-13</v>
      </c>
      <c r="DQ66" s="13">
        <f t="shared" si="43"/>
        <v>2.8416956338469711E-12</v>
      </c>
      <c r="DR66" s="20">
        <f t="shared" si="16"/>
        <v>5.3075956424674458E-12</v>
      </c>
      <c r="DS66" s="59">
        <f t="shared" si="17"/>
        <v>293.3333333333386</v>
      </c>
      <c r="DT66" s="59">
        <f ca="1">AVERAGE(OFFSET($DS$3,0,0,'Données projet'!$E$14+1,1))-AVERAGE(OFFSET($H$3,0,0,'Données projet'!$E$14+1,1))</f>
        <v>436.23918637269577</v>
      </c>
      <c r="DU66" s="59">
        <f t="shared" si="44"/>
        <v>611.43967996341894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1.7135753531446185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5.0932118912128346E-5</v>
      </c>
      <c r="ED66" s="22">
        <f t="shared" si="18"/>
        <v>1.7136262852635307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271.00943999999998</v>
      </c>
      <c r="P67" s="13">
        <f t="shared" si="33"/>
        <v>65.063451383023647</v>
      </c>
      <c r="Q67" s="20">
        <f t="shared" ref="Q67:Q98" si="54">(O67+P67)*0.475*44/12</f>
        <v>585.32695249209939</v>
      </c>
      <c r="R67" s="59">
        <f t="shared" ref="R67:R130" si="55">Q67+(I67+J67)*44/12</f>
        <v>878.66028582543277</v>
      </c>
      <c r="S67" s="59">
        <f ca="1">AVERAGE(OFFSET($R$3,0,0,'Données projet'!$E$9+1,1))-AVERAGE(OFFSET($H$3,0,0,'Données projet'!$E$9+1,1))</f>
        <v>430.94515308997018</v>
      </c>
      <c r="T67" s="59">
        <f t="shared" si="34"/>
        <v>294.45557293177131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3.9843686422688327</v>
      </c>
      <c r="AA67" s="21">
        <f>EXP(-LN(2)/25)*AA66+(1-EXP(-LN(2)/25))/(LN(2)/25)*Calculateur!V67*Calculateur!X67*VLOOKUP('Données projet'!$B$9,Paramètres!$A$1:$I$89,3,0)*0.475*44/12</f>
        <v>3.8999571717953212</v>
      </c>
      <c r="AB67" s="21">
        <f>EXP(-LN(2)/2)*AB66+(1-EXP(-LN(2)/2))/(LN(2)/2)*V67*Y67*VLOOKUP('Données projet'!$B$9,Paramètres!$A$1:$I$89,3,0)*0.475*44/12</f>
        <v>6.9606336467208584E-5</v>
      </c>
      <c r="AC67" s="22">
        <f t="shared" si="3"/>
        <v>7.8843954204006206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330.49999999999989</v>
      </c>
      <c r="AJ67" s="13">
        <f>AI67*VLOOKUP('Données projet'!$B$10,Paramètres!$A$1:$I$89,3,0)*VLOOKUP('Données projet'!$B$10,Paramètres!$A$1:$I$89,5,0)</f>
        <v>154.67399999999995</v>
      </c>
      <c r="AK67" s="13">
        <f t="shared" si="35"/>
        <v>39.63886458604275</v>
      </c>
      <c r="AL67" s="20">
        <f t="shared" si="4"/>
        <v>338.42823915402437</v>
      </c>
      <c r="AM67" s="59">
        <f t="shared" si="5"/>
        <v>631.76157248735763</v>
      </c>
      <c r="AN67" s="59">
        <f ca="1">AVERAGE(OFFSET($AM$3,0,0,'Données projet'!$E$10+1,1))-AVERAGE(OFFSET($H$3,0,0,'Données projet'!$E$10+1,1))</f>
        <v>319.22903094674564</v>
      </c>
      <c r="AO67" s="59">
        <f t="shared" si="36"/>
        <v>254.58690973142848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4.6288525425370706</v>
      </c>
      <c r="AV67" s="21">
        <f>EXP(-LN(2)/25)*AV66+(1-EXP(-LN(2)/25))/(LN(2)/25)*Calculateur!AQ67*Calculateur!AS67*VLOOKUP('Données projet'!$B$10,Paramètres!$A$1:$I$89,3,0)*0.475*44/12</f>
        <v>4.3443568646484243</v>
      </c>
      <c r="AW67" s="21">
        <f>EXP(-LN(2)/2)*AW66+(1-EXP(-LN(2)/2))/(LN(2)/2)*AQ67*AT67*VLOOKUP('Données projet'!$B$10,Paramètres!$A$1:$I$89,3,0)*0.475*44/12</f>
        <v>8.4252385281359705E-5</v>
      </c>
      <c r="AX67" s="21">
        <f t="shared" si="6"/>
        <v>8.9732936595707766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</v>
      </c>
      <c r="BD67" s="12">
        <f>IF('Données projet'!$A$88&gt;35,BD66+BC67-BL66,IF(A67&lt;'Données projet'!$A$88,$BA$205^A67,IF(A67='Données projet'!$A$88,'Données projet'!$B$88,BD66+BC67-BL66)))</f>
        <v>246.00000000000009</v>
      </c>
      <c r="BE67" s="13">
        <f>BD67*VLOOKUP('Données projet'!$B$11,Paramètres!$A$1:$I$89,3,0)*VLOOKUP('Données projet'!$B$11,Paramètres!$A$1:$I$89,5,0)</f>
        <v>214.90560000000008</v>
      </c>
      <c r="BF67" s="13">
        <f t="shared" si="37"/>
        <v>53.006137800892326</v>
      </c>
      <c r="BG67" s="20">
        <f t="shared" si="7"/>
        <v>466.61294333655428</v>
      </c>
      <c r="BH67" s="59">
        <f t="shared" si="8"/>
        <v>759.94627666988754</v>
      </c>
      <c r="BI67" s="59">
        <f ca="1">AVERAGE(OFFSET($BH$3,0,0,'Données projet'!$E$11+1,1))-AVERAGE(OFFSET($H$3,0,0,'Données projet'!$E$11+1,1))</f>
        <v>395.21779046720553</v>
      </c>
      <c r="BJ67" s="59">
        <f t="shared" si="38"/>
        <v>360.05900046417361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2.4539144093773171</v>
      </c>
      <c r="BQ67" s="21">
        <f>EXP(-LN(2)/25)*BQ66+(1-EXP(-LN(2)/25))/(LN(2)/25)*Calculateur!BL67*Calculateur!BN67*VLOOKUP('Données projet'!$B$11,Paramètres!$A$1:$I$89,3,0)*0.475*44/12</f>
        <v>4.3945505836656578</v>
      </c>
      <c r="BR67" s="21">
        <f>EXP(-LN(2)/2)*BR66+(1-EXP(-LN(2)/2))/(LN(2)/2)*BL67*BO67*VLOOKUP('Données projet'!$B$11,Paramètres!$A$1:$I$89,3,0)*0.475*44/12</f>
        <v>5.3386732585906936E-5</v>
      </c>
      <c r="BS67" s="22">
        <f t="shared" si="9"/>
        <v>6.8485183797755607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8.8000000000000007</v>
      </c>
      <c r="BY67" s="12">
        <f>IF('Données projet'!$A$114&gt;35,BY66+BX67-CG66,IF(A67&lt;'Données projet'!$A$114,$BV$205^A67,IF(A67='Données projet'!$A$114,'Données projet'!$B$114,BY66+BX67-CG66)))</f>
        <v>280.2</v>
      </c>
      <c r="BZ67" s="13">
        <f>BY67*VLOOKUP('Données projet'!$B$12,Paramètres!$A$1:$I$89,3,0)*VLOOKUP('Données projet'!$B$12,Paramètres!$A$1:$I$89,5,0)</f>
        <v>284.12279999999998</v>
      </c>
      <c r="CA67" s="13">
        <f t="shared" si="39"/>
        <v>67.837532462585557</v>
      </c>
      <c r="CB67" s="20">
        <f t="shared" si="10"/>
        <v>612.99757903900309</v>
      </c>
      <c r="CC67" s="59">
        <f t="shared" si="11"/>
        <v>906.33091237233634</v>
      </c>
      <c r="CD67" s="59">
        <f ca="1">AVERAGE(OFFSET($CC$3,0,0,'Données projet'!$E$12+1,1))-AVERAGE(OFFSET($H$3,0,0,'Données projet'!$E$12+1,1))</f>
        <v>449.84356201138451</v>
      </c>
      <c r="CE67" s="59">
        <f t="shared" si="40"/>
        <v>306.61893266146666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4.177160673346358</v>
      </c>
      <c r="CL67" s="21">
        <f>EXP(-LN(2)/25)*CL66+(1-EXP(-LN(2)/25))/(LN(2)/25)*Calculateur!CG67*Calculateur!CI67*VLOOKUP('Données projet'!$B$12,Paramètres!$A$1:$I$89,3,0)*0.475*44/12</f>
        <v>4.088664776882192</v>
      </c>
      <c r="CM67" s="21">
        <f>EXP(-LN(2)/2)*CM66+(1-EXP(-LN(2)/2))/(LN(2)/2)*CG67*CJ67*VLOOKUP('Données projet'!$B$12,Paramètres!$A$1:$I$89,3,0)*0.475*44/12</f>
        <v>7.2974385005944467E-5</v>
      </c>
      <c r="CN67" s="22">
        <f t="shared" si="12"/>
        <v>8.2658984246135567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8.8000000000000007</v>
      </c>
      <c r="CT67" s="12">
        <f>IF('Données projet'!$A$140&gt;35,CT66+CS67-DB66,IF(A67&lt;'Données projet'!$A$140,$CQ$205^A67,IF(A67='Données projet'!$A$140,'Données projet'!$B$140,CT66+CS67-DB66)))</f>
        <v>280.2</v>
      </c>
      <c r="CU67" s="17">
        <f>CT67*VLOOKUP('Données projet'!$B$13,Paramètres!$A$1:$I$89,3,0)*VLOOKUP('Données projet'!$B$13,Paramètres!$A$1:$I$89,5,0)</f>
        <v>301.60727999999995</v>
      </c>
      <c r="CV67" s="13">
        <f t="shared" si="41"/>
        <v>71.513306244453176</v>
      </c>
      <c r="CW67" s="20">
        <f t="shared" si="13"/>
        <v>649.85168770908911</v>
      </c>
      <c r="CX67" s="59">
        <f t="shared" si="14"/>
        <v>943.18502104242248</v>
      </c>
      <c r="CY67" s="59">
        <f ca="1">AVERAGE(OFFSET($CX$3,0,0,'Données projet'!$E$13+1,1))-AVERAGE(OFFSET($H$3,0,0,'Données projet'!$E$13+1,1))</f>
        <v>475.01366239340246</v>
      </c>
      <c r="CZ67" s="59">
        <f t="shared" si="42"/>
        <v>322.81767004794284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4.4342167147830516</v>
      </c>
      <c r="DG67" s="21">
        <f>EXP(-LN(2)/25)*DG66+(1-EXP(-LN(2)/25))/(LN(2)/25)*Calculateur!DB67*Calculateur!DD67*VLOOKUP('Données projet'!$B$13,Paramètres!$A$1:$I$89,3,0)*0.475*44/12</f>
        <v>4.3402749169980162</v>
      </c>
      <c r="DH67" s="21">
        <f>EXP(-LN(2)/2)*DH66+(1-EXP(-LN(2)/2))/(LN(2)/2)*DB67*DE67*VLOOKUP('Données projet'!$B$13,Paramètres!$A$1:$I$89,3,0)*0.475*44/12</f>
        <v>7.7465116390925683E-5</v>
      </c>
      <c r="DI67" s="22">
        <f t="shared" si="15"/>
        <v>8.7745690968974586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2.2737367544323206E-13</v>
      </c>
      <c r="DP67" s="17">
        <f>DO67*VLOOKUP('Données projet'!$B$14,Paramètres!$A$1:$I$89,3,0)*VLOOKUP('Données projet'!$B$14,Paramètres!$A$1:$I$89,5,0)</f>
        <v>2.0572770154103635E-13</v>
      </c>
      <c r="DQ67" s="13">
        <f t="shared" si="43"/>
        <v>2.8416956338469711E-12</v>
      </c>
      <c r="DR67" s="20">
        <f t="shared" si="16"/>
        <v>5.3075956424674458E-12</v>
      </c>
      <c r="DS67" s="59">
        <f t="shared" si="17"/>
        <v>293.3333333333386</v>
      </c>
      <c r="DT67" s="59">
        <f ca="1">AVERAGE(OFFSET($DS$3,0,0,'Données projet'!$E$14+1,1))-AVERAGE(OFFSET($H$3,0,0,'Données projet'!$E$14+1,1))</f>
        <v>436.23918637269577</v>
      </c>
      <c r="DU67" s="59">
        <f t="shared" si="44"/>
        <v>611.43967996341894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1.6799731856472153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3.6014446662965557E-5</v>
      </c>
      <c r="ED67" s="22">
        <f t="shared" si="18"/>
        <v>1.6800092000938782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279.52080000000001</v>
      </c>
      <c r="P68" s="13">
        <f t="shared" si="33"/>
        <v>66.865730052421583</v>
      </c>
      <c r="Q68" s="20">
        <f t="shared" si="54"/>
        <v>603.28987317463418</v>
      </c>
      <c r="R68" s="59">
        <f t="shared" si="55"/>
        <v>896.62320650796755</v>
      </c>
      <c r="S68" s="59">
        <f ca="1">AVERAGE(OFFSET($R$3,0,0,'Données projet'!$E$9+1,1))-AVERAGE(OFFSET($H$3,0,0,'Données projet'!$E$9+1,1))</f>
        <v>430.94515308997018</v>
      </c>
      <c r="T68" s="59">
        <f t="shared" si="34"/>
        <v>294.45557293177131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3.9062376034188477</v>
      </c>
      <c r="AA68" s="21">
        <f>EXP(-LN(2)/25)*AA67+(1-EXP(-LN(2)/25))/(LN(2)/25)*Calculateur!V68*Calculateur!X68*VLOOKUP('Données projet'!$B$9,Paramètres!$A$1:$I$89,3,0)*0.475*44/12</f>
        <v>3.7933126378427438</v>
      </c>
      <c r="AB68" s="21">
        <f>EXP(-LN(2)/2)*AB67+(1-EXP(-LN(2)/2))/(LN(2)/2)*V68*Y68*VLOOKUP('Données projet'!$B$9,Paramètres!$A$1:$I$89,3,0)*0.475*44/12</f>
        <v>4.9219112529515665E-5</v>
      </c>
      <c r="AC68" s="22">
        <f t="shared" ref="AC68:AC131" si="57">SUM(Z68:AB68)</f>
        <v>7.6995994603741211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345.99999999999989</v>
      </c>
      <c r="AJ68" s="13">
        <f>AI68*VLOOKUP('Données projet'!$B$10,Paramètres!$A$1:$I$89,3,0)*VLOOKUP('Données projet'!$B$10,Paramètres!$A$1:$I$89,5,0)</f>
        <v>161.92799999999994</v>
      </c>
      <c r="AK68" s="13">
        <f t="shared" si="35"/>
        <v>41.277077571585316</v>
      </c>
      <c r="AL68" s="20">
        <f t="shared" ref="AL68:AL131" si="58">(AJ68+AK68)*0.475*44/12</f>
        <v>353.91551010384433</v>
      </c>
      <c r="AM68" s="59">
        <f t="shared" ref="AM68:AM131" si="59">AL68+(AD68+AE68)*44/12</f>
        <v>647.24884343717758</v>
      </c>
      <c r="AN68" s="59">
        <f ca="1">AVERAGE(OFFSET($AM$3,0,0,'Données projet'!$E$10+1,1))-AVERAGE(OFFSET($H$3,0,0,'Données projet'!$E$10+1,1))</f>
        <v>319.22903094674564</v>
      </c>
      <c r="AO68" s="59">
        <f t="shared" si="36"/>
        <v>254.58690973142848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4.5380835674991902</v>
      </c>
      <c r="AV68" s="21">
        <f>EXP(-LN(2)/25)*AV67+(1-EXP(-LN(2)/25))/(LN(2)/25)*Calculateur!AQ68*Calculateur!AS68*VLOOKUP('Données projet'!$B$10,Paramètres!$A$1:$I$89,3,0)*0.475*44/12</f>
        <v>4.2255601977248149</v>
      </c>
      <c r="AW68" s="21">
        <f>EXP(-LN(2)/2)*AW67+(1-EXP(-LN(2)/2))/(LN(2)/2)*AQ68*AT68*VLOOKUP('Données projet'!$B$10,Paramètres!$A$1:$I$89,3,0)*0.475*44/12</f>
        <v>5.9575432963591118E-5</v>
      </c>
      <c r="AX68" s="21">
        <f t="shared" ref="AX68:AX131" si="60">SUM(AU68:AW68)</f>
        <v>8.7637033406569689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252</v>
      </c>
      <c r="BB68" s="12">
        <f>VLOOKUP(A68,'Données projet'!$A$87:$I$107,9,0)</f>
        <v>6</v>
      </c>
      <c r="BC68" s="12">
        <f t="array" ref="BC68">INDEX(BB:BB,MIN(IF(ISNUMBER(BB68:BB264),ROW(BB68:BB264),"")))</f>
        <v>6</v>
      </c>
      <c r="BD68" s="12">
        <f>IF('Données projet'!$A$88&gt;35,BD67+BC68-BL67,IF(A68&lt;'Données projet'!$A$88,$BA$205^A68,IF(A68='Données projet'!$A$88,'Données projet'!$B$88,BD67+BC68-BL67)))</f>
        <v>252.00000000000009</v>
      </c>
      <c r="BE68" s="13">
        <f>BD68*VLOOKUP('Données projet'!$B$11,Paramètres!$A$1:$I$89,3,0)*VLOOKUP('Données projet'!$B$11,Paramètres!$A$1:$I$89,5,0)</f>
        <v>220.14720000000011</v>
      </c>
      <c r="BF68" s="13">
        <f t="shared" si="37"/>
        <v>54.146877667769687</v>
      </c>
      <c r="BG68" s="20">
        <f t="shared" ref="BG68:BG131" si="61">(BE68+BF68)*0.475*44/12</f>
        <v>477.72885193803239</v>
      </c>
      <c r="BH68" s="59">
        <f t="shared" ref="BH68:BH131" si="62">BG68+(AY68+AZ68)*44/12</f>
        <v>771.06218527136571</v>
      </c>
      <c r="BI68" s="59">
        <f ca="1">AVERAGE(OFFSET($BH$3,0,0,'Données projet'!$E$11+1,1))-AVERAGE(OFFSET($H$3,0,0,'Données projet'!$E$11+1,1))</f>
        <v>395.21779046720553</v>
      </c>
      <c r="BJ68" s="59">
        <f t="shared" si="38"/>
        <v>360.05900046417361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22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2.4057946445494269</v>
      </c>
      <c r="BQ68" s="21">
        <f>EXP(-LN(2)/25)*BQ67+(1-EXP(-LN(2)/25))/(LN(2)/25)*Calculateur!BL68*Calculateur!BN68*VLOOKUP('Données projet'!$B$11,Paramètres!$A$1:$I$89,3,0)*0.475*44/12</f>
        <v>4.2743813668559492</v>
      </c>
      <c r="BR68" s="21">
        <f>EXP(-LN(2)/2)*BR67+(1-EXP(-LN(2)/2))/(LN(2)/2)*BL68*BO68*VLOOKUP('Données projet'!$B$11,Paramètres!$A$1:$I$89,3,0)*0.475*44/12</f>
        <v>3.7750120636887621E-5</v>
      </c>
      <c r="BS68" s="22">
        <f t="shared" ref="BS68:BS131" si="63">SUM(BP68:BR68)</f>
        <v>6.6802137615260122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289</v>
      </c>
      <c r="BW68" s="12">
        <f>VLOOKUP(A68,'Données projet'!$A$113:$I$133,9,0)</f>
        <v>8.8000000000000007</v>
      </c>
      <c r="BX68" s="12">
        <f t="array" ref="BX68">INDEX(BW:BW,MIN(IF(ISNUMBER(BW68:BW264),ROW(BW68:BW264),"")))</f>
        <v>8.8000000000000007</v>
      </c>
      <c r="BY68" s="12">
        <f>IF('Données projet'!$A$114&gt;35,BY67+BX68-CG67,IF(A68&lt;'Données projet'!$A$114,$BV$205^A68,IF(A68='Données projet'!$A$114,'Données projet'!$B$114,BY67+BX68-CG67)))</f>
        <v>289</v>
      </c>
      <c r="BZ68" s="13">
        <f>BY68*VLOOKUP('Données projet'!$B$12,Paramètres!$A$1:$I$89,3,0)*VLOOKUP('Données projet'!$B$12,Paramètres!$A$1:$I$89,5,0)</f>
        <v>293.04599999999999</v>
      </c>
      <c r="CA68" s="13">
        <f t="shared" si="39"/>
        <v>69.716654076072615</v>
      </c>
      <c r="CB68" s="20">
        <f t="shared" ref="CB68:CB131" si="64">(BZ68+CA68)*0.475*44/12</f>
        <v>631.81162251582646</v>
      </c>
      <c r="CC68" s="59">
        <f t="shared" ref="CC68:CC131" si="65">CB68+(BT68+BU68)*44/12</f>
        <v>925.14495584915971</v>
      </c>
      <c r="CD68" s="59">
        <f ca="1">AVERAGE(OFFSET($CC$3,0,0,'Données projet'!$E$12+1,1))-AVERAGE(OFFSET($H$3,0,0,'Données projet'!$E$12+1,1))</f>
        <v>449.84356201138451</v>
      </c>
      <c r="CE68" s="59">
        <f t="shared" si="40"/>
        <v>306.61893266146666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28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4.0952491003584708</v>
      </c>
      <c r="CL68" s="21">
        <f>EXP(-LN(2)/25)*CL67+(1-EXP(-LN(2)/25))/(LN(2)/25)*Calculateur!CG68*Calculateur!CI68*VLOOKUP('Données projet'!$B$12,Paramètres!$A$1:$I$89,3,0)*0.475*44/12</f>
        <v>3.9768600235448126</v>
      </c>
      <c r="CM68" s="21">
        <f>EXP(-LN(2)/2)*CM67+(1-EXP(-LN(2)/2))/(LN(2)/2)*CG68*CJ68*VLOOKUP('Données projet'!$B$12,Paramètres!$A$1:$I$89,3,0)*0.475*44/12</f>
        <v>5.1600682490621249E-5</v>
      </c>
      <c r="CN68" s="22">
        <f t="shared" ref="CN68:CN131" si="66">SUM(CK68:CM68)</f>
        <v>8.0721607245857747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289</v>
      </c>
      <c r="CR68" s="12">
        <f>VLOOKUP(A68,'Données projet'!$A$139:$I$159,9,0)</f>
        <v>8.8000000000000007</v>
      </c>
      <c r="CS68" s="12">
        <f t="array" ref="CS68">INDEX(CR:CR,MIN(IF(ISNUMBER(CR68:CR264),ROW(CR68:CR264),"")))</f>
        <v>8.8000000000000007</v>
      </c>
      <c r="CT68" s="12">
        <f>IF('Données projet'!$A$140&gt;35,CT67+CS68-DB67,IF(A68&lt;'Données projet'!$A$140,$CQ$205^A68,IF(A68='Données projet'!$A$140,'Données projet'!$B$140,CT67+CS68-DB67)))</f>
        <v>289</v>
      </c>
      <c r="CU68" s="17">
        <f>CT68*VLOOKUP('Données projet'!$B$13,Paramètres!$A$1:$I$89,3,0)*VLOOKUP('Données projet'!$B$13,Paramètres!$A$1:$I$89,5,0)</f>
        <v>311.07960000000003</v>
      </c>
      <c r="CV68" s="13">
        <f t="shared" si="41"/>
        <v>73.49424798183118</v>
      </c>
      <c r="CW68" s="20">
        <f t="shared" ref="CW68:CW131" si="67">(CU68+CV68)*0.475*44/12</f>
        <v>669.79945190168928</v>
      </c>
      <c r="CX68" s="59">
        <f t="shared" ref="CX68:CX131" si="68">CW68+(CO68+CP68)*44/12</f>
        <v>963.13278523502254</v>
      </c>
      <c r="CY68" s="59">
        <f ca="1">AVERAGE(OFFSET($CX$3,0,0,'Données projet'!$E$13+1,1))-AVERAGE(OFFSET($H$3,0,0,'Données projet'!$E$13+1,1))</f>
        <v>475.01366239340246</v>
      </c>
      <c r="CZ68" s="59">
        <f t="shared" si="42"/>
        <v>322.81767004794284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4.3472644296112941</v>
      </c>
      <c r="DG68" s="21">
        <f>EXP(-LN(2)/25)*DG67+(1-EXP(-LN(2)/25))/(LN(2)/25)*Calculateur!DB68*Calculateur!DD68*VLOOKUP('Données projet'!$B$13,Paramètres!$A$1:$I$89,3,0)*0.475*44/12</f>
        <v>4.2215898711475672</v>
      </c>
      <c r="DH68" s="21">
        <f>EXP(-LN(2)/2)*DH67+(1-EXP(-LN(2)/2))/(LN(2)/2)*DB68*DE68*VLOOKUP('Données projet'!$B$13,Paramètres!$A$1:$I$89,3,0)*0.475*44/12</f>
        <v>5.4776109105428724E-5</v>
      </c>
      <c r="DI68" s="22">
        <f t="shared" ref="DI68:DI131" si="69">SUM(DF68:DH68)</f>
        <v>8.5689090768679677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2.2737367544323206E-13</v>
      </c>
      <c r="DP68" s="17">
        <f>DO68*VLOOKUP('Données projet'!$B$14,Paramètres!$A$1:$I$89,3,0)*VLOOKUP('Données projet'!$B$14,Paramètres!$A$1:$I$89,5,0)</f>
        <v>2.0572770154103635E-13</v>
      </c>
      <c r="DQ68" s="13">
        <f t="shared" si="43"/>
        <v>2.8416956338469711E-12</v>
      </c>
      <c r="DR68" s="20">
        <f t="shared" ref="DR68:DR131" si="70">(DP68+DQ68)*0.475*44/12</f>
        <v>5.3075956424674458E-12</v>
      </c>
      <c r="DS68" s="59">
        <f t="shared" ref="DS68:DS131" si="71">DR68+(DJ68+DK68)*44/12</f>
        <v>293.3333333333386</v>
      </c>
      <c r="DT68" s="59">
        <f ca="1">AVERAGE(OFFSET($DS$3,0,0,'Données projet'!$E$14+1,1))-AVERAGE(OFFSET($H$3,0,0,'Données projet'!$E$14+1,1))</f>
        <v>436.23918637269577</v>
      </c>
      <c r="DU68" s="59">
        <f t="shared" si="44"/>
        <v>611.43967996341894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1.6470299361591376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2.5466059456064173E-5</v>
      </c>
      <c r="ED68" s="22">
        <f t="shared" ref="ED68:ED131" si="72">SUM(EA68:EC68)</f>
        <v>1.6470554022185937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260.37024000000002</v>
      </c>
      <c r="P69" s="13">
        <f t="shared" ref="P69:P132" si="87">EXP(-1.0587+0.8836*LN(O69)+0.284)</f>
        <v>62.801291625234725</v>
      </c>
      <c r="Q69" s="20">
        <f t="shared" si="54"/>
        <v>562.85708424728386</v>
      </c>
      <c r="R69" s="59">
        <f t="shared" si="55"/>
        <v>856.19041758061712</v>
      </c>
      <c r="S69" s="59">
        <f ca="1">AVERAGE(OFFSET($R$3,0,0,'Données projet'!$E$9+1,1))-AVERAGE(OFFSET($H$3,0,0,'Données projet'!$E$9+1,1))</f>
        <v>430.94515308997018</v>
      </c>
      <c r="T69" s="59">
        <f t="shared" ref="T69:T132" si="88">$T$3</f>
        <v>294.45557293177131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3.8296386665854829</v>
      </c>
      <c r="AA69" s="21">
        <f>EXP(-LN(2)/25)*AA68+(1-EXP(-LN(2)/25))/(LN(2)/25)*Calculateur!V69*Calculateur!X69*VLOOKUP('Données projet'!$B$9,Paramètres!$A$1:$I$89,3,0)*0.475*44/12</f>
        <v>3.689584304279292</v>
      </c>
      <c r="AB69" s="21">
        <f>EXP(-LN(2)/2)*AB68+(1-EXP(-LN(2)/2))/(LN(2)/2)*V69*Y69*VLOOKUP('Données projet'!$B$9,Paramètres!$A$1:$I$89,3,0)*0.475*44/12</f>
        <v>3.4803168233604292E-5</v>
      </c>
      <c r="AC69" s="22">
        <f t="shared" si="57"/>
        <v>7.519257774033008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361.49999999999989</v>
      </c>
      <c r="AJ69" s="13">
        <f>AI69*VLOOKUP('Données projet'!$B$10,Paramètres!$A$1:$I$89,3,0)*VLOOKUP('Données projet'!$B$10,Paramètres!$A$1:$I$89,5,0)</f>
        <v>169.18199999999996</v>
      </c>
      <c r="AK69" s="13">
        <f t="shared" ref="AK69:AK132" si="89">EXP(-1.0587+0.8836*LN(AJ69)+0.284)</f>
        <v>42.906767398977124</v>
      </c>
      <c r="AL69" s="20">
        <f t="shared" si="58"/>
        <v>369.38793655321842</v>
      </c>
      <c r="AM69" s="59">
        <f t="shared" si="59"/>
        <v>662.72126988655168</v>
      </c>
      <c r="AN69" s="59">
        <f ca="1">AVERAGE(OFFSET($AM$3,0,0,'Données projet'!$E$10+1,1))-AVERAGE(OFFSET($H$3,0,0,'Données projet'!$E$10+1,1))</f>
        <v>319.22903094674564</v>
      </c>
      <c r="AO69" s="59">
        <f t="shared" ref="AO69:AO132" si="90">$AO$3</f>
        <v>254.58690973142848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4.4490945166981941</v>
      </c>
      <c r="AV69" s="21">
        <f>EXP(-LN(2)/25)*AV68+(1-EXP(-LN(2)/25))/(LN(2)/25)*Calculateur!AQ69*Calculateur!AS69*VLOOKUP('Données projet'!$B$10,Paramètres!$A$1:$I$89,3,0)*0.475*44/12</f>
        <v>4.1100120319054767</v>
      </c>
      <c r="AW69" s="21">
        <f>EXP(-LN(2)/2)*AW68+(1-EXP(-LN(2)/2))/(LN(2)/2)*AQ69*AT69*VLOOKUP('Données projet'!$B$10,Paramètres!$A$1:$I$89,3,0)*0.475*44/12</f>
        <v>4.212619264067986E-5</v>
      </c>
      <c r="AX69" s="21">
        <f t="shared" si="60"/>
        <v>8.5591486747963117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5.4</v>
      </c>
      <c r="BD69" s="12">
        <f>IF('Données projet'!$A$88&gt;35,BD68+BC69-BL68,IF(A69&lt;'Données projet'!$A$88,$BA$205^A69,IF(A69='Données projet'!$A$88,'Données projet'!$B$88,BD68+BC69-BL68)))</f>
        <v>235.40000000000009</v>
      </c>
      <c r="BE69" s="13">
        <f>BD69*VLOOKUP('Données projet'!$B$11,Paramètres!$A$1:$I$89,3,0)*VLOOKUP('Données projet'!$B$11,Paramètres!$A$1:$I$89,5,0)</f>
        <v>205.64544000000012</v>
      </c>
      <c r="BF69" s="13">
        <f t="shared" ref="BF69:BF132" si="91">EXP(-1.0587+0.8836*LN(BE69)+0.284)</f>
        <v>50.982847417614401</v>
      </c>
      <c r="BG69" s="20">
        <f t="shared" si="61"/>
        <v>446.96093391901189</v>
      </c>
      <c r="BH69" s="59">
        <f t="shared" si="62"/>
        <v>740.29426725234521</v>
      </c>
      <c r="BI69" s="59">
        <f ca="1">AVERAGE(OFFSET($BH$3,0,0,'Données projet'!$E$11+1,1))-AVERAGE(OFFSET($H$3,0,0,'Données projet'!$E$11+1,1))</f>
        <v>395.21779046720553</v>
      </c>
      <c r="BJ69" s="59">
        <f t="shared" ref="BJ69:BJ132" si="92">$BJ$3</f>
        <v>360.05900046417361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2.3586184789596532</v>
      </c>
      <c r="BQ69" s="21">
        <f>EXP(-LN(2)/25)*BQ68+(1-EXP(-LN(2)/25))/(LN(2)/25)*Calculateur!BL69*Calculateur!BN69*VLOOKUP('Données projet'!$B$11,Paramètres!$A$1:$I$89,3,0)*0.475*44/12</f>
        <v>4.1574981835993263</v>
      </c>
      <c r="BR69" s="21">
        <f>EXP(-LN(2)/2)*BR68+(1-EXP(-LN(2)/2))/(LN(2)/2)*BL69*BO69*VLOOKUP('Données projet'!$B$11,Paramètres!$A$1:$I$89,3,0)*0.475*44/12</f>
        <v>2.6693366292953468E-5</v>
      </c>
      <c r="BS69" s="22">
        <f t="shared" si="63"/>
        <v>6.5161433559252728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269.2</v>
      </c>
      <c r="BZ69" s="13">
        <f>BY69*VLOOKUP('Données projet'!$B$12,Paramètres!$A$1:$I$89,3,0)*VLOOKUP('Données projet'!$B$12,Paramètres!$A$1:$I$89,5,0)</f>
        <v>272.96879999999999</v>
      </c>
      <c r="CA69" s="13">
        <f t="shared" ref="CA69:CA132" si="93">EXP(-1.0587+0.8836*LN(BZ69)+0.284)</f>
        <v>65.478922017818945</v>
      </c>
      <c r="CB69" s="20">
        <f t="shared" si="64"/>
        <v>589.46311584770126</v>
      </c>
      <c r="CC69" s="59">
        <f t="shared" si="65"/>
        <v>882.79644918103463</v>
      </c>
      <c r="CD69" s="59">
        <f ca="1">AVERAGE(OFFSET($CC$3,0,0,'Données projet'!$E$12+1,1))-AVERAGE(OFFSET($H$3,0,0,'Données projet'!$E$12+1,1))</f>
        <v>449.84356201138451</v>
      </c>
      <c r="CE69" s="59">
        <f t="shared" ref="CE69:CE132" si="94">$CE$3</f>
        <v>306.61893266146666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4.0149437633557499</v>
      </c>
      <c r="CL69" s="21">
        <f>EXP(-LN(2)/25)*CL68+(1-EXP(-LN(2)/25))/(LN(2)/25)*Calculateur!CG69*Calculateur!CI69*VLOOKUP('Données projet'!$B$12,Paramètres!$A$1:$I$89,3,0)*0.475*44/12</f>
        <v>3.8681125770670004</v>
      </c>
      <c r="CM69" s="21">
        <f>EXP(-LN(2)/2)*CM68+(1-EXP(-LN(2)/2))/(LN(2)/2)*CG69*CJ69*VLOOKUP('Données projet'!$B$12,Paramètres!$A$1:$I$89,3,0)*0.475*44/12</f>
        <v>3.6487192502972233E-5</v>
      </c>
      <c r="CN69" s="22">
        <f t="shared" si="66"/>
        <v>7.8830928276152532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8.1999999999999993</v>
      </c>
      <c r="CT69" s="12">
        <f>IF('Données projet'!$A$140&gt;35,CT68+CS69-DB68,IF(A69&lt;'Données projet'!$A$140,$CQ$205^A69,IF(A69='Données projet'!$A$140,'Données projet'!$B$140,CT68+CS69-DB68)))</f>
        <v>269.2</v>
      </c>
      <c r="CU69" s="17">
        <f>CT69*VLOOKUP('Données projet'!$B$13,Paramètres!$A$1:$I$89,3,0)*VLOOKUP('Données projet'!$B$13,Paramètres!$A$1:$I$89,5,0)</f>
        <v>289.76688000000001</v>
      </c>
      <c r="CV69" s="13">
        <f t="shared" ref="CV69:CV132" si="95">EXP(-1.0587+0.8836*LN(CU69)+0.284)</f>
        <v>69.026894594073823</v>
      </c>
      <c r="CW69" s="20">
        <f t="shared" si="67"/>
        <v>624.8991574180119</v>
      </c>
      <c r="CX69" s="59">
        <f t="shared" si="68"/>
        <v>918.23249075134527</v>
      </c>
      <c r="CY69" s="59">
        <f ca="1">AVERAGE(OFFSET($CX$3,0,0,'Données projet'!$E$13+1,1))-AVERAGE(OFFSET($H$3,0,0,'Données projet'!$E$13+1,1))</f>
        <v>475.01366239340246</v>
      </c>
      <c r="CZ69" s="59">
        <f t="shared" ref="CZ69:CZ132" si="96">$CZ$3</f>
        <v>322.81767004794284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4.2620172257160975</v>
      </c>
      <c r="DG69" s="21">
        <f>EXP(-LN(2)/25)*DG68+(1-EXP(-LN(2)/25))/(LN(2)/25)*Calculateur!DB69*Calculateur!DD69*VLOOKUP('Données projet'!$B$13,Paramètres!$A$1:$I$89,3,0)*0.475*44/12</f>
        <v>4.1061502741172742</v>
      </c>
      <c r="DH69" s="21">
        <f>EXP(-LN(2)/2)*DH68+(1-EXP(-LN(2)/2))/(LN(2)/2)*DB69*DE69*VLOOKUP('Données projet'!$B$13,Paramètres!$A$1:$I$89,3,0)*0.475*44/12</f>
        <v>3.8732558195462842E-5</v>
      </c>
      <c r="DI69" s="22">
        <f t="shared" si="69"/>
        <v>8.368206232391568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2.2737367544323206E-13</v>
      </c>
      <c r="DP69" s="17">
        <f>DO69*VLOOKUP('Données projet'!$B$14,Paramètres!$A$1:$I$89,3,0)*VLOOKUP('Données projet'!$B$14,Paramètres!$A$1:$I$89,5,0)</f>
        <v>2.0572770154103635E-13</v>
      </c>
      <c r="DQ69" s="13">
        <f t="shared" ref="DQ69:DQ132" si="97">EXP(-1.0587+0.8836*LN(DP69)+0.284)</f>
        <v>2.8416956338469711E-12</v>
      </c>
      <c r="DR69" s="20">
        <f t="shared" si="70"/>
        <v>5.3075956424674458E-12</v>
      </c>
      <c r="DS69" s="59">
        <f t="shared" si="71"/>
        <v>293.3333333333386</v>
      </c>
      <c r="DT69" s="59">
        <f ca="1">AVERAGE(OFFSET($DS$3,0,0,'Données projet'!$E$14+1,1))-AVERAGE(OFFSET($H$3,0,0,'Données projet'!$E$14+1,1))</f>
        <v>436.23918637269577</v>
      </c>
      <c r="DU69" s="59">
        <f t="shared" ref="DU69:DU132" si="98">$DU$3</f>
        <v>611.43967996341894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1.614732683700123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1.8007223331482778E-5</v>
      </c>
      <c r="ED69" s="22">
        <f t="shared" si="72"/>
        <v>1.6147506909234546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268.30127999999996</v>
      </c>
      <c r="P70" s="13">
        <f t="shared" si="87"/>
        <v>64.488625713042012</v>
      </c>
      <c r="Q70" s="20">
        <f t="shared" si="54"/>
        <v>579.60908578354815</v>
      </c>
      <c r="R70" s="59">
        <f t="shared" si="55"/>
        <v>872.94241911688141</v>
      </c>
      <c r="S70" s="59">
        <f ca="1">AVERAGE(OFFSET($R$3,0,0,'Données projet'!$E$9+1,1))-AVERAGE(OFFSET($H$3,0,0,'Données projet'!$E$9+1,1))</f>
        <v>430.94515308997018</v>
      </c>
      <c r="T70" s="59">
        <f t="shared" si="88"/>
        <v>294.45557293177131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3.7545417881826824</v>
      </c>
      <c r="AA70" s="21">
        <f>EXP(-LN(2)/25)*AA69+(1-EXP(-LN(2)/25))/(LN(2)/25)*Calculateur!V70*Calculateur!X70*VLOOKUP('Données projet'!$B$9,Paramètres!$A$1:$I$89,3,0)*0.475*44/12</f>
        <v>3.5886924274519689</v>
      </c>
      <c r="AB70" s="21">
        <f>EXP(-LN(2)/2)*AB69+(1-EXP(-LN(2)/2))/(LN(2)/2)*V70*Y70*VLOOKUP('Données projet'!$B$9,Paramètres!$A$1:$I$89,3,0)*0.475*44/12</f>
        <v>2.4609556264757832E-5</v>
      </c>
      <c r="AC70" s="22">
        <f t="shared" si="57"/>
        <v>7.3432588251909161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376.99999999999989</v>
      </c>
      <c r="AJ70" s="13">
        <f>AI70*VLOOKUP('Données projet'!$B$10,Paramètres!$A$1:$I$89,3,0)*VLOOKUP('Données projet'!$B$10,Paramètres!$A$1:$I$89,5,0)</f>
        <v>176.43599999999992</v>
      </c>
      <c r="AK70" s="13">
        <f t="shared" si="89"/>
        <v>44.52834129105058</v>
      </c>
      <c r="AL70" s="20">
        <f t="shared" si="58"/>
        <v>384.84622774857962</v>
      </c>
      <c r="AM70" s="59">
        <f t="shared" si="59"/>
        <v>678.17956108191288</v>
      </c>
      <c r="AN70" s="59">
        <f ca="1">AVERAGE(OFFSET($AM$3,0,0,'Données projet'!$E$10+1,1))-AVERAGE(OFFSET($H$3,0,0,'Données projet'!$E$10+1,1))</f>
        <v>319.22903094674564</v>
      </c>
      <c r="AO70" s="59">
        <f t="shared" si="90"/>
        <v>254.58690973142848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4.3618504869054444</v>
      </c>
      <c r="AV70" s="21">
        <f>EXP(-LN(2)/25)*AV69+(1-EXP(-LN(2)/25))/(LN(2)/25)*Calculateur!AQ70*Calculateur!AS70*VLOOKUP('Données projet'!$B$10,Paramètres!$A$1:$I$89,3,0)*0.475*44/12</f>
        <v>3.9976235367568824</v>
      </c>
      <c r="AW70" s="21">
        <f>EXP(-LN(2)/2)*AW69+(1-EXP(-LN(2)/2))/(LN(2)/2)*AQ70*AT70*VLOOKUP('Données projet'!$B$10,Paramètres!$A$1:$I$89,3,0)*0.475*44/12</f>
        <v>2.9787716481795566E-5</v>
      </c>
      <c r="AX70" s="21">
        <f t="shared" si="60"/>
        <v>8.3595038113788078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5.4</v>
      </c>
      <c r="BD70" s="12">
        <f>IF('Données projet'!$A$88&gt;35,BD69+BC70-BL69,IF(A70&lt;'Données projet'!$A$88,$BA$205^A70,IF(A70='Données projet'!$A$88,'Données projet'!$B$88,BD69+BC70-BL69)))</f>
        <v>240.8000000000001</v>
      </c>
      <c r="BE70" s="13">
        <f>BD70*VLOOKUP('Données projet'!$B$11,Paramètres!$A$1:$I$89,3,0)*VLOOKUP('Données projet'!$B$11,Paramètres!$A$1:$I$89,5,0)</f>
        <v>210.3628800000001</v>
      </c>
      <c r="BF70" s="13">
        <f t="shared" si="91"/>
        <v>52.014876138342963</v>
      </c>
      <c r="BG70" s="20">
        <f t="shared" si="61"/>
        <v>456.97459194094745</v>
      </c>
      <c r="BH70" s="59">
        <f t="shared" si="62"/>
        <v>750.30792527428071</v>
      </c>
      <c r="BI70" s="59">
        <f ca="1">AVERAGE(OFFSET($BH$3,0,0,'Données projet'!$E$11+1,1))-AVERAGE(OFFSET($H$3,0,0,'Données projet'!$E$11+1,1))</f>
        <v>395.21779046720553</v>
      </c>
      <c r="BJ70" s="59">
        <f t="shared" si="92"/>
        <v>360.05900046417361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2.3123674092024751</v>
      </c>
      <c r="BQ70" s="21">
        <f>EXP(-LN(2)/25)*BQ69+(1-EXP(-LN(2)/25))/(LN(2)/25)*Calculateur!BL70*Calculateur!BN70*VLOOKUP('Données projet'!$B$11,Paramètres!$A$1:$I$89,3,0)*0.475*44/12</f>
        <v>4.043811177135475</v>
      </c>
      <c r="BR70" s="21">
        <f>EXP(-LN(2)/2)*BR69+(1-EXP(-LN(2)/2))/(LN(2)/2)*BL70*BO70*VLOOKUP('Données projet'!$B$11,Paramètres!$A$1:$I$89,3,0)*0.475*44/12</f>
        <v>1.8875060318443811E-5</v>
      </c>
      <c r="BS70" s="22">
        <f t="shared" si="63"/>
        <v>6.3561974613982688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277.39999999999998</v>
      </c>
      <c r="BZ70" s="13">
        <f>BY70*VLOOKUP('Données projet'!$B$12,Paramètres!$A$1:$I$89,3,0)*VLOOKUP('Données projet'!$B$12,Paramètres!$A$1:$I$89,5,0)</f>
        <v>281.28360000000004</v>
      </c>
      <c r="CA70" s="13">
        <f t="shared" si="93"/>
        <v>67.238198209347928</v>
      </c>
      <c r="CB70" s="20">
        <f t="shared" si="64"/>
        <v>607.00879854794766</v>
      </c>
      <c r="CC70" s="59">
        <f t="shared" si="65"/>
        <v>900.34213188128092</v>
      </c>
      <c r="CD70" s="59">
        <f ca="1">AVERAGE(OFFSET($CC$3,0,0,'Données projet'!$E$12+1,1))-AVERAGE(OFFSET($H$3,0,0,'Données projet'!$E$12+1,1))</f>
        <v>449.84356201138451</v>
      </c>
      <c r="CE70" s="59">
        <f t="shared" si="94"/>
        <v>306.61893266146666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3.936213165030233</v>
      </c>
      <c r="CL70" s="21">
        <f>EXP(-LN(2)/25)*CL69+(1-EXP(-LN(2)/25))/(LN(2)/25)*Calculateur!CG70*Calculateur!CI70*VLOOKUP('Données projet'!$B$12,Paramètres!$A$1:$I$89,3,0)*0.475*44/12</f>
        <v>3.7623388352319034</v>
      </c>
      <c r="CM70" s="21">
        <f>EXP(-LN(2)/2)*CM69+(1-EXP(-LN(2)/2))/(LN(2)/2)*CG70*CJ70*VLOOKUP('Données projet'!$B$12,Paramètres!$A$1:$I$89,3,0)*0.475*44/12</f>
        <v>2.5800341245310624E-5</v>
      </c>
      <c r="CN70" s="22">
        <f t="shared" si="66"/>
        <v>7.698577800603382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8.1999999999999993</v>
      </c>
      <c r="CT70" s="12">
        <f>IF('Données projet'!$A$140&gt;35,CT69+CS70-DB69,IF(A70&lt;'Données projet'!$A$140,$CQ$205^A70,IF(A70='Données projet'!$A$140,'Données projet'!$B$140,CT69+CS70-DB69)))</f>
        <v>277.39999999999998</v>
      </c>
      <c r="CU70" s="17">
        <f>CT70*VLOOKUP('Données projet'!$B$13,Paramètres!$A$1:$I$89,3,0)*VLOOKUP('Données projet'!$B$13,Paramètres!$A$1:$I$89,5,0)</f>
        <v>298.59335999999996</v>
      </c>
      <c r="CV70" s="13">
        <f t="shared" si="95"/>
        <v>70.88149709045409</v>
      </c>
      <c r="CW70" s="20">
        <f t="shared" si="67"/>
        <v>643.50204276587419</v>
      </c>
      <c r="CX70" s="59">
        <f t="shared" si="68"/>
        <v>936.83537609920745</v>
      </c>
      <c r="CY70" s="59">
        <f ca="1">AVERAGE(OFFSET($CX$3,0,0,'Données projet'!$E$13+1,1))-AVERAGE(OFFSET($H$3,0,0,'Données projet'!$E$13+1,1))</f>
        <v>475.01366239340246</v>
      </c>
      <c r="CZ70" s="59">
        <f t="shared" si="96"/>
        <v>322.81767004794284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4.178441667493626</v>
      </c>
      <c r="DG70" s="21">
        <f>EXP(-LN(2)/25)*DG69+(1-EXP(-LN(2)/25))/(LN(2)/25)*Calculateur!DB70*Calculateur!DD70*VLOOKUP('Données projet'!$B$13,Paramètres!$A$1:$I$89,3,0)*0.475*44/12</f>
        <v>3.9938673789384791</v>
      </c>
      <c r="DH70" s="21">
        <f>EXP(-LN(2)/2)*DH69+(1-EXP(-LN(2)/2))/(LN(2)/2)*DB70*DE70*VLOOKUP('Données projet'!$B$13,Paramètres!$A$1:$I$89,3,0)*0.475*44/12</f>
        <v>2.7388054552714362E-5</v>
      </c>
      <c r="DI70" s="22">
        <f t="shared" si="69"/>
        <v>8.1723364344866578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2.2737367544323206E-13</v>
      </c>
      <c r="DP70" s="17">
        <f>DO70*VLOOKUP('Données projet'!$B$14,Paramètres!$A$1:$I$89,3,0)*VLOOKUP('Données projet'!$B$14,Paramètres!$A$1:$I$89,5,0)</f>
        <v>2.0572770154103635E-13</v>
      </c>
      <c r="DQ70" s="13">
        <f t="shared" si="97"/>
        <v>2.8416956338469711E-12</v>
      </c>
      <c r="DR70" s="20">
        <f t="shared" si="70"/>
        <v>5.3075956424674458E-12</v>
      </c>
      <c r="DS70" s="59">
        <f t="shared" si="71"/>
        <v>293.3333333333386</v>
      </c>
      <c r="DT70" s="59">
        <f ca="1">AVERAGE(OFFSET($DS$3,0,0,'Données projet'!$E$14+1,1))-AVERAGE(OFFSET($H$3,0,0,'Données projet'!$E$14+1,1))</f>
        <v>436.23918637269577</v>
      </c>
      <c r="DU70" s="59">
        <f t="shared" si="98"/>
        <v>611.43967996341894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1.5830687606624509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1.2733029728032087E-5</v>
      </c>
      <c r="ED70" s="22">
        <f t="shared" si="72"/>
        <v>1.5830814936921789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276.23231999999996</v>
      </c>
      <c r="P71" s="13">
        <f t="shared" si="87"/>
        <v>66.170163093943458</v>
      </c>
      <c r="Q71" s="20">
        <f t="shared" si="54"/>
        <v>596.35099138861813</v>
      </c>
      <c r="R71" s="59">
        <f t="shared" si="55"/>
        <v>889.6843247219515</v>
      </c>
      <c r="S71" s="59">
        <f ca="1">AVERAGE(OFFSET($R$3,0,0,'Données projet'!$E$9+1,1))-AVERAGE(OFFSET($H$3,0,0,'Données projet'!$E$9+1,1))</f>
        <v>430.94515308997018</v>
      </c>
      <c r="T71" s="59">
        <f t="shared" si="88"/>
        <v>294.45557293177131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3.6809175137607877</v>
      </c>
      <c r="AA71" s="21">
        <f>EXP(-LN(2)/25)*AA70+(1-EXP(-LN(2)/25))/(LN(2)/25)*Calculateur!V71*Calculateur!X71*VLOOKUP('Données projet'!$B$9,Paramètres!$A$1:$I$89,3,0)*0.475*44/12</f>
        <v>3.4905594443021624</v>
      </c>
      <c r="AB71" s="21">
        <f>EXP(-LN(2)/2)*AB70+(1-EXP(-LN(2)/2))/(LN(2)/2)*V71*Y71*VLOOKUP('Données projet'!$B$9,Paramètres!$A$1:$I$89,3,0)*0.475*44/12</f>
        <v>1.7401584116802146E-5</v>
      </c>
      <c r="AC71" s="22">
        <f t="shared" si="57"/>
        <v>7.1714943596470668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392.49999999999989</v>
      </c>
      <c r="AJ71" s="13">
        <f>AI71*VLOOKUP('Données projet'!$B$10,Paramètres!$A$1:$I$89,3,0)*VLOOKUP('Données projet'!$B$10,Paramètres!$A$1:$I$89,5,0)</f>
        <v>183.68999999999994</v>
      </c>
      <c r="AK71" s="13">
        <f t="shared" si="89"/>
        <v>46.14217109072662</v>
      </c>
      <c r="AL71" s="20">
        <f t="shared" si="58"/>
        <v>400.29103131634878</v>
      </c>
      <c r="AM71" s="59">
        <f t="shared" si="59"/>
        <v>693.62436464968209</v>
      </c>
      <c r="AN71" s="59">
        <f ca="1">AVERAGE(OFFSET($AM$3,0,0,'Données projet'!$E$10+1,1))-AVERAGE(OFFSET($H$3,0,0,'Données projet'!$E$10+1,1))</f>
        <v>319.22903094674564</v>
      </c>
      <c r="AO71" s="59">
        <f t="shared" si="90"/>
        <v>254.58690973142848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4.2763172593233261</v>
      </c>
      <c r="AV71" s="21">
        <f>EXP(-LN(2)/25)*AV70+(1-EXP(-LN(2)/25))/(LN(2)/25)*Calculateur!AQ71*Calculateur!AS71*VLOOKUP('Données projet'!$B$10,Paramètres!$A$1:$I$89,3,0)*0.475*44/12</f>
        <v>3.8883083109183803</v>
      </c>
      <c r="AW71" s="21">
        <f>EXP(-LN(2)/2)*AW70+(1-EXP(-LN(2)/2))/(LN(2)/2)*AQ71*AT71*VLOOKUP('Données projet'!$B$10,Paramètres!$A$1:$I$89,3,0)*0.475*44/12</f>
        <v>2.1063096320339933E-5</v>
      </c>
      <c r="AX71" s="21">
        <f t="shared" si="60"/>
        <v>8.1646466333380268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5.4</v>
      </c>
      <c r="BD71" s="12">
        <f>IF('Données projet'!$A$88&gt;35,BD70+BC71-BL70,IF(A71&lt;'Données projet'!$A$88,$BA$205^A71,IF(A71='Données projet'!$A$88,'Données projet'!$B$88,BD70+BC71-BL70)))</f>
        <v>246.2000000000001</v>
      </c>
      <c r="BE71" s="13">
        <f>BD71*VLOOKUP('Données projet'!$B$11,Paramètres!$A$1:$I$89,3,0)*VLOOKUP('Données projet'!$B$11,Paramètres!$A$1:$I$89,5,0)</f>
        <v>215.08032000000011</v>
      </c>
      <c r="BF71" s="13">
        <f t="shared" si="91"/>
        <v>53.044214230061506</v>
      </c>
      <c r="BG71" s="20">
        <f t="shared" si="61"/>
        <v>466.983563784024</v>
      </c>
      <c r="BH71" s="59">
        <f t="shared" si="62"/>
        <v>760.31689711735726</v>
      </c>
      <c r="BI71" s="59">
        <f ca="1">AVERAGE(OFFSET($BH$3,0,0,'Données projet'!$E$11+1,1))-AVERAGE(OFFSET($H$3,0,0,'Données projet'!$E$11+1,1))</f>
        <v>395.21779046720553</v>
      </c>
      <c r="BJ71" s="59">
        <f t="shared" si="92"/>
        <v>360.05900046417361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2.2670232947128683</v>
      </c>
      <c r="BQ71" s="21">
        <f>EXP(-LN(2)/25)*BQ70+(1-EXP(-LN(2)/25))/(LN(2)/25)*Calculateur!BL71*Calculateur!BN71*VLOOKUP('Données projet'!$B$11,Paramètres!$A$1:$I$89,3,0)*0.475*44/12</f>
        <v>3.9332329478419177</v>
      </c>
      <c r="BR71" s="21">
        <f>EXP(-LN(2)/2)*BR70+(1-EXP(-LN(2)/2))/(LN(2)/2)*BL71*BO71*VLOOKUP('Données projet'!$B$11,Paramètres!$A$1:$I$89,3,0)*0.475*44/12</f>
        <v>1.3346683146476734E-5</v>
      </c>
      <c r="BS71" s="22">
        <f t="shared" si="63"/>
        <v>6.2002695892379327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285.59999999999997</v>
      </c>
      <c r="BZ71" s="13">
        <f>BY71*VLOOKUP('Données projet'!$B$12,Paramètres!$A$1:$I$89,3,0)*VLOOKUP('Données projet'!$B$12,Paramètres!$A$1:$I$89,5,0)</f>
        <v>289.59839999999997</v>
      </c>
      <c r="CA71" s="13">
        <f t="shared" si="93"/>
        <v>68.991430542388798</v>
      </c>
      <c r="CB71" s="20">
        <f t="shared" si="64"/>
        <v>624.54395486132705</v>
      </c>
      <c r="CC71" s="59">
        <f t="shared" si="65"/>
        <v>917.87728819466042</v>
      </c>
      <c r="CD71" s="59">
        <f ca="1">AVERAGE(OFFSET($CC$3,0,0,'Données projet'!$E$12+1,1))-AVERAGE(OFFSET($H$3,0,0,'Données projet'!$E$12+1,1))</f>
        <v>449.84356201138451</v>
      </c>
      <c r="CE71" s="59">
        <f t="shared" si="94"/>
        <v>306.61893266146666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3.8590264257169564</v>
      </c>
      <c r="CL71" s="21">
        <f>EXP(-LN(2)/25)*CL70+(1-EXP(-LN(2)/25))/(LN(2)/25)*Calculateur!CG71*Calculateur!CI71*VLOOKUP('Données projet'!$B$12,Paramètres!$A$1:$I$89,3,0)*0.475*44/12</f>
        <v>3.6594574819296866</v>
      </c>
      <c r="CM71" s="21">
        <f>EXP(-LN(2)/2)*CM70+(1-EXP(-LN(2)/2))/(LN(2)/2)*CG71*CJ71*VLOOKUP('Données projet'!$B$12,Paramètres!$A$1:$I$89,3,0)*0.475*44/12</f>
        <v>1.8243596251486117E-5</v>
      </c>
      <c r="CN71" s="22">
        <f t="shared" si="66"/>
        <v>7.5185021512428944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8.1999999999999993</v>
      </c>
      <c r="CT71" s="12">
        <f>IF('Données projet'!$A$140&gt;35,CT70+CS71-DB70,IF(A71&lt;'Données projet'!$A$140,$CQ$205^A71,IF(A71='Données projet'!$A$140,'Données projet'!$B$140,CT70+CS71-DB70)))</f>
        <v>285.59999999999997</v>
      </c>
      <c r="CU71" s="17">
        <f>CT71*VLOOKUP('Données projet'!$B$13,Paramètres!$A$1:$I$89,3,0)*VLOOKUP('Données projet'!$B$13,Paramètres!$A$1:$I$89,5,0)</f>
        <v>307.41983999999997</v>
      </c>
      <c r="CV71" s="13">
        <f t="shared" si="95"/>
        <v>72.729728242133774</v>
      </c>
      <c r="CW71" s="20">
        <f t="shared" si="67"/>
        <v>662.09383135504959</v>
      </c>
      <c r="CX71" s="59">
        <f t="shared" si="68"/>
        <v>955.42716468838285</v>
      </c>
      <c r="CY71" s="59">
        <f ca="1">AVERAGE(OFFSET($CX$3,0,0,'Données projet'!$E$13+1,1))-AVERAGE(OFFSET($H$3,0,0,'Données projet'!$E$13+1,1))</f>
        <v>475.01366239340246</v>
      </c>
      <c r="CZ71" s="59">
        <f t="shared" si="96"/>
        <v>322.81767004794284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4.0965049749918396</v>
      </c>
      <c r="DG71" s="21">
        <f>EXP(-LN(2)/25)*DG70+(1-EXP(-LN(2)/25))/(LN(2)/25)*Calculateur!DB71*Calculateur!DD71*VLOOKUP('Données projet'!$B$13,Paramètres!$A$1:$I$89,3,0)*0.475*44/12</f>
        <v>3.8846548654330491</v>
      </c>
      <c r="DH71" s="21">
        <f>EXP(-LN(2)/2)*DH70+(1-EXP(-LN(2)/2))/(LN(2)/2)*DB71*DE71*VLOOKUP('Données projet'!$B$13,Paramètres!$A$1:$I$89,3,0)*0.475*44/12</f>
        <v>1.9366279097731421E-5</v>
      </c>
      <c r="DI71" s="22">
        <f t="shared" si="69"/>
        <v>7.9811792067039864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2.2737367544323206E-13</v>
      </c>
      <c r="DP71" s="17">
        <f>DO71*VLOOKUP('Données projet'!$B$14,Paramètres!$A$1:$I$89,3,0)*VLOOKUP('Données projet'!$B$14,Paramètres!$A$1:$I$89,5,0)</f>
        <v>2.0572770154103635E-13</v>
      </c>
      <c r="DQ71" s="13">
        <f t="shared" si="97"/>
        <v>2.8416956338469711E-12</v>
      </c>
      <c r="DR71" s="20">
        <f t="shared" si="70"/>
        <v>5.3075956424674458E-12</v>
      </c>
      <c r="DS71" s="59">
        <f t="shared" si="71"/>
        <v>293.3333333333386</v>
      </c>
      <c r="DT71" s="59">
        <f ca="1">AVERAGE(OFFSET($DS$3,0,0,'Données projet'!$E$14+1,1))-AVERAGE(OFFSET($H$3,0,0,'Données projet'!$E$14+1,1))</f>
        <v>436.23918637269577</v>
      </c>
      <c r="DU71" s="59">
        <f t="shared" si="98"/>
        <v>611.43967996341894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1.5520257478424615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9.0036116657413892E-6</v>
      </c>
      <c r="ED71" s="22">
        <f t="shared" si="72"/>
        <v>1.5520347514541273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284.16335999999995</v>
      </c>
      <c r="P72" s="13">
        <f t="shared" si="87"/>
        <v>67.846089314219739</v>
      </c>
      <c r="Q72" s="20">
        <f t="shared" si="54"/>
        <v>613.08312422226595</v>
      </c>
      <c r="R72" s="59">
        <f t="shared" si="55"/>
        <v>906.41645755559921</v>
      </c>
      <c r="S72" s="59">
        <f ca="1">AVERAGE(OFFSET($R$3,0,0,'Données projet'!$E$9+1,1))-AVERAGE(OFFSET($H$3,0,0,'Données projet'!$E$9+1,1))</f>
        <v>430.94515308997018</v>
      </c>
      <c r="T72" s="59">
        <f t="shared" si="88"/>
        <v>294.45557293177131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3.6087369664539333</v>
      </c>
      <c r="AA72" s="21">
        <f>EXP(-LN(2)/25)*AA71+(1-EXP(-LN(2)/25))/(LN(2)/25)*Calculateur!V72*Calculateur!X72*VLOOKUP('Données projet'!$B$9,Paramètres!$A$1:$I$89,3,0)*0.475*44/12</f>
        <v>3.3951099127371762</v>
      </c>
      <c r="AB72" s="21">
        <f>EXP(-LN(2)/2)*AB71+(1-EXP(-LN(2)/2))/(LN(2)/2)*V72*Y72*VLOOKUP('Données projet'!$B$9,Paramètres!$A$1:$I$89,3,0)*0.475*44/12</f>
        <v>1.2304778132378916E-5</v>
      </c>
      <c r="AC72" s="22">
        <f t="shared" si="57"/>
        <v>7.0038591839692419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407.99999999999989</v>
      </c>
      <c r="AJ72" s="13">
        <f>AI72*VLOOKUP('Données projet'!$B$10,Paramètres!$A$1:$I$89,3,0)*VLOOKUP('Données projet'!$B$10,Paramètres!$A$1:$I$89,5,0)</f>
        <v>190.94399999999996</v>
      </c>
      <c r="AK72" s="13">
        <f t="shared" si="89"/>
        <v>47.748597609826554</v>
      </c>
      <c r="AL72" s="20">
        <f t="shared" si="58"/>
        <v>415.72294083711449</v>
      </c>
      <c r="AM72" s="59">
        <f t="shared" si="59"/>
        <v>709.05627417044775</v>
      </c>
      <c r="AN72" s="59">
        <f ca="1">AVERAGE(OFFSET($AM$3,0,0,'Données projet'!$E$10+1,1))-AVERAGE(OFFSET($H$3,0,0,'Données projet'!$E$10+1,1))</f>
        <v>319.22903094674564</v>
      </c>
      <c r="AO72" s="59">
        <f t="shared" si="90"/>
        <v>254.58690973142848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4.1924612861639758</v>
      </c>
      <c r="AV72" s="21">
        <f>EXP(-LN(2)/25)*AV71+(1-EXP(-LN(2)/25))/(LN(2)/25)*Calculateur!AQ72*Calculateur!AS72*VLOOKUP('Données projet'!$B$10,Paramètres!$A$1:$I$89,3,0)*0.475*44/12</f>
        <v>3.7819823156790697</v>
      </c>
      <c r="AW72" s="21">
        <f>EXP(-LN(2)/2)*AW71+(1-EXP(-LN(2)/2))/(LN(2)/2)*AQ72*AT72*VLOOKUP('Données projet'!$B$10,Paramètres!$A$1:$I$89,3,0)*0.475*44/12</f>
        <v>1.4893858240897785E-5</v>
      </c>
      <c r="AX72" s="21">
        <f t="shared" si="60"/>
        <v>7.9744584957012865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5.4</v>
      </c>
      <c r="BD72" s="12">
        <f>IF('Données projet'!$A$88&gt;35,BD71+BC72-BL71,IF(A72&lt;'Données projet'!$A$88,$BA$205^A72,IF(A72='Données projet'!$A$88,'Données projet'!$B$88,BD71+BC72-BL71)))</f>
        <v>251.60000000000011</v>
      </c>
      <c r="BE72" s="13">
        <f>BD72*VLOOKUP('Données projet'!$B$11,Paramètres!$A$1:$I$89,3,0)*VLOOKUP('Données projet'!$B$11,Paramètres!$A$1:$I$89,5,0)</f>
        <v>219.79776000000012</v>
      </c>
      <c r="BF72" s="13">
        <f t="shared" si="91"/>
        <v>54.070927503307431</v>
      </c>
      <c r="BG72" s="20">
        <f t="shared" si="61"/>
        <v>476.98796406826068</v>
      </c>
      <c r="BH72" s="59">
        <f t="shared" si="62"/>
        <v>770.32129740159394</v>
      </c>
      <c r="BI72" s="59">
        <f ca="1">AVERAGE(OFFSET($BH$3,0,0,'Données projet'!$E$11+1,1))-AVERAGE(OFFSET($H$3,0,0,'Données projet'!$E$11+1,1))</f>
        <v>395.21779046720553</v>
      </c>
      <c r="BJ72" s="59">
        <f t="shared" si="92"/>
        <v>360.05900046417361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2.2225683506512239</v>
      </c>
      <c r="BQ72" s="21">
        <f>EXP(-LN(2)/25)*BQ71+(1-EXP(-LN(2)/25))/(LN(2)/25)*Calculateur!BL72*Calculateur!BN72*VLOOKUP('Données projet'!$B$11,Paramètres!$A$1:$I$89,3,0)*0.475*44/12</f>
        <v>3.8256784860434494</v>
      </c>
      <c r="BR72" s="21">
        <f>EXP(-LN(2)/2)*BR71+(1-EXP(-LN(2)/2))/(LN(2)/2)*BL72*BO72*VLOOKUP('Données projet'!$B$11,Paramètres!$A$1:$I$89,3,0)*0.475*44/12</f>
        <v>9.4375301592219054E-6</v>
      </c>
      <c r="BS72" s="22">
        <f t="shared" si="63"/>
        <v>6.0482562742248325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293.79999999999995</v>
      </c>
      <c r="BZ72" s="13">
        <f>BY72*VLOOKUP('Données projet'!$B$12,Paramètres!$A$1:$I$89,3,0)*VLOOKUP('Données projet'!$B$12,Paramètres!$A$1:$I$89,5,0)</f>
        <v>297.91319999999996</v>
      </c>
      <c r="CA72" s="13">
        <f t="shared" si="93"/>
        <v>70.73881247427552</v>
      </c>
      <c r="CB72" s="20">
        <f t="shared" si="64"/>
        <v>642.06892172602977</v>
      </c>
      <c r="CC72" s="59">
        <f t="shared" si="65"/>
        <v>935.40225505936314</v>
      </c>
      <c r="CD72" s="59">
        <f ca="1">AVERAGE(OFFSET($CC$3,0,0,'Données projet'!$E$12+1,1))-AVERAGE(OFFSET($H$3,0,0,'Données projet'!$E$12+1,1))</f>
        <v>449.84356201138451</v>
      </c>
      <c r="CE72" s="59">
        <f t="shared" si="94"/>
        <v>306.61893266146666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3.7833532712823508</v>
      </c>
      <c r="CL72" s="21">
        <f>EXP(-LN(2)/25)*CL71+(1-EXP(-LN(2)/25))/(LN(2)/25)*Calculateur!CG72*Calculateur!CI72*VLOOKUP('Données projet'!$B$12,Paramètres!$A$1:$I$89,3,0)*0.475*44/12</f>
        <v>3.5593894246438142</v>
      </c>
      <c r="CM72" s="21">
        <f>EXP(-LN(2)/2)*CM71+(1-EXP(-LN(2)/2))/(LN(2)/2)*CG72*CJ72*VLOOKUP('Données projet'!$B$12,Paramètres!$A$1:$I$89,3,0)*0.475*44/12</f>
        <v>1.2900170622655312E-5</v>
      </c>
      <c r="CN72" s="22">
        <f t="shared" si="66"/>
        <v>7.3427555960967874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8.1999999999999993</v>
      </c>
      <c r="CT72" s="12">
        <f>IF('Données projet'!$A$140&gt;35,CT71+CS72-DB71,IF(A72&lt;'Données projet'!$A$140,$CQ$205^A72,IF(A72='Données projet'!$A$140,'Données projet'!$B$140,CT71+CS72-DB71)))</f>
        <v>293.79999999999995</v>
      </c>
      <c r="CU72" s="17">
        <f>CT72*VLOOKUP('Données projet'!$B$13,Paramètres!$A$1:$I$89,3,0)*VLOOKUP('Données projet'!$B$13,Paramètres!$A$1:$I$89,5,0)</f>
        <v>316.24631999999991</v>
      </c>
      <c r="CV72" s="13">
        <f t="shared" si="95"/>
        <v>74.57179198892409</v>
      </c>
      <c r="CW72" s="20">
        <f t="shared" si="67"/>
        <v>680.67487838070929</v>
      </c>
      <c r="CX72" s="59">
        <f t="shared" si="68"/>
        <v>974.00821171404255</v>
      </c>
      <c r="CY72" s="59">
        <f ca="1">AVERAGE(OFFSET($CX$3,0,0,'Données projet'!$E$13+1,1))-AVERAGE(OFFSET($H$3,0,0,'Données projet'!$E$13+1,1))</f>
        <v>475.01366239340246</v>
      </c>
      <c r="CZ72" s="59">
        <f t="shared" si="96"/>
        <v>322.81767004794284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4.0161750110535657</v>
      </c>
      <c r="DG72" s="21">
        <f>EXP(-LN(2)/25)*DG71+(1-EXP(-LN(2)/25))/(LN(2)/25)*Calculateur!DB72*Calculateur!DD72*VLOOKUP('Données projet'!$B$13,Paramètres!$A$1:$I$89,3,0)*0.475*44/12</f>
        <v>3.7784287738526614</v>
      </c>
      <c r="DH72" s="21">
        <f>EXP(-LN(2)/2)*DH71+(1-EXP(-LN(2)/2))/(LN(2)/2)*DB72*DE72*VLOOKUP('Données projet'!$B$13,Paramètres!$A$1:$I$89,3,0)*0.475*44/12</f>
        <v>1.3694027276357181E-5</v>
      </c>
      <c r="DI72" s="22">
        <f t="shared" si="69"/>
        <v>7.7946174789335041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2.2737367544323206E-13</v>
      </c>
      <c r="DP72" s="17">
        <f>DO72*VLOOKUP('Données projet'!$B$14,Paramètres!$A$1:$I$89,3,0)*VLOOKUP('Données projet'!$B$14,Paramètres!$A$1:$I$89,5,0)</f>
        <v>2.0572770154103635E-13</v>
      </c>
      <c r="DQ72" s="13">
        <f t="shared" si="97"/>
        <v>2.8416956338469711E-12</v>
      </c>
      <c r="DR72" s="20">
        <f t="shared" si="70"/>
        <v>5.3075956424674458E-12</v>
      </c>
      <c r="DS72" s="59">
        <f t="shared" si="71"/>
        <v>293.3333333333386</v>
      </c>
      <c r="DT72" s="59">
        <f ca="1">AVERAGE(OFFSET($DS$3,0,0,'Données projet'!$E$14+1,1))-AVERAGE(OFFSET($H$3,0,0,'Données projet'!$E$14+1,1))</f>
        <v>436.23918637269577</v>
      </c>
      <c r="DU72" s="59">
        <f t="shared" si="98"/>
        <v>611.43967996341894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1.5215914695695039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6.3665148640160433E-6</v>
      </c>
      <c r="ED72" s="22">
        <f t="shared" si="72"/>
        <v>1.5215978360843678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292.09439999999995</v>
      </c>
      <c r="P73" s="13">
        <f t="shared" si="87"/>
        <v>69.516578973599849</v>
      </c>
      <c r="Q73" s="20">
        <f t="shared" si="54"/>
        <v>629.80578837901965</v>
      </c>
      <c r="R73" s="59">
        <f t="shared" si="55"/>
        <v>923.13912171235302</v>
      </c>
      <c r="S73" s="59">
        <f ca="1">AVERAGE(OFFSET($R$3,0,0,'Données projet'!$E$9+1,1))-AVERAGE(OFFSET($H$3,0,0,'Données projet'!$E$9+1,1))</f>
        <v>430.94515308997018</v>
      </c>
      <c r="T73" s="59">
        <f t="shared" si="88"/>
        <v>294.45557293177131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3.5379718356539795</v>
      </c>
      <c r="AA73" s="21">
        <f>EXP(-LN(2)/25)*AA72+(1-EXP(-LN(2)/25))/(LN(2)/25)*Calculateur!V73*Calculateur!X73*VLOOKUP('Données projet'!$B$9,Paramètres!$A$1:$I$89,3,0)*0.475*44/12</f>
        <v>3.3022704536323073</v>
      </c>
      <c r="AB73" s="21">
        <f>EXP(-LN(2)/2)*AB72+(1-EXP(-LN(2)/2))/(LN(2)/2)*V73*Y73*VLOOKUP('Données projet'!$B$9,Paramètres!$A$1:$I$89,3,0)*0.475*44/12</f>
        <v>8.700792058401073E-6</v>
      </c>
      <c r="AC73" s="22">
        <f t="shared" si="57"/>
        <v>6.8402509900783457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423.5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423.49999999999989</v>
      </c>
      <c r="AJ73" s="13">
        <f>AI73*VLOOKUP('Données projet'!$B$10,Paramètres!$A$1:$I$89,3,0)*VLOOKUP('Données projet'!$B$10,Paramètres!$A$1:$I$89,5,0)</f>
        <v>198.19799999999995</v>
      </c>
      <c r="AK73" s="13">
        <f t="shared" si="89"/>
        <v>49.347934298451406</v>
      </c>
      <c r="AL73" s="20">
        <f t="shared" si="58"/>
        <v>431.14250223646945</v>
      </c>
      <c r="AM73" s="59">
        <f t="shared" si="59"/>
        <v>724.47583556980271</v>
      </c>
      <c r="AN73" s="59">
        <f ca="1">AVERAGE(OFFSET($AM$3,0,0,'Données projet'!$E$10+1,1))-AVERAGE(OFFSET($H$3,0,0,'Données projet'!$E$10+1,1))</f>
        <v>319.22903094674564</v>
      </c>
      <c r="AO73" s="59">
        <f t="shared" si="90"/>
        <v>254.58690973142848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87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4.1102496774911872</v>
      </c>
      <c r="AV73" s="21">
        <f>EXP(-LN(2)/25)*AV72+(1-EXP(-LN(2)/25))/(LN(2)/25)*Calculateur!AQ73*Calculateur!AS73*VLOOKUP('Données projet'!$B$10,Paramètres!$A$1:$I$89,3,0)*0.475*44/12</f>
        <v>3.6785638103710192</v>
      </c>
      <c r="AW73" s="21">
        <f>EXP(-LN(2)/2)*AW72+(1-EXP(-LN(2)/2))/(LN(2)/2)*AQ73*AT73*VLOOKUP('Données projet'!$B$10,Paramètres!$A$1:$I$89,3,0)*0.475*44/12</f>
        <v>1.0531548160169968E-5</v>
      </c>
      <c r="AX73" s="21">
        <f t="shared" si="60"/>
        <v>7.7888240194103666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257</v>
      </c>
      <c r="BB73" s="12">
        <f>VLOOKUP(A73,'Données projet'!$A$87:$I$107,9,0)</f>
        <v>5.4</v>
      </c>
      <c r="BC73" s="12">
        <f t="array" ref="BC73">INDEX(BB:BB,MIN(IF(ISNUMBER(BB73:BB269),ROW(BB73:BB269),"")))</f>
        <v>5.4</v>
      </c>
      <c r="BD73" s="12">
        <f>IF('Données projet'!$A$88&gt;35,BD72+BC73-BL72,IF(A73&lt;'Données projet'!$A$88,$BA$205^A73,IF(A73='Données projet'!$A$88,'Données projet'!$B$88,BD72+BC73-BL72)))</f>
        <v>257.00000000000011</v>
      </c>
      <c r="BE73" s="13">
        <f>BD73*VLOOKUP('Données projet'!$B$11,Paramètres!$A$1:$I$89,3,0)*VLOOKUP('Données projet'!$B$11,Paramètres!$A$1:$I$89,5,0)</f>
        <v>224.51520000000014</v>
      </c>
      <c r="BF73" s="13">
        <f t="shared" si="91"/>
        <v>55.095078782313593</v>
      </c>
      <c r="BG73" s="20">
        <f t="shared" si="61"/>
        <v>486.98790221252966</v>
      </c>
      <c r="BH73" s="59">
        <f t="shared" si="62"/>
        <v>780.32123554586292</v>
      </c>
      <c r="BI73" s="59">
        <f ca="1">AVERAGE(OFFSET($BH$3,0,0,'Données projet'!$E$11+1,1))-AVERAGE(OFFSET($H$3,0,0,'Données projet'!$E$11+1,1))</f>
        <v>395.21779046720553</v>
      </c>
      <c r="BJ73" s="59">
        <f t="shared" si="92"/>
        <v>360.05900046417361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2.1789851409277898</v>
      </c>
      <c r="BQ73" s="21">
        <f>EXP(-LN(2)/25)*BQ72+(1-EXP(-LN(2)/25))/(LN(2)/25)*Calculateur!BL73*Calculateur!BN73*VLOOKUP('Données projet'!$B$11,Paramètres!$A$1:$I$89,3,0)*0.475*44/12</f>
        <v>3.7210651066589033</v>
      </c>
      <c r="BR73" s="21">
        <f>EXP(-LN(2)/2)*BR72+(1-EXP(-LN(2)/2))/(LN(2)/2)*BL73*BO73*VLOOKUP('Données projet'!$B$11,Paramètres!$A$1:$I$89,3,0)*0.475*44/12</f>
        <v>6.673341573238367E-6</v>
      </c>
      <c r="BS73" s="22">
        <f t="shared" si="63"/>
        <v>5.9000569209282663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301.99999999999994</v>
      </c>
      <c r="BZ73" s="13">
        <f>BY73*VLOOKUP('Données projet'!$B$12,Paramètres!$A$1:$I$89,3,0)*VLOOKUP('Données projet'!$B$12,Paramètres!$A$1:$I$89,5,0)</f>
        <v>306.22800000000001</v>
      </c>
      <c r="CA73" s="13">
        <f t="shared" si="93"/>
        <v>72.480526049067294</v>
      </c>
      <c r="CB73" s="20">
        <f t="shared" si="64"/>
        <v>659.58401620212555</v>
      </c>
      <c r="CC73" s="59">
        <f t="shared" si="65"/>
        <v>952.91734953545892</v>
      </c>
      <c r="CD73" s="59">
        <f ca="1">AVERAGE(OFFSET($CC$3,0,0,'Données projet'!$E$12+1,1))-AVERAGE(OFFSET($H$3,0,0,'Données projet'!$E$12+1,1))</f>
        <v>449.84356201138451</v>
      </c>
      <c r="CE73" s="59">
        <f t="shared" si="94"/>
        <v>306.61893266146666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3.7091640212501411</v>
      </c>
      <c r="CL73" s="21">
        <f>EXP(-LN(2)/25)*CL72+(1-EXP(-LN(2)/25))/(LN(2)/25)*Calculateur!CG73*Calculateur!CI73*VLOOKUP('Données projet'!$B$12,Paramètres!$A$1:$I$89,3,0)*0.475*44/12</f>
        <v>3.4620577336467746</v>
      </c>
      <c r="CM73" s="21">
        <f>EXP(-LN(2)/2)*CM72+(1-EXP(-LN(2)/2))/(LN(2)/2)*CG73*CJ73*VLOOKUP('Données projet'!$B$12,Paramètres!$A$1:$I$89,3,0)*0.475*44/12</f>
        <v>9.1217981257430583E-6</v>
      </c>
      <c r="CN73" s="22">
        <f t="shared" si="66"/>
        <v>7.1712308766950414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302</v>
      </c>
      <c r="CR73" s="12">
        <f>VLOOKUP(A73,'Données projet'!$A$139:$I$159,9,0)</f>
        <v>8.1999999999999993</v>
      </c>
      <c r="CS73" s="12">
        <f t="array" ref="CS73">INDEX(CR:CR,MIN(IF(ISNUMBER(CR73:CR269),ROW(CR73:CR269),"")))</f>
        <v>8.1999999999999993</v>
      </c>
      <c r="CT73" s="12">
        <f>IF('Données projet'!$A$140&gt;35,CT72+CS73-DB72,IF(A73&lt;'Données projet'!$A$140,$CQ$205^A73,IF(A73='Données projet'!$A$140,'Données projet'!$B$140,CT72+CS73-DB72)))</f>
        <v>301.99999999999994</v>
      </c>
      <c r="CU73" s="17">
        <f>CT73*VLOOKUP('Données projet'!$B$13,Paramètres!$A$1:$I$89,3,0)*VLOOKUP('Données projet'!$B$13,Paramètres!$A$1:$I$89,5,0)</f>
        <v>325.07279999999992</v>
      </c>
      <c r="CV73" s="13">
        <f t="shared" si="95"/>
        <v>76.407880238933714</v>
      </c>
      <c r="CW73" s="20">
        <f t="shared" si="67"/>
        <v>699.24551808280933</v>
      </c>
      <c r="CX73" s="59">
        <f t="shared" si="68"/>
        <v>992.5788514161427</v>
      </c>
      <c r="CY73" s="59">
        <f ca="1">AVERAGE(OFFSET($CX$3,0,0,'Données projet'!$E$13+1,1))-AVERAGE(OFFSET($H$3,0,0,'Données projet'!$E$13+1,1))</f>
        <v>475.01366239340246</v>
      </c>
      <c r="CZ73" s="59">
        <f t="shared" si="96"/>
        <v>322.81767004794284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3.9374202687116817</v>
      </c>
      <c r="DG73" s="21">
        <f>EXP(-LN(2)/25)*DG72+(1-EXP(-LN(2)/25))/(LN(2)/25)*Calculateur!DB73*Calculateur!DD73*VLOOKUP('Données projet'!$B$13,Paramètres!$A$1:$I$89,3,0)*0.475*44/12</f>
        <v>3.6751074403327268</v>
      </c>
      <c r="DH73" s="21">
        <f>EXP(-LN(2)/2)*DH72+(1-EXP(-LN(2)/2))/(LN(2)/2)*DB73*DE73*VLOOKUP('Données projet'!$B$13,Paramètres!$A$1:$I$89,3,0)*0.475*44/12</f>
        <v>9.6831395488657104E-6</v>
      </c>
      <c r="DI73" s="22">
        <f t="shared" si="69"/>
        <v>7.6125373921839579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2.2737367544323206E-13</v>
      </c>
      <c r="DP73" s="17">
        <f>DO73*VLOOKUP('Données projet'!$B$14,Paramètres!$A$1:$I$89,3,0)*VLOOKUP('Données projet'!$B$14,Paramètres!$A$1:$I$89,5,0)</f>
        <v>2.0572770154103635E-13</v>
      </c>
      <c r="DQ73" s="13">
        <f t="shared" si="97"/>
        <v>2.8416956338469711E-12</v>
      </c>
      <c r="DR73" s="20">
        <f t="shared" si="70"/>
        <v>5.3075956424674458E-12</v>
      </c>
      <c r="DS73" s="59">
        <f t="shared" si="71"/>
        <v>293.3333333333386</v>
      </c>
      <c r="DT73" s="59">
        <f ca="1">AVERAGE(OFFSET($DS$3,0,0,'Données projet'!$E$14+1,1))-AVERAGE(OFFSET($H$3,0,0,'Données projet'!$E$14+1,1))</f>
        <v>436.23918637269577</v>
      </c>
      <c r="DU73" s="59">
        <f t="shared" si="98"/>
        <v>611.43967996341894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1.4917539889304021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4.5018058328706946E-6</v>
      </c>
      <c r="ED73" s="22">
        <f t="shared" si="72"/>
        <v>1.4917584907362349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272.36351999999999</v>
      </c>
      <c r="P74" s="13">
        <f t="shared" si="87"/>
        <v>65.350613162347059</v>
      </c>
      <c r="Q74" s="20">
        <f t="shared" si="54"/>
        <v>588.18544859108772</v>
      </c>
      <c r="R74" s="59">
        <f t="shared" si="55"/>
        <v>881.51878192442109</v>
      </c>
      <c r="S74" s="59">
        <f ca="1">AVERAGE(OFFSET($R$3,0,0,'Données projet'!$E$9+1,1))-AVERAGE(OFFSET($H$3,0,0,'Données projet'!$E$9+1,1))</f>
        <v>430.94515308997018</v>
      </c>
      <c r="T74" s="59">
        <f t="shared" si="88"/>
        <v>294.45557293177131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3.468594365906545</v>
      </c>
      <c r="AA74" s="21">
        <f>EXP(-LN(2)/25)*AA73+(1-EXP(-LN(2)/25))/(LN(2)/25)*Calculateur!V74*Calculateur!X74*VLOOKUP('Données projet'!$B$9,Paramètres!$A$1:$I$89,3,0)*0.475*44/12</f>
        <v>3.211969694418876</v>
      </c>
      <c r="AB74" s="21">
        <f>EXP(-LN(2)/2)*AB73+(1-EXP(-LN(2)/2))/(LN(2)/2)*V74*Y74*VLOOKUP('Données projet'!$B$9,Paramètres!$A$1:$I$89,3,0)*0.475*44/12</f>
        <v>6.1523890661894581E-6</v>
      </c>
      <c r="AC74" s="22">
        <f t="shared" si="57"/>
        <v>6.6805702127144873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353.49999999999989</v>
      </c>
      <c r="AJ74" s="13">
        <f>AI74*VLOOKUP('Données projet'!$B$10,Paramètres!$A$1:$I$89,3,0)*VLOOKUP('Données projet'!$B$10,Paramètres!$A$1:$I$89,5,0)</f>
        <v>165.43799999999993</v>
      </c>
      <c r="AK74" s="13">
        <f t="shared" si="89"/>
        <v>42.066675415215769</v>
      </c>
      <c r="AL74" s="20">
        <f t="shared" si="58"/>
        <v>361.40397634816736</v>
      </c>
      <c r="AM74" s="59">
        <f t="shared" si="59"/>
        <v>654.73730968150062</v>
      </c>
      <c r="AN74" s="59">
        <f ca="1">AVERAGE(OFFSET($AM$3,0,0,'Données projet'!$E$10+1,1))-AVERAGE(OFFSET($H$3,0,0,'Données projet'!$E$10+1,1))</f>
        <v>319.22903094674564</v>
      </c>
      <c r="AO74" s="59">
        <f t="shared" si="90"/>
        <v>254.58690973142848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4.0296501883203417</v>
      </c>
      <c r="AV74" s="21">
        <f>EXP(-LN(2)/25)*AV73+(1-EXP(-LN(2)/25))/(LN(2)/25)*Calculateur!AQ74*Calculateur!AS74*VLOOKUP('Données projet'!$B$10,Paramètres!$A$1:$I$89,3,0)*0.475*44/12</f>
        <v>3.5779732895291603</v>
      </c>
      <c r="AW74" s="21">
        <f>EXP(-LN(2)/2)*AW73+(1-EXP(-LN(2)/2))/(LN(2)/2)*AQ74*AT74*VLOOKUP('Données projet'!$B$10,Paramètres!$A$1:$I$89,3,0)*0.475*44/12</f>
        <v>7.4469291204488931E-6</v>
      </c>
      <c r="AX74" s="21">
        <f t="shared" si="60"/>
        <v>7.6076309247786229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241.00000000000011</v>
      </c>
      <c r="BE74" s="13">
        <f>BD74*VLOOKUP('Données projet'!$B$11,Paramètres!$A$1:$I$89,3,0)*VLOOKUP('Données projet'!$B$11,Paramètres!$A$1:$I$89,5,0)</f>
        <v>210.53760000000011</v>
      </c>
      <c r="BF74" s="13">
        <f t="shared" si="91"/>
        <v>52.053047337322276</v>
      </c>
      <c r="BG74" s="20">
        <f t="shared" si="61"/>
        <v>457.34537744583645</v>
      </c>
      <c r="BH74" s="59">
        <f t="shared" si="62"/>
        <v>750.67871077916971</v>
      </c>
      <c r="BI74" s="59">
        <f ca="1">AVERAGE(OFFSET($BH$3,0,0,'Données projet'!$E$11+1,1))-AVERAGE(OFFSET($H$3,0,0,'Données projet'!$E$11+1,1))</f>
        <v>395.21779046720553</v>
      </c>
      <c r="BJ74" s="59">
        <f t="shared" si="92"/>
        <v>360.05900046417361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2.1362565713638992</v>
      </c>
      <c r="BQ74" s="21">
        <f>EXP(-LN(2)/25)*BQ73+(1-EXP(-LN(2)/25))/(LN(2)/25)*Calculateur!BL74*Calculateur!BN74*VLOOKUP('Données projet'!$B$11,Paramètres!$A$1:$I$89,3,0)*0.475*44/12</f>
        <v>3.6193123856350065</v>
      </c>
      <c r="BR74" s="21">
        <f>EXP(-LN(2)/2)*BR73+(1-EXP(-LN(2)/2))/(LN(2)/2)*BL74*BO74*VLOOKUP('Données projet'!$B$11,Paramètres!$A$1:$I$89,3,0)*0.475*44/12</f>
        <v>4.7187650796109527E-6</v>
      </c>
      <c r="BS74" s="22">
        <f t="shared" si="63"/>
        <v>5.7555736757639853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281.59999999999997</v>
      </c>
      <c r="BZ74" s="13">
        <f>BY74*VLOOKUP('Données projet'!$B$12,Paramètres!$A$1:$I$89,3,0)*VLOOKUP('Données projet'!$B$12,Paramètres!$A$1:$I$89,5,0)</f>
        <v>285.54239999999999</v>
      </c>
      <c r="CA74" s="13">
        <f t="shared" si="93"/>
        <v>68.136937829389524</v>
      </c>
      <c r="CB74" s="20">
        <f t="shared" si="64"/>
        <v>615.99151338618674</v>
      </c>
      <c r="CC74" s="59">
        <f t="shared" si="65"/>
        <v>909.32484671952011</v>
      </c>
      <c r="CD74" s="59">
        <f ca="1">AVERAGE(OFFSET($CC$3,0,0,'Données projet'!$E$12+1,1))-AVERAGE(OFFSET($H$3,0,0,'Données projet'!$E$12+1,1))</f>
        <v>449.84356201138451</v>
      </c>
      <c r="CE74" s="59">
        <f t="shared" si="94"/>
        <v>306.61893266146666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3.6364295771600887</v>
      </c>
      <c r="CL74" s="21">
        <f>EXP(-LN(2)/25)*CL73+(1-EXP(-LN(2)/25))/(LN(2)/25)*Calculateur!CG74*Calculateur!CI74*VLOOKUP('Données projet'!$B$12,Paramètres!$A$1:$I$89,3,0)*0.475*44/12</f>
        <v>3.3673875828585</v>
      </c>
      <c r="CM74" s="21">
        <f>EXP(-LN(2)/2)*CM73+(1-EXP(-LN(2)/2))/(LN(2)/2)*CG74*CJ74*VLOOKUP('Données projet'!$B$12,Paramètres!$A$1:$I$89,3,0)*0.475*44/12</f>
        <v>6.4500853113276561E-6</v>
      </c>
      <c r="CN74" s="22">
        <f t="shared" si="66"/>
        <v>7.0038236101038995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</v>
      </c>
      <c r="CT74" s="12">
        <f>IF('Données projet'!$A$140&gt;35,CT73+CS74-DB73,IF(A74&lt;'Données projet'!$A$140,$CQ$205^A74,IF(A74='Données projet'!$A$140,'Données projet'!$B$140,CT73+CS74-DB73)))</f>
        <v>281.59999999999997</v>
      </c>
      <c r="CU74" s="17">
        <f>CT74*VLOOKUP('Données projet'!$B$13,Paramètres!$A$1:$I$89,3,0)*VLOOKUP('Données projet'!$B$13,Paramètres!$A$1:$I$89,5,0)</f>
        <v>303.11424</v>
      </c>
      <c r="CV74" s="13">
        <f t="shared" si="95"/>
        <v>71.828934878193564</v>
      </c>
      <c r="CW74" s="20">
        <f t="shared" si="67"/>
        <v>653.02602957952047</v>
      </c>
      <c r="CX74" s="59">
        <f t="shared" si="68"/>
        <v>946.35936291285384</v>
      </c>
      <c r="CY74" s="59">
        <f ca="1">AVERAGE(OFFSET($CX$3,0,0,'Données projet'!$E$13+1,1))-AVERAGE(OFFSET($H$3,0,0,'Données projet'!$E$13+1,1))</f>
        <v>475.01366239340246</v>
      </c>
      <c r="CZ74" s="59">
        <f t="shared" si="96"/>
        <v>322.81767004794284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3.8602098588314724</v>
      </c>
      <c r="DG74" s="21">
        <f>EXP(-LN(2)/25)*DG73+(1-EXP(-LN(2)/25))/(LN(2)/25)*Calculateur!DB74*Calculateur!DD74*VLOOKUP('Données projet'!$B$13,Paramètres!$A$1:$I$89,3,0)*0.475*44/12</f>
        <v>3.5746114341113278</v>
      </c>
      <c r="DH74" s="21">
        <f>EXP(-LN(2)/2)*DH73+(1-EXP(-LN(2)/2))/(LN(2)/2)*DB74*DE74*VLOOKUP('Données projet'!$B$13,Paramètres!$A$1:$I$89,3,0)*0.475*44/12</f>
        <v>6.8470136381785905E-6</v>
      </c>
      <c r="DI74" s="22">
        <f t="shared" si="69"/>
        <v>7.434828139956438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2.2737367544323206E-13</v>
      </c>
      <c r="DP74" s="17">
        <f>DO74*VLOOKUP('Données projet'!$B$14,Paramètres!$A$1:$I$89,3,0)*VLOOKUP('Données projet'!$B$14,Paramètres!$A$1:$I$89,5,0)</f>
        <v>2.0572770154103635E-13</v>
      </c>
      <c r="DQ74" s="13">
        <f t="shared" si="97"/>
        <v>2.8416956338469711E-12</v>
      </c>
      <c r="DR74" s="20">
        <f t="shared" si="70"/>
        <v>5.3075956424674458E-12</v>
      </c>
      <c r="DS74" s="59">
        <f t="shared" si="71"/>
        <v>293.3333333333386</v>
      </c>
      <c r="DT74" s="59">
        <f ca="1">AVERAGE(OFFSET($DS$3,0,0,'Données projet'!$E$14+1,1))-AVERAGE(OFFSET($H$3,0,0,'Données projet'!$E$14+1,1))</f>
        <v>436.23918637269577</v>
      </c>
      <c r="DU74" s="59">
        <f t="shared" si="98"/>
        <v>611.43967996341894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1.462501603087567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3.1832574320080217E-6</v>
      </c>
      <c r="ED74" s="22">
        <f t="shared" si="72"/>
        <v>1.4625047863449991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279.71424000000002</v>
      </c>
      <c r="P75" s="13">
        <f t="shared" si="87"/>
        <v>66.906615990158315</v>
      </c>
      <c r="Q75" s="20">
        <f t="shared" si="54"/>
        <v>603.69799084952581</v>
      </c>
      <c r="R75" s="59">
        <f t="shared" si="55"/>
        <v>897.03132418285918</v>
      </c>
      <c r="S75" s="59">
        <f ca="1">AVERAGE(OFFSET($R$3,0,0,'Données projet'!$E$9+1,1))-AVERAGE(OFFSET($H$3,0,0,'Données projet'!$E$9+1,1))</f>
        <v>430.94515308997018</v>
      </c>
      <c r="T75" s="59">
        <f t="shared" si="88"/>
        <v>294.45557293177131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3.4005773460247792</v>
      </c>
      <c r="AA75" s="21">
        <f>EXP(-LN(2)/25)*AA74+(1-EXP(-LN(2)/25))/(LN(2)/25)*Calculateur!V75*Calculateur!X75*VLOOKUP('Données projet'!$B$9,Paramètres!$A$1:$I$89,3,0)*0.475*44/12</f>
        <v>3.1241382142148466</v>
      </c>
      <c r="AB75" s="21">
        <f>EXP(-LN(2)/2)*AB74+(1-EXP(-LN(2)/2))/(LN(2)/2)*V75*Y75*VLOOKUP('Données projet'!$B$9,Paramètres!$A$1:$I$89,3,0)*0.475*44/12</f>
        <v>4.3503960292005365E-6</v>
      </c>
      <c r="AC75" s="22">
        <f t="shared" si="57"/>
        <v>6.524719910635655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370.49999999999989</v>
      </c>
      <c r="AJ75" s="13">
        <f>AI75*VLOOKUP('Données projet'!$B$10,Paramètres!$A$1:$I$89,3,0)*VLOOKUP('Données projet'!$B$10,Paramètres!$A$1:$I$89,5,0)</f>
        <v>173.39399999999998</v>
      </c>
      <c r="AK75" s="13">
        <f t="shared" si="89"/>
        <v>43.849289930196633</v>
      </c>
      <c r="AL75" s="20">
        <f t="shared" si="58"/>
        <v>378.36539662842574</v>
      </c>
      <c r="AM75" s="59">
        <f t="shared" si="59"/>
        <v>671.698729961759</v>
      </c>
      <c r="AN75" s="59">
        <f ca="1">AVERAGE(OFFSET($AM$3,0,0,'Données projet'!$E$10+1,1))-AVERAGE(OFFSET($H$3,0,0,'Données projet'!$E$10+1,1))</f>
        <v>319.22903094674564</v>
      </c>
      <c r="AO75" s="59">
        <f t="shared" si="90"/>
        <v>254.58690973142848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3.9506312059713027</v>
      </c>
      <c r="AV75" s="21">
        <f>EXP(-LN(2)/25)*AV74+(1-EXP(-LN(2)/25))/(LN(2)/25)*Calculateur!AQ75*Calculateur!AS75*VLOOKUP('Données projet'!$B$10,Paramètres!$A$1:$I$89,3,0)*0.475*44/12</f>
        <v>3.4801334217695477</v>
      </c>
      <c r="AW75" s="21">
        <f>EXP(-LN(2)/2)*AW74+(1-EXP(-LN(2)/2))/(LN(2)/2)*AQ75*AT75*VLOOKUP('Données projet'!$B$10,Paramètres!$A$1:$I$89,3,0)*0.475*44/12</f>
        <v>5.265774080084985E-6</v>
      </c>
      <c r="AX75" s="21">
        <f t="shared" si="60"/>
        <v>7.4307698935149302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246.00000000000011</v>
      </c>
      <c r="BE75" s="13">
        <f>BD75*VLOOKUP('Données projet'!$B$11,Paramètres!$A$1:$I$89,3,0)*VLOOKUP('Données projet'!$B$11,Paramètres!$A$1:$I$89,5,0)</f>
        <v>214.90560000000013</v>
      </c>
      <c r="BF75" s="13">
        <f t="shared" si="91"/>
        <v>53.006137800892375</v>
      </c>
      <c r="BG75" s="20">
        <f t="shared" si="61"/>
        <v>466.61294333655451</v>
      </c>
      <c r="BH75" s="59">
        <f t="shared" si="62"/>
        <v>759.94627666988777</v>
      </c>
      <c r="BI75" s="59">
        <f ca="1">AVERAGE(OFFSET($BH$3,0,0,'Données projet'!$E$11+1,1))-AVERAGE(OFFSET($H$3,0,0,'Données projet'!$E$11+1,1))</f>
        <v>395.21779046720553</v>
      </c>
      <c r="BJ75" s="59">
        <f t="shared" si="92"/>
        <v>360.05900046417361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2.0943658829873022</v>
      </c>
      <c r="BQ75" s="21">
        <f>EXP(-LN(2)/25)*BQ74+(1-EXP(-LN(2)/25))/(LN(2)/25)*Calculateur!BL75*Calculateur!BN75*VLOOKUP('Données projet'!$B$11,Paramètres!$A$1:$I$89,3,0)*0.475*44/12</f>
        <v>3.520342098118451</v>
      </c>
      <c r="BR75" s="21">
        <f>EXP(-LN(2)/2)*BR74+(1-EXP(-LN(2)/2))/(LN(2)/2)*BL75*BO75*VLOOKUP('Données projet'!$B$11,Paramètres!$A$1:$I$89,3,0)*0.475*44/12</f>
        <v>3.3366707866191835E-6</v>
      </c>
      <c r="BS75" s="22">
        <f t="shared" si="63"/>
        <v>5.61471131777654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289.2</v>
      </c>
      <c r="BZ75" s="13">
        <f>BY75*VLOOKUP('Données projet'!$B$12,Paramètres!$A$1:$I$89,3,0)*VLOOKUP('Données projet'!$B$12,Paramètres!$A$1:$I$89,5,0)</f>
        <v>293.24880000000002</v>
      </c>
      <c r="CA75" s="13">
        <f t="shared" si="93"/>
        <v>69.759283249126327</v>
      </c>
      <c r="CB75" s="20">
        <f t="shared" si="64"/>
        <v>632.23907832556176</v>
      </c>
      <c r="CC75" s="59">
        <f t="shared" si="65"/>
        <v>925.57241165889513</v>
      </c>
      <c r="CD75" s="59">
        <f ca="1">AVERAGE(OFFSET($CC$3,0,0,'Données projet'!$E$12+1,1))-AVERAGE(OFFSET($H$3,0,0,'Données projet'!$E$12+1,1))</f>
        <v>449.84356201138451</v>
      </c>
      <c r="CE75" s="59">
        <f t="shared" si="94"/>
        <v>306.61893266146666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3.5651214111550118</v>
      </c>
      <c r="CL75" s="21">
        <f>EXP(-LN(2)/25)*CL74+(1-EXP(-LN(2)/25))/(LN(2)/25)*Calculateur!CG75*Calculateur!CI75*VLOOKUP('Données projet'!$B$12,Paramètres!$A$1:$I$89,3,0)*0.475*44/12</f>
        <v>3.2753061923220175</v>
      </c>
      <c r="CM75" s="21">
        <f>EXP(-LN(2)/2)*CM74+(1-EXP(-LN(2)/2))/(LN(2)/2)*CG75*CJ75*VLOOKUP('Données projet'!$B$12,Paramètres!$A$1:$I$89,3,0)*0.475*44/12</f>
        <v>4.5608990628715292E-6</v>
      </c>
      <c r="CN75" s="22">
        <f t="shared" si="66"/>
        <v>6.8404321643760921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</v>
      </c>
      <c r="CT75" s="12">
        <f>IF('Données projet'!$A$140&gt;35,CT74+CS75-DB74,IF(A75&lt;'Données projet'!$A$140,$CQ$205^A75,IF(A75='Données projet'!$A$140,'Données projet'!$B$140,CT74+CS75-DB74)))</f>
        <v>289.2</v>
      </c>
      <c r="CU75" s="17">
        <f>CT75*VLOOKUP('Données projet'!$B$13,Paramètres!$A$1:$I$89,3,0)*VLOOKUP('Données projet'!$B$13,Paramètres!$A$1:$I$89,5,0)</f>
        <v>311.29487999999998</v>
      </c>
      <c r="CV75" s="13">
        <f t="shared" si="95"/>
        <v>73.539187014795203</v>
      </c>
      <c r="CW75" s="20">
        <f t="shared" si="67"/>
        <v>670.25266671743498</v>
      </c>
      <c r="CX75" s="59">
        <f t="shared" si="68"/>
        <v>963.58600005076823</v>
      </c>
      <c r="CY75" s="59">
        <f ca="1">AVERAGE(OFFSET($CX$3,0,0,'Données projet'!$E$13+1,1))-AVERAGE(OFFSET($H$3,0,0,'Données projet'!$E$13+1,1))</f>
        <v>475.01366239340246</v>
      </c>
      <c r="CZ75" s="59">
        <f t="shared" si="96"/>
        <v>322.81767004794284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3.7845134979953139</v>
      </c>
      <c r="DG75" s="21">
        <f>EXP(-LN(2)/25)*DG74+(1-EXP(-LN(2)/25))/(LN(2)/25)*Calculateur!DB75*Calculateur!DD75*VLOOKUP('Données projet'!$B$13,Paramètres!$A$1:$I$89,3,0)*0.475*44/12</f>
        <v>3.4768634964649081</v>
      </c>
      <c r="DH75" s="21">
        <f>EXP(-LN(2)/2)*DH74+(1-EXP(-LN(2)/2))/(LN(2)/2)*DB75*DE75*VLOOKUP('Données projet'!$B$13,Paramètres!$A$1:$I$89,3,0)*0.475*44/12</f>
        <v>4.8415697744328552E-6</v>
      </c>
      <c r="DI75" s="22">
        <f t="shared" si="69"/>
        <v>7.2613818360299964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2.2737367544323206E-13</v>
      </c>
      <c r="DP75" s="17">
        <f>DO75*VLOOKUP('Données projet'!$B$14,Paramètres!$A$1:$I$89,3,0)*VLOOKUP('Données projet'!$B$14,Paramètres!$A$1:$I$89,5,0)</f>
        <v>2.0572770154103635E-13</v>
      </c>
      <c r="DQ75" s="13">
        <f t="shared" si="97"/>
        <v>2.8416956338469711E-12</v>
      </c>
      <c r="DR75" s="20">
        <f t="shared" si="70"/>
        <v>5.3075956424674458E-12</v>
      </c>
      <c r="DS75" s="59">
        <f t="shared" si="71"/>
        <v>293.3333333333386</v>
      </c>
      <c r="DT75" s="59">
        <f ca="1">AVERAGE(OFFSET($DS$3,0,0,'Données projet'!$E$14+1,1))-AVERAGE(OFFSET($H$3,0,0,'Données projet'!$E$14+1,1))</f>
        <v>436.23918637269577</v>
      </c>
      <c r="DU75" s="59">
        <f t="shared" si="98"/>
        <v>611.43967996341894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1.4338228386889162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2.2509029164353473E-6</v>
      </c>
      <c r="ED75" s="22">
        <f t="shared" si="72"/>
        <v>1.4338250895918327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287.06496000000004</v>
      </c>
      <c r="P76" s="13">
        <f t="shared" si="87"/>
        <v>68.457865822206315</v>
      </c>
      <c r="Q76" s="20">
        <f t="shared" si="54"/>
        <v>619.20225497367608</v>
      </c>
      <c r="R76" s="59">
        <f t="shared" si="55"/>
        <v>912.53558830700945</v>
      </c>
      <c r="S76" s="59">
        <f ca="1">AVERAGE(OFFSET($R$3,0,0,'Données projet'!$E$9+1,1))-AVERAGE(OFFSET($H$3,0,0,'Données projet'!$E$9+1,1))</f>
        <v>430.94515308997018</v>
      </c>
      <c r="T76" s="59">
        <f t="shared" si="88"/>
        <v>294.45557293177131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3.3338940984166094</v>
      </c>
      <c r="AA76" s="21">
        <f>EXP(-LN(2)/25)*AA75+(1-EXP(-LN(2)/25))/(LN(2)/25)*Calculateur!V76*Calculateur!X76*VLOOKUP('Données projet'!$B$9,Paramètres!$A$1:$I$89,3,0)*0.475*44/12</f>
        <v>3.0387084904558535</v>
      </c>
      <c r="AB76" s="21">
        <f>EXP(-LN(2)/2)*AB75+(1-EXP(-LN(2)/2))/(LN(2)/2)*V76*Y76*VLOOKUP('Données projet'!$B$9,Paramètres!$A$1:$I$89,3,0)*0.475*44/12</f>
        <v>3.076194533094729E-6</v>
      </c>
      <c r="AC76" s="22">
        <f t="shared" si="57"/>
        <v>6.3726056650669953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387.49999999999989</v>
      </c>
      <c r="AJ76" s="13">
        <f>AI76*VLOOKUP('Données projet'!$B$10,Paramètres!$A$1:$I$89,3,0)*VLOOKUP('Données projet'!$B$10,Paramètres!$A$1:$I$89,5,0)</f>
        <v>181.34999999999994</v>
      </c>
      <c r="AK76" s="13">
        <f t="shared" si="89"/>
        <v>45.622405555921837</v>
      </c>
      <c r="AL76" s="20">
        <f t="shared" si="58"/>
        <v>395.310273009897</v>
      </c>
      <c r="AM76" s="59">
        <f t="shared" si="59"/>
        <v>688.64360634323032</v>
      </c>
      <c r="AN76" s="59">
        <f ca="1">AVERAGE(OFFSET($AM$3,0,0,'Données projet'!$E$10+1,1))-AVERAGE(OFFSET($H$3,0,0,'Données projet'!$E$10+1,1))</f>
        <v>319.22903094674564</v>
      </c>
      <c r="AO76" s="59">
        <f t="shared" si="90"/>
        <v>254.58690973142848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3.8731617376693084</v>
      </c>
      <c r="AV76" s="21">
        <f>EXP(-LN(2)/25)*AV75+(1-EXP(-LN(2)/25))/(LN(2)/25)*Calculateur!AQ76*Calculateur!AS76*VLOOKUP('Données projet'!$B$10,Paramètres!$A$1:$I$89,3,0)*0.475*44/12</f>
        <v>3.3849689903389968</v>
      </c>
      <c r="AW76" s="21">
        <f>EXP(-LN(2)/2)*AW75+(1-EXP(-LN(2)/2))/(LN(2)/2)*AQ76*AT76*VLOOKUP('Données projet'!$B$10,Paramètres!$A$1:$I$89,3,0)*0.475*44/12</f>
        <v>3.7234645602244474E-6</v>
      </c>
      <c r="AX76" s="21">
        <f t="shared" si="60"/>
        <v>7.2581344514728654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251.00000000000011</v>
      </c>
      <c r="BE76" s="13">
        <f>BD76*VLOOKUP('Données projet'!$B$11,Paramètres!$A$1:$I$89,3,0)*VLOOKUP('Données projet'!$B$11,Paramètres!$A$1:$I$89,5,0)</f>
        <v>219.27360000000016</v>
      </c>
      <c r="BF76" s="13">
        <f t="shared" si="91"/>
        <v>53.956975893220168</v>
      </c>
      <c r="BG76" s="20">
        <f t="shared" si="61"/>
        <v>475.87658634735868</v>
      </c>
      <c r="BH76" s="59">
        <f t="shared" si="62"/>
        <v>769.209919680692</v>
      </c>
      <c r="BI76" s="59">
        <f ca="1">AVERAGE(OFFSET($BH$3,0,0,'Données projet'!$E$11+1,1))-AVERAGE(OFFSET($H$3,0,0,'Données projet'!$E$11+1,1))</f>
        <v>395.21779046720553</v>
      </c>
      <c r="BJ76" s="59">
        <f t="shared" si="92"/>
        <v>360.05900046417361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2.0532966454589734</v>
      </c>
      <c r="BQ76" s="21">
        <f>EXP(-LN(2)/25)*BQ75+(1-EXP(-LN(2)/25))/(LN(2)/25)*Calculateur!BL76*Calculateur!BN76*VLOOKUP('Données projet'!$B$11,Paramètres!$A$1:$I$89,3,0)*0.475*44/12</f>
        <v>3.424078158318657</v>
      </c>
      <c r="BR76" s="21">
        <f>EXP(-LN(2)/2)*BR75+(1-EXP(-LN(2)/2))/(LN(2)/2)*BL76*BO76*VLOOKUP('Données projet'!$B$11,Paramètres!$A$1:$I$89,3,0)*0.475*44/12</f>
        <v>2.3593825398054763E-6</v>
      </c>
      <c r="BS76" s="22">
        <f t="shared" si="63"/>
        <v>5.4773771631601704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296.8</v>
      </c>
      <c r="BZ76" s="13">
        <f>BY76*VLOOKUP('Données projet'!$B$12,Paramètres!$A$1:$I$89,3,0)*VLOOKUP('Données projet'!$B$12,Paramètres!$A$1:$I$89,5,0)</f>
        <v>300.95520000000005</v>
      </c>
      <c r="CA76" s="13">
        <f t="shared" si="93"/>
        <v>71.376673021759785</v>
      </c>
      <c r="CB76" s="20">
        <f t="shared" si="64"/>
        <v>648.4780121795651</v>
      </c>
      <c r="CC76" s="59">
        <f t="shared" si="65"/>
        <v>941.81134551289847</v>
      </c>
      <c r="CD76" s="59">
        <f ca="1">AVERAGE(OFFSET($CC$3,0,0,'Données projet'!$E$12+1,1))-AVERAGE(OFFSET($H$3,0,0,'Données projet'!$E$12+1,1))</f>
        <v>449.84356201138451</v>
      </c>
      <c r="CE76" s="59">
        <f t="shared" si="94"/>
        <v>306.61893266146666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3.4952115547916081</v>
      </c>
      <c r="CL76" s="21">
        <f>EXP(-LN(2)/25)*CL75+(1-EXP(-LN(2)/25))/(LN(2)/25)*Calculateur!CG76*Calculateur!CI76*VLOOKUP('Données projet'!$B$12,Paramètres!$A$1:$I$89,3,0)*0.475*44/12</f>
        <v>3.1857427722521052</v>
      </c>
      <c r="CM76" s="21">
        <f>EXP(-LN(2)/2)*CM75+(1-EXP(-LN(2)/2))/(LN(2)/2)*CG76*CJ76*VLOOKUP('Données projet'!$B$12,Paramètres!$A$1:$I$89,3,0)*0.475*44/12</f>
        <v>3.2250426556638281E-6</v>
      </c>
      <c r="CN76" s="22">
        <f t="shared" si="66"/>
        <v>6.6809575520863689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</v>
      </c>
      <c r="CT76" s="12">
        <f>IF('Données projet'!$A$140&gt;35,CT75+CS76-DB75,IF(A76&lt;'Données projet'!$A$140,$CQ$205^A76,IF(A76='Données projet'!$A$140,'Données projet'!$B$140,CT75+CS76-DB75)))</f>
        <v>296.8</v>
      </c>
      <c r="CU76" s="17">
        <f>CT76*VLOOKUP('Données projet'!$B$13,Paramètres!$A$1:$I$89,3,0)*VLOOKUP('Données projet'!$B$13,Paramètres!$A$1:$I$89,5,0)</f>
        <v>319.47552000000002</v>
      </c>
      <c r="CV76" s="13">
        <f t="shared" si="95"/>
        <v>75.244214982768241</v>
      </c>
      <c r="CW76" s="20">
        <f t="shared" si="67"/>
        <v>687.47020509498805</v>
      </c>
      <c r="CX76" s="59">
        <f t="shared" si="68"/>
        <v>980.80353842832142</v>
      </c>
      <c r="CY76" s="59">
        <f ca="1">AVERAGE(OFFSET($CX$3,0,0,'Données projet'!$E$13+1,1))-AVERAGE(OFFSET($H$3,0,0,'Données projet'!$E$13+1,1))</f>
        <v>475.01366239340246</v>
      </c>
      <c r="CZ76" s="59">
        <f t="shared" si="96"/>
        <v>322.81767004794284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3.7103014966249313</v>
      </c>
      <c r="DG76" s="21">
        <f>EXP(-LN(2)/25)*DG75+(1-EXP(-LN(2)/25))/(LN(2)/25)*Calculateur!DB76*Calculateur!DD76*VLOOKUP('Données projet'!$B$13,Paramètres!$A$1:$I$89,3,0)*0.475*44/12</f>
        <v>3.3817884813137704</v>
      </c>
      <c r="DH76" s="21">
        <f>EXP(-LN(2)/2)*DH75+(1-EXP(-LN(2)/2))/(LN(2)/2)*DB76*DE76*VLOOKUP('Données projet'!$B$13,Paramètres!$A$1:$I$89,3,0)*0.475*44/12</f>
        <v>3.4235068190892953E-6</v>
      </c>
      <c r="DI76" s="22">
        <f t="shared" si="69"/>
        <v>7.0920934014455215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2.2737367544323206E-13</v>
      </c>
      <c r="DP76" s="17">
        <f>DO76*VLOOKUP('Données projet'!$B$14,Paramètres!$A$1:$I$89,3,0)*VLOOKUP('Données projet'!$B$14,Paramètres!$A$1:$I$89,5,0)</f>
        <v>2.0572770154103635E-13</v>
      </c>
      <c r="DQ76" s="13">
        <f t="shared" si="97"/>
        <v>2.8416956338469711E-12</v>
      </c>
      <c r="DR76" s="20">
        <f t="shared" si="70"/>
        <v>5.3075956424674458E-12</v>
      </c>
      <c r="DS76" s="59">
        <f t="shared" si="71"/>
        <v>293.3333333333386</v>
      </c>
      <c r="DT76" s="59">
        <f ca="1">AVERAGE(OFFSET($DS$3,0,0,'Données projet'!$E$14+1,1))-AVERAGE(OFFSET($H$3,0,0,'Données projet'!$E$14+1,1))</f>
        <v>436.23918637269577</v>
      </c>
      <c r="DU76" s="59">
        <f t="shared" si="98"/>
        <v>611.43967996341894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1.405706447367804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1.5916287160040108E-6</v>
      </c>
      <c r="ED76" s="22">
        <f t="shared" si="72"/>
        <v>1.40570803899652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294.41568000000001</v>
      </c>
      <c r="P77" s="13">
        <f t="shared" si="87"/>
        <v>70.004498360393455</v>
      </c>
      <c r="Q77" s="20">
        <f t="shared" si="54"/>
        <v>634.69847731101868</v>
      </c>
      <c r="R77" s="59">
        <f t="shared" si="55"/>
        <v>928.03181064435194</v>
      </c>
      <c r="S77" s="59">
        <f ca="1">AVERAGE(OFFSET($R$3,0,0,'Données projet'!$E$9+1,1))-AVERAGE(OFFSET($H$3,0,0,'Données projet'!$E$9+1,1))</f>
        <v>430.94515308997018</v>
      </c>
      <c r="T77" s="59">
        <f t="shared" si="88"/>
        <v>294.45557293177131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3.2685184686212709</v>
      </c>
      <c r="AA77" s="21">
        <f>EXP(-LN(2)/25)*AA76+(1-EXP(-LN(2)/25))/(LN(2)/25)*Calculateur!V77*Calculateur!X77*VLOOKUP('Données projet'!$B$9,Paramètres!$A$1:$I$89,3,0)*0.475*44/12</f>
        <v>2.9556148469856036</v>
      </c>
      <c r="AB77" s="21">
        <f>EXP(-LN(2)/2)*AB76+(1-EXP(-LN(2)/2))/(LN(2)/2)*V77*Y77*VLOOKUP('Données projet'!$B$9,Paramètres!$A$1:$I$89,3,0)*0.475*44/12</f>
        <v>2.1751980146002683E-6</v>
      </c>
      <c r="AC77" s="22">
        <f t="shared" si="57"/>
        <v>6.2241354908048887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404.49999999999989</v>
      </c>
      <c r="AJ77" s="13">
        <f>AI77*VLOOKUP('Données projet'!$B$10,Paramètres!$A$1:$I$89,3,0)*VLOOKUP('Données projet'!$B$10,Paramètres!$A$1:$I$89,5,0)</f>
        <v>189.30599999999993</v>
      </c>
      <c r="AK77" s="13">
        <f t="shared" si="89"/>
        <v>47.386486642979079</v>
      </c>
      <c r="AL77" s="20">
        <f t="shared" si="58"/>
        <v>412.23941423652178</v>
      </c>
      <c r="AM77" s="59">
        <f t="shared" si="59"/>
        <v>705.5727475698551</v>
      </c>
      <c r="AN77" s="59">
        <f ca="1">AVERAGE(OFFSET($AM$3,0,0,'Données projet'!$E$10+1,1))-AVERAGE(OFFSET($H$3,0,0,'Données projet'!$E$10+1,1))</f>
        <v>319.22903094674564</v>
      </c>
      <c r="AO77" s="59">
        <f t="shared" si="90"/>
        <v>254.58690973142848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3.7972113983890061</v>
      </c>
      <c r="AV77" s="21">
        <f>EXP(-LN(2)/25)*AV76+(1-EXP(-LN(2)/25))/(LN(2)/25)*Calculateur!AQ77*Calculateur!AS77*VLOOKUP('Données projet'!$B$10,Paramètres!$A$1:$I$89,3,0)*0.475*44/12</f>
        <v>3.2924068352903944</v>
      </c>
      <c r="AW77" s="21">
        <f>EXP(-LN(2)/2)*AW76+(1-EXP(-LN(2)/2))/(LN(2)/2)*AQ77*AT77*VLOOKUP('Données projet'!$B$10,Paramètres!$A$1:$I$89,3,0)*0.475*44/12</f>
        <v>2.6328870400424929E-6</v>
      </c>
      <c r="AX77" s="21">
        <f t="shared" si="60"/>
        <v>7.0896208665664409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256.00000000000011</v>
      </c>
      <c r="BE77" s="13">
        <f>BD77*VLOOKUP('Données projet'!$B$11,Paramètres!$A$1:$I$89,3,0)*VLOOKUP('Données projet'!$B$11,Paramètres!$A$1:$I$89,5,0)</f>
        <v>223.64160000000012</v>
      </c>
      <c r="BF77" s="13">
        <f t="shared" si="91"/>
        <v>54.905611653539218</v>
      </c>
      <c r="BG77" s="20">
        <f t="shared" si="61"/>
        <v>485.13639362991444</v>
      </c>
      <c r="BH77" s="59">
        <f t="shared" si="62"/>
        <v>778.46972696324769</v>
      </c>
      <c r="BI77" s="59">
        <f ca="1">AVERAGE(OFFSET($BH$3,0,0,'Données projet'!$E$11+1,1))-AVERAGE(OFFSET($H$3,0,0,'Données projet'!$E$11+1,1))</f>
        <v>395.21779046720553</v>
      </c>
      <c r="BJ77" s="59">
        <f t="shared" si="92"/>
        <v>360.05900046417361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2.0130327506288137</v>
      </c>
      <c r="BQ77" s="21">
        <f>EXP(-LN(2)/25)*BQ76+(1-EXP(-LN(2)/25))/(LN(2)/25)*Calculateur!BL77*Calculateur!BN77*VLOOKUP('Données projet'!$B$11,Paramètres!$A$1:$I$89,3,0)*0.475*44/12</f>
        <v>3.3304465610149889</v>
      </c>
      <c r="BR77" s="21">
        <f>EXP(-LN(2)/2)*BR76+(1-EXP(-LN(2)/2))/(LN(2)/2)*BL77*BO77*VLOOKUP('Données projet'!$B$11,Paramètres!$A$1:$I$89,3,0)*0.475*44/12</f>
        <v>1.6683353933095917E-6</v>
      </c>
      <c r="BS77" s="22">
        <f t="shared" si="63"/>
        <v>5.343480979979196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304.40000000000003</v>
      </c>
      <c r="BZ77" s="13">
        <f>BY77*VLOOKUP('Données projet'!$B$12,Paramètres!$A$1:$I$89,3,0)*VLOOKUP('Données projet'!$B$12,Paramètres!$A$1:$I$89,5,0)</f>
        <v>308.66160000000008</v>
      </c>
      <c r="CA77" s="13">
        <f t="shared" si="93"/>
        <v>72.98924863505313</v>
      </c>
      <c r="CB77" s="20">
        <f t="shared" si="64"/>
        <v>664.70856137271755</v>
      </c>
      <c r="CC77" s="59">
        <f t="shared" si="65"/>
        <v>958.04189470605093</v>
      </c>
      <c r="CD77" s="59">
        <f ca="1">AVERAGE(OFFSET($CC$3,0,0,'Données projet'!$E$12+1,1))-AVERAGE(OFFSET($H$3,0,0,'Données projet'!$E$12+1,1))</f>
        <v>449.84356201138451</v>
      </c>
      <c r="CE77" s="59">
        <f t="shared" si="94"/>
        <v>306.61893266146666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3.4266725880706885</v>
      </c>
      <c r="CL77" s="21">
        <f>EXP(-LN(2)/25)*CL76+(1-EXP(-LN(2)/25))/(LN(2)/25)*Calculateur!CG77*Calculateur!CI77*VLOOKUP('Données projet'!$B$12,Paramètres!$A$1:$I$89,3,0)*0.475*44/12</f>
        <v>3.0986284686139403</v>
      </c>
      <c r="CM77" s="21">
        <f>EXP(-LN(2)/2)*CM76+(1-EXP(-LN(2)/2))/(LN(2)/2)*CG77*CJ77*VLOOKUP('Données projet'!$B$12,Paramètres!$A$1:$I$89,3,0)*0.475*44/12</f>
        <v>2.2804495314357646E-6</v>
      </c>
      <c r="CN77" s="22">
        <f t="shared" si="66"/>
        <v>6.5253033371341607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</v>
      </c>
      <c r="CT77" s="12">
        <f>IF('Données projet'!$A$140&gt;35,CT76+CS77-DB76,IF(A77&lt;'Données projet'!$A$140,$CQ$205^A77,IF(A77='Données projet'!$A$140,'Données projet'!$B$140,CT76+CS77-DB76)))</f>
        <v>304.40000000000003</v>
      </c>
      <c r="CU77" s="17">
        <f>CT77*VLOOKUP('Données projet'!$B$13,Paramètres!$A$1:$I$89,3,0)*VLOOKUP('Données projet'!$B$13,Paramètres!$A$1:$I$89,5,0)</f>
        <v>327.65616</v>
      </c>
      <c r="CV77" s="13">
        <f t="shared" si="95"/>
        <v>76.94416793638409</v>
      </c>
      <c r="CW77" s="20">
        <f t="shared" si="67"/>
        <v>704.67890448920218</v>
      </c>
      <c r="CX77" s="59">
        <f t="shared" si="68"/>
        <v>998.01223782253555</v>
      </c>
      <c r="CY77" s="59">
        <f ca="1">AVERAGE(OFFSET($CX$3,0,0,'Données projet'!$E$13+1,1))-AVERAGE(OFFSET($H$3,0,0,'Données projet'!$E$13+1,1))</f>
        <v>475.01366239340246</v>
      </c>
      <c r="CZ77" s="59">
        <f t="shared" si="96"/>
        <v>322.81767004794284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3.6375447473365705</v>
      </c>
      <c r="DG77" s="21">
        <f>EXP(-LN(2)/25)*DG76+(1-EXP(-LN(2)/25))/(LN(2)/25)*Calculateur!DB77*Calculateur!DD77*VLOOKUP('Données projet'!$B$13,Paramètres!$A$1:$I$89,3,0)*0.475*44/12</f>
        <v>3.2893132974517183</v>
      </c>
      <c r="DH77" s="21">
        <f>EXP(-LN(2)/2)*DH76+(1-EXP(-LN(2)/2))/(LN(2)/2)*DB77*DE77*VLOOKUP('Données projet'!$B$13,Paramètres!$A$1:$I$89,3,0)*0.475*44/12</f>
        <v>2.4207848872164276E-6</v>
      </c>
      <c r="DI77" s="22">
        <f t="shared" si="69"/>
        <v>6.926860465573176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2.2737367544323206E-13</v>
      </c>
      <c r="DP77" s="17">
        <f>DO77*VLOOKUP('Données projet'!$B$14,Paramètres!$A$1:$I$89,3,0)*VLOOKUP('Données projet'!$B$14,Paramètres!$A$1:$I$89,5,0)</f>
        <v>2.0572770154103635E-13</v>
      </c>
      <c r="DQ77" s="13">
        <f t="shared" si="97"/>
        <v>2.8416956338469711E-12</v>
      </c>
      <c r="DR77" s="20">
        <f t="shared" si="70"/>
        <v>5.3075956424674458E-12</v>
      </c>
      <c r="DS77" s="59">
        <f t="shared" si="71"/>
        <v>293.3333333333386</v>
      </c>
      <c r="DT77" s="59">
        <f ca="1">AVERAGE(OFFSET($DS$3,0,0,'Données projet'!$E$14+1,1))-AVERAGE(OFFSET($H$3,0,0,'Données projet'!$E$14+1,1))</f>
        <v>436.23918637269577</v>
      </c>
      <c r="DU77" s="59">
        <f t="shared" si="98"/>
        <v>611.43967996341894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1.3781414013311934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1.1254514582176737E-6</v>
      </c>
      <c r="ED77" s="22">
        <f t="shared" si="72"/>
        <v>1.3781425267826517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301.76640000000003</v>
      </c>
      <c r="P78" s="13">
        <f t="shared" si="87"/>
        <v>71.546642144235364</v>
      </c>
      <c r="Q78" s="20">
        <f t="shared" si="54"/>
        <v>650.18688173454336</v>
      </c>
      <c r="R78" s="59">
        <f t="shared" si="55"/>
        <v>943.52021506787673</v>
      </c>
      <c r="S78" s="59">
        <f ca="1">AVERAGE(OFFSET($R$3,0,0,'Données projet'!$E$9+1,1))-AVERAGE(OFFSET($H$3,0,0,'Données projet'!$E$9+1,1))</f>
        <v>430.94515308997018</v>
      </c>
      <c r="T78" s="59">
        <f t="shared" si="88"/>
        <v>294.45557293177131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3.2044248150510222</v>
      </c>
      <c r="AA78" s="21">
        <f>EXP(-LN(2)/25)*AA77+(1-EXP(-LN(2)/25))/(LN(2)/25)*Calculateur!V78*Calculateur!X78*VLOOKUP('Données projet'!$B$9,Paramètres!$A$1:$I$89,3,0)*0.475*44/12</f>
        <v>2.8747934035657527</v>
      </c>
      <c r="AB78" s="21">
        <f>EXP(-LN(2)/2)*AB77+(1-EXP(-LN(2)/2))/(LN(2)/2)*V78*Y78*VLOOKUP('Données projet'!$B$9,Paramètres!$A$1:$I$89,3,0)*0.475*44/12</f>
        <v>1.5380972665473645E-6</v>
      </c>
      <c r="AC78" s="22">
        <f t="shared" si="57"/>
        <v>6.0792197567140418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421.49999999999989</v>
      </c>
      <c r="AJ78" s="13">
        <f>AI78*VLOOKUP('Données projet'!$B$10,Paramètres!$A$1:$I$89,3,0)*VLOOKUP('Données projet'!$B$10,Paramètres!$A$1:$I$89,5,0)</f>
        <v>197.26199999999994</v>
      </c>
      <c r="AK78" s="13">
        <f t="shared" si="89"/>
        <v>49.141956303266518</v>
      </c>
      <c r="AL78" s="20">
        <f t="shared" si="58"/>
        <v>429.15355722818907</v>
      </c>
      <c r="AM78" s="59">
        <f t="shared" si="59"/>
        <v>722.48689056152239</v>
      </c>
      <c r="AN78" s="59">
        <f ca="1">AVERAGE(OFFSET($AM$3,0,0,'Données projet'!$E$10+1,1))-AVERAGE(OFFSET($H$3,0,0,'Données projet'!$E$10+1,1))</f>
        <v>319.22903094674564</v>
      </c>
      <c r="AO78" s="59">
        <f t="shared" si="90"/>
        <v>254.58690973142848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3.7227503989368578</v>
      </c>
      <c r="AV78" s="21">
        <f>EXP(-LN(2)/25)*AV77+(1-EXP(-LN(2)/25))/(LN(2)/25)*Calculateur!AQ78*Calculateur!AS78*VLOOKUP('Données projet'!$B$10,Paramètres!$A$1:$I$89,3,0)*0.475*44/12</f>
        <v>3.2023757972392279</v>
      </c>
      <c r="AW78" s="21">
        <f>EXP(-LN(2)/2)*AW77+(1-EXP(-LN(2)/2))/(LN(2)/2)*AQ78*AT78*VLOOKUP('Données projet'!$B$10,Paramètres!$A$1:$I$89,3,0)*0.475*44/12</f>
        <v>1.8617322801122239E-6</v>
      </c>
      <c r="AX78" s="21">
        <f t="shared" si="60"/>
        <v>6.9251280579083661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261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261.00000000000011</v>
      </c>
      <c r="BE78" s="13">
        <f>BD78*VLOOKUP('Données projet'!$B$11,Paramètres!$A$1:$I$89,3,0)*VLOOKUP('Données projet'!$B$11,Paramètres!$A$1:$I$89,5,0)</f>
        <v>228.00960000000015</v>
      </c>
      <c r="BF78" s="13">
        <f t="shared" si="91"/>
        <v>55.852093054619878</v>
      </c>
      <c r="BG78" s="20">
        <f t="shared" si="61"/>
        <v>494.39244873679655</v>
      </c>
      <c r="BH78" s="59">
        <f t="shared" si="62"/>
        <v>787.72578207012987</v>
      </c>
      <c r="BI78" s="59">
        <f ca="1">AVERAGE(OFFSET($BH$3,0,0,'Données projet'!$E$11+1,1))-AVERAGE(OFFSET($H$3,0,0,'Données projet'!$E$11+1,1))</f>
        <v>395.21779046720553</v>
      </c>
      <c r="BJ78" s="59">
        <f t="shared" si="92"/>
        <v>360.05900046417361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19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1.9735584062177225</v>
      </c>
      <c r="BQ78" s="21">
        <f>EXP(-LN(2)/25)*BQ77+(1-EXP(-LN(2)/25))/(LN(2)/25)*Calculateur!BL78*Calculateur!BN78*VLOOKUP('Données projet'!$B$11,Paramètres!$A$1:$I$89,3,0)*0.475*44/12</f>
        <v>3.2393753246634613</v>
      </c>
      <c r="BR78" s="21">
        <f>EXP(-LN(2)/2)*BR77+(1-EXP(-LN(2)/2))/(LN(2)/2)*BL78*BO78*VLOOKUP('Données projet'!$B$11,Paramètres!$A$1:$I$89,3,0)*0.475*44/12</f>
        <v>1.1796912699027382E-6</v>
      </c>
      <c r="BS78" s="22">
        <f t="shared" si="63"/>
        <v>5.2129349105724536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312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312.00000000000006</v>
      </c>
      <c r="BZ78" s="13">
        <f>BY78*VLOOKUP('Données projet'!$B$12,Paramètres!$A$1:$I$89,3,0)*VLOOKUP('Données projet'!$B$12,Paramètres!$A$1:$I$89,5,0)</f>
        <v>316.36800000000005</v>
      </c>
      <c r="CA78" s="13">
        <f t="shared" si="93"/>
        <v>74.597144109003438</v>
      </c>
      <c r="CB78" s="20">
        <f t="shared" si="64"/>
        <v>680.93095932318113</v>
      </c>
      <c r="CC78" s="59">
        <f t="shared" si="65"/>
        <v>974.2642926565145</v>
      </c>
      <c r="CD78" s="59">
        <f ca="1">AVERAGE(OFFSET($CC$3,0,0,'Données projet'!$E$12+1,1))-AVERAGE(OFFSET($H$3,0,0,'Données projet'!$E$12+1,1))</f>
        <v>449.84356201138451</v>
      </c>
      <c r="CE78" s="59">
        <f t="shared" si="94"/>
        <v>306.61893266146666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28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3.3594776286825243</v>
      </c>
      <c r="CL78" s="21">
        <f>EXP(-LN(2)/25)*CL77+(1-EXP(-LN(2)/25))/(LN(2)/25)*Calculateur!CG78*Calculateur!CI78*VLOOKUP('Données projet'!$B$12,Paramètres!$A$1:$I$89,3,0)*0.475*44/12</f>
        <v>3.013896310189903</v>
      </c>
      <c r="CM78" s="21">
        <f>EXP(-LN(2)/2)*CM77+(1-EXP(-LN(2)/2))/(LN(2)/2)*CG78*CJ78*VLOOKUP('Données projet'!$B$12,Paramètres!$A$1:$I$89,3,0)*0.475*44/12</f>
        <v>1.612521327831914E-6</v>
      </c>
      <c r="CN78" s="22">
        <f t="shared" si="66"/>
        <v>6.3733755513937558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312</v>
      </c>
      <c r="CR78" s="12">
        <f>VLOOKUP(A78,'Données projet'!$A$139:$I$159,9,0)</f>
        <v>7.6</v>
      </c>
      <c r="CS78" s="12">
        <f t="array" ref="CS78">INDEX(CR:CR,MIN(IF(ISNUMBER(CR78:CR274),ROW(CR78:CR274),"")))</f>
        <v>7.6</v>
      </c>
      <c r="CT78" s="12">
        <f>IF('Données projet'!$A$140&gt;35,CT77+CS78-DB77,IF(A78&lt;'Données projet'!$A$140,$CQ$205^A78,IF(A78='Données projet'!$A$140,'Données projet'!$B$140,CT77+CS78-DB77)))</f>
        <v>312.00000000000006</v>
      </c>
      <c r="CU78" s="17">
        <f>CT78*VLOOKUP('Données projet'!$B$13,Paramètres!$A$1:$I$89,3,0)*VLOOKUP('Données projet'!$B$13,Paramètres!$A$1:$I$89,5,0)</f>
        <v>335.83680000000004</v>
      </c>
      <c r="CV78" s="13">
        <f t="shared" si="95"/>
        <v>78.639187157507763</v>
      </c>
      <c r="CW78" s="20">
        <f t="shared" si="67"/>
        <v>721.87901096599273</v>
      </c>
      <c r="CX78" s="59">
        <f t="shared" si="68"/>
        <v>1015.2123442993261</v>
      </c>
      <c r="CY78" s="59">
        <f ca="1">AVERAGE(OFFSET($CX$3,0,0,'Données projet'!$E$13+1,1))-AVERAGE(OFFSET($H$3,0,0,'Données projet'!$E$13+1,1))</f>
        <v>475.01366239340246</v>
      </c>
      <c r="CZ78" s="59">
        <f t="shared" si="96"/>
        <v>322.81767004794284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3.5662147135245195</v>
      </c>
      <c r="DG78" s="21">
        <f>EXP(-LN(2)/25)*DG77+(1-EXP(-LN(2)/25))/(LN(2)/25)*Calculateur!DB78*Calculateur!DD78*VLOOKUP('Données projet'!$B$13,Paramètres!$A$1:$I$89,3,0)*0.475*44/12</f>
        <v>3.1993668523554324</v>
      </c>
      <c r="DH78" s="21">
        <f>EXP(-LN(2)/2)*DH77+(1-EXP(-LN(2)/2))/(LN(2)/2)*DB78*DE78*VLOOKUP('Données projet'!$B$13,Paramètres!$A$1:$I$89,3,0)*0.475*44/12</f>
        <v>1.7117534095446476E-6</v>
      </c>
      <c r="DI78" s="22">
        <f t="shared" si="69"/>
        <v>6.7655832776333611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2.2737367544323206E-13</v>
      </c>
      <c r="DP78" s="17">
        <f>DO78*VLOOKUP('Données projet'!$B$14,Paramètres!$A$1:$I$89,3,0)*VLOOKUP('Données projet'!$B$14,Paramètres!$A$1:$I$89,5,0)</f>
        <v>2.0572770154103635E-13</v>
      </c>
      <c r="DQ78" s="13">
        <f t="shared" si="97"/>
        <v>2.8416956338469711E-12</v>
      </c>
      <c r="DR78" s="20">
        <f t="shared" si="70"/>
        <v>5.3075956424674458E-12</v>
      </c>
      <c r="DS78" s="59">
        <f t="shared" si="71"/>
        <v>293.3333333333386</v>
      </c>
      <c r="DT78" s="59">
        <f ca="1">AVERAGE(OFFSET($DS$3,0,0,'Données projet'!$E$14+1,1))-AVERAGE(OFFSET($H$3,0,0,'Données projet'!$E$14+1,1))</f>
        <v>436.23918637269577</v>
      </c>
      <c r="DU78" s="59">
        <f t="shared" si="98"/>
        <v>611.43967996341894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1.3511168890343428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7.9581435800200541E-7</v>
      </c>
      <c r="ED78" s="22">
        <f t="shared" si="72"/>
        <v>1.3511176848487008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281.64864000000006</v>
      </c>
      <c r="P79" s="13">
        <f t="shared" si="87"/>
        <v>67.315294774697747</v>
      </c>
      <c r="Q79" s="20">
        <f t="shared" si="54"/>
        <v>607.77885306593191</v>
      </c>
      <c r="R79" s="59">
        <f t="shared" si="55"/>
        <v>901.11218639926528</v>
      </c>
      <c r="S79" s="59">
        <f ca="1">AVERAGE(OFFSET($R$3,0,0,'Données projet'!$E$9+1,1))-AVERAGE(OFFSET($H$3,0,0,'Données projet'!$E$9+1,1))</f>
        <v>430.94515308997018</v>
      </c>
      <c r="T79" s="59">
        <f t="shared" si="88"/>
        <v>294.45557293177131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3.1415879989340172</v>
      </c>
      <c r="AA79" s="21">
        <f>EXP(-LN(2)/25)*AA78+(1-EXP(-LN(2)/25))/(LN(2)/25)*Calculateur!V79*Calculateur!X79*VLOOKUP('Données projet'!$B$9,Paramètres!$A$1:$I$89,3,0)*0.475*44/12</f>
        <v>2.7961820267664326</v>
      </c>
      <c r="AB79" s="21">
        <f>EXP(-LN(2)/2)*AB78+(1-EXP(-LN(2)/2))/(LN(2)/2)*V79*Y79*VLOOKUP('Données projet'!$B$9,Paramètres!$A$1:$I$89,3,0)*0.475*44/12</f>
        <v>1.0875990073001341E-6</v>
      </c>
      <c r="AC79" s="22">
        <f t="shared" si="57"/>
        <v>5.9377711132994575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</v>
      </c>
      <c r="AI79" s="13">
        <f>IF('Données projet'!$A$62&gt;35,AI78+AH79-AQ78,IF(A79&lt;'Données projet'!$A$62,$AF$205^A79,IF(A79='Données projet'!$A$62,'Données projet'!$B$62,AI78+AH79-AQ78)))</f>
        <v>438.49999999999989</v>
      </c>
      <c r="AJ79" s="13">
        <f>AI79*VLOOKUP('Données projet'!$B$10,Paramètres!$A$1:$I$89,3,0)*VLOOKUP('Données projet'!$B$10,Paramètres!$A$1:$I$89,5,0)</f>
        <v>205.21799999999996</v>
      </c>
      <c r="AK79" s="13">
        <f t="shared" si="89"/>
        <v>50.889201586985514</v>
      </c>
      <c r="AL79" s="20">
        <f t="shared" si="58"/>
        <v>446.05337609733306</v>
      </c>
      <c r="AM79" s="59">
        <f t="shared" si="59"/>
        <v>739.38670943066631</v>
      </c>
      <c r="AN79" s="59">
        <f ca="1">AVERAGE(OFFSET($AM$3,0,0,'Données projet'!$E$10+1,1))-AVERAGE(OFFSET($H$3,0,0,'Données projet'!$E$10+1,1))</f>
        <v>319.22903094674564</v>
      </c>
      <c r="AO79" s="59">
        <f t="shared" si="90"/>
        <v>254.58690973142848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3.649749534267241</v>
      </c>
      <c r="AV79" s="21">
        <f>EXP(-LN(2)/25)*AV78+(1-EXP(-LN(2)/25))/(LN(2)/25)*Calculateur!AQ79*Calculateur!AS79*VLOOKUP('Données projet'!$B$10,Paramètres!$A$1:$I$89,3,0)*0.475*44/12</f>
        <v>3.114806662658097</v>
      </c>
      <c r="AW79" s="21">
        <f>EXP(-LN(2)/2)*AW78+(1-EXP(-LN(2)/2))/(LN(2)/2)*AQ79*AT79*VLOOKUP('Données projet'!$B$10,Paramètres!$A$1:$I$89,3,0)*0.475*44/12</f>
        <v>1.3164435200212467E-6</v>
      </c>
      <c r="AX79" s="21">
        <f t="shared" si="60"/>
        <v>6.7645575133688585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4.4000000000000004</v>
      </c>
      <c r="BD79" s="12">
        <f>IF('Données projet'!$A$88&gt;35,BD78+BC79-BL78,IF(A79&lt;'Données projet'!$A$88,$BA$205^A79,IF(A79='Données projet'!$A$88,'Données projet'!$B$88,BD78+BC79-BL78)))</f>
        <v>246.40000000000009</v>
      </c>
      <c r="BE79" s="13">
        <f>BD79*VLOOKUP('Données projet'!$B$11,Paramètres!$A$1:$I$89,3,0)*VLOOKUP('Données projet'!$B$11,Paramètres!$A$1:$I$89,5,0)</f>
        <v>215.25504000000012</v>
      </c>
      <c r="BF79" s="13">
        <f t="shared" si="91"/>
        <v>53.082287058997267</v>
      </c>
      <c r="BG79" s="20">
        <f t="shared" si="61"/>
        <v>467.35417796108709</v>
      </c>
      <c r="BH79" s="59">
        <f t="shared" si="62"/>
        <v>760.68751129442035</v>
      </c>
      <c r="BI79" s="59">
        <f ca="1">AVERAGE(OFFSET($BH$3,0,0,'Données projet'!$E$11+1,1))-AVERAGE(OFFSET($H$3,0,0,'Données projet'!$E$11+1,1))</f>
        <v>395.21779046720553</v>
      </c>
      <c r="BJ79" s="59">
        <f t="shared" si="92"/>
        <v>360.05900046417361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1.9348581296235601</v>
      </c>
      <c r="BQ79" s="21">
        <f>EXP(-LN(2)/25)*BQ78+(1-EXP(-LN(2)/25))/(LN(2)/25)*Calculateur!BL79*Calculateur!BN79*VLOOKUP('Données projet'!$B$11,Paramètres!$A$1:$I$89,3,0)*0.475*44/12</f>
        <v>3.1507944360591944</v>
      </c>
      <c r="BR79" s="21">
        <f>EXP(-LN(2)/2)*BR78+(1-EXP(-LN(2)/2))/(LN(2)/2)*BL79*BO79*VLOOKUP('Données projet'!$B$11,Paramètres!$A$1:$I$89,3,0)*0.475*44/12</f>
        <v>8.3416769665479587E-7</v>
      </c>
      <c r="BS79" s="22">
        <f t="shared" si="63"/>
        <v>5.0856533998504512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291.20000000000005</v>
      </c>
      <c r="BZ79" s="13">
        <f>BY79*VLOOKUP('Données projet'!$B$12,Paramètres!$A$1:$I$89,3,0)*VLOOKUP('Données projet'!$B$12,Paramètres!$A$1:$I$89,5,0)</f>
        <v>295.27680000000004</v>
      </c>
      <c r="CA79" s="13">
        <f t="shared" si="93"/>
        <v>70.185386686980493</v>
      </c>
      <c r="CB79" s="20">
        <f t="shared" si="64"/>
        <v>636.51330847982445</v>
      </c>
      <c r="CC79" s="59">
        <f t="shared" si="65"/>
        <v>929.8466418131577</v>
      </c>
      <c r="CD79" s="59">
        <f ca="1">AVERAGE(OFFSET($CC$3,0,0,'Données projet'!$E$12+1,1))-AVERAGE(OFFSET($H$3,0,0,'Données projet'!$E$12+1,1))</f>
        <v>449.84356201138451</v>
      </c>
      <c r="CE79" s="59">
        <f t="shared" si="94"/>
        <v>306.61893266146666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3.2936003214630838</v>
      </c>
      <c r="CL79" s="21">
        <f>EXP(-LN(2)/25)*CL78+(1-EXP(-LN(2)/25))/(LN(2)/25)*Calculateur!CG79*Calculateur!CI79*VLOOKUP('Données projet'!$B$12,Paramètres!$A$1:$I$89,3,0)*0.475*44/12</f>
        <v>2.9314811570938417</v>
      </c>
      <c r="CM79" s="21">
        <f>EXP(-LN(2)/2)*CM78+(1-EXP(-LN(2)/2))/(LN(2)/2)*CG79*CJ79*VLOOKUP('Données projet'!$B$12,Paramètres!$A$1:$I$89,3,0)*0.475*44/12</f>
        <v>1.1402247657178823E-6</v>
      </c>
      <c r="CN79" s="22">
        <f t="shared" si="66"/>
        <v>6.2250826187816912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7.2</v>
      </c>
      <c r="CT79" s="12">
        <f>IF('Données projet'!$A$140&gt;35,CT78+CS79-DB78,IF(A79&lt;'Données projet'!$A$140,$CQ$205^A79,IF(A79='Données projet'!$A$140,'Données projet'!$B$140,CT78+CS79-DB78)))</f>
        <v>291.20000000000005</v>
      </c>
      <c r="CU79" s="17">
        <f>CT79*VLOOKUP('Données projet'!$B$13,Paramètres!$A$1:$I$89,3,0)*VLOOKUP('Données projet'!$B$13,Paramètres!$A$1:$I$89,5,0)</f>
        <v>313.44768000000005</v>
      </c>
      <c r="CV79" s="13">
        <f t="shared" si="95"/>
        <v>73.988378849122171</v>
      </c>
      <c r="CW79" s="20">
        <f t="shared" si="67"/>
        <v>674.78446916222117</v>
      </c>
      <c r="CX79" s="59">
        <f t="shared" si="68"/>
        <v>968.11780249555454</v>
      </c>
      <c r="CY79" s="59">
        <f ca="1">AVERAGE(OFFSET($CX$3,0,0,'Données projet'!$E$13+1,1))-AVERAGE(OFFSET($H$3,0,0,'Données projet'!$E$13+1,1))</f>
        <v>475.01366239340246</v>
      </c>
      <c r="CZ79" s="59">
        <f t="shared" si="96"/>
        <v>322.81767004794284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3.4962834181684981</v>
      </c>
      <c r="DG79" s="21">
        <f>EXP(-LN(2)/25)*DG78+(1-EXP(-LN(2)/25))/(LN(2)/25)*Calculateur!DB79*Calculateur!DD79*VLOOKUP('Données projet'!$B$13,Paramètres!$A$1:$I$89,3,0)*0.475*44/12</f>
        <v>3.1118799975303824</v>
      </c>
      <c r="DH79" s="21">
        <f>EXP(-LN(2)/2)*DH78+(1-EXP(-LN(2)/2))/(LN(2)/2)*DB79*DE79*VLOOKUP('Données projet'!$B$13,Paramètres!$A$1:$I$89,3,0)*0.475*44/12</f>
        <v>1.2103924436082138E-6</v>
      </c>
      <c r="DI79" s="22">
        <f t="shared" si="69"/>
        <v>6.6081646260913249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2.2737367544323206E-13</v>
      </c>
      <c r="DP79" s="17">
        <f>DO79*VLOOKUP('Données projet'!$B$14,Paramètres!$A$1:$I$89,3,0)*VLOOKUP('Données projet'!$B$14,Paramètres!$A$1:$I$89,5,0)</f>
        <v>2.0572770154103635E-13</v>
      </c>
      <c r="DQ79" s="13">
        <f t="shared" si="97"/>
        <v>2.8416956338469711E-12</v>
      </c>
      <c r="DR79" s="20">
        <f t="shared" si="70"/>
        <v>5.3075956424674458E-12</v>
      </c>
      <c r="DS79" s="59">
        <f t="shared" si="71"/>
        <v>293.3333333333386</v>
      </c>
      <c r="DT79" s="59">
        <f ca="1">AVERAGE(OFFSET($DS$3,0,0,'Données projet'!$E$14+1,1))-AVERAGE(OFFSET($H$3,0,0,'Données projet'!$E$14+1,1))</f>
        <v>436.23918637269577</v>
      </c>
      <c r="DU79" s="59">
        <f t="shared" si="98"/>
        <v>611.43967996341894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1.3246223109403086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5.6272572910883683E-7</v>
      </c>
      <c r="ED79" s="22">
        <f t="shared" si="72"/>
        <v>1.3246228736660377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288.61248000000001</v>
      </c>
      <c r="P80" s="13">
        <f t="shared" si="87"/>
        <v>68.783851967051476</v>
      </c>
      <c r="Q80" s="20">
        <f t="shared" si="54"/>
        <v>622.4652781759479</v>
      </c>
      <c r="R80" s="59">
        <f t="shared" si="55"/>
        <v>915.79861150928127</v>
      </c>
      <c r="S80" s="59">
        <f ca="1">AVERAGE(OFFSET($R$3,0,0,'Données projet'!$E$9+1,1))-AVERAGE(OFFSET($H$3,0,0,'Données projet'!$E$9+1,1))</f>
        <v>430.94515308997018</v>
      </c>
      <c r="T80" s="59">
        <f t="shared" si="88"/>
        <v>294.45557293177131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3.0799833744543936</v>
      </c>
      <c r="AA80" s="21">
        <f>EXP(-LN(2)/25)*AA79+(1-EXP(-LN(2)/25))/(LN(2)/25)*Calculateur!V80*Calculateur!X80*VLOOKUP('Données projet'!$B$9,Paramètres!$A$1:$I$89,3,0)*0.475*44/12</f>
        <v>2.7197202821996824</v>
      </c>
      <c r="AB80" s="21">
        <f>EXP(-LN(2)/2)*AB79+(1-EXP(-LN(2)/2))/(LN(2)/2)*V80*Y80*VLOOKUP('Données projet'!$B$9,Paramètres!$A$1:$I$89,3,0)*0.475*44/12</f>
        <v>7.6904863327368226E-7</v>
      </c>
      <c r="AC80" s="22">
        <f t="shared" si="57"/>
        <v>5.7997044257027097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</v>
      </c>
      <c r="AI80" s="13">
        <f>IF('Données projet'!$A$62&gt;35,AI79+AH80-AQ79,IF(A80&lt;'Données projet'!$A$62,$AF$205^A80,IF(A80='Données projet'!$A$62,'Données projet'!$B$62,AI79+AH80-AQ79)))</f>
        <v>455.49999999999989</v>
      </c>
      <c r="AJ80" s="13">
        <f>AI80*VLOOKUP('Données projet'!$B$10,Paramètres!$A$1:$I$89,3,0)*VLOOKUP('Données projet'!$B$10,Paramètres!$A$1:$I$89,5,0)</f>
        <v>213.17399999999995</v>
      </c>
      <c r="AK80" s="13">
        <f t="shared" si="89"/>
        <v>52.628577834232573</v>
      </c>
      <c r="AL80" s="20">
        <f t="shared" si="58"/>
        <v>462.93948972795494</v>
      </c>
      <c r="AM80" s="59">
        <f t="shared" si="59"/>
        <v>756.27282306128825</v>
      </c>
      <c r="AN80" s="59">
        <f ca="1">AVERAGE(OFFSET($AM$3,0,0,'Données projet'!$E$10+1,1))-AVERAGE(OFFSET($H$3,0,0,'Données projet'!$E$10+1,1))</f>
        <v>319.22903094674564</v>
      </c>
      <c r="AO80" s="59">
        <f t="shared" si="90"/>
        <v>254.58690973142848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3.5781801720276647</v>
      </c>
      <c r="AV80" s="21">
        <f>EXP(-LN(2)/25)*AV79+(1-EXP(-LN(2)/25))/(LN(2)/25)*Calculateur!AQ80*Calculateur!AS80*VLOOKUP('Données projet'!$B$10,Paramètres!$A$1:$I$89,3,0)*0.475*44/12</f>
        <v>3.0296321106671478</v>
      </c>
      <c r="AW80" s="21">
        <f>EXP(-LN(2)/2)*AW79+(1-EXP(-LN(2)/2))/(LN(2)/2)*AQ80*AT80*VLOOKUP('Données projet'!$B$10,Paramètres!$A$1:$I$89,3,0)*0.475*44/12</f>
        <v>9.3086614005611217E-7</v>
      </c>
      <c r="AX80" s="21">
        <f t="shared" si="60"/>
        <v>6.6078132135609522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4.4000000000000004</v>
      </c>
      <c r="BD80" s="12">
        <f>IF('Données projet'!$A$88&gt;35,BD79+BC80-BL79,IF(A80&lt;'Données projet'!$A$88,$BA$205^A80,IF(A80='Données projet'!$A$88,'Données projet'!$B$88,BD79+BC80-BL79)))</f>
        <v>250.8000000000001</v>
      </c>
      <c r="BE80" s="13">
        <f>BD80*VLOOKUP('Données projet'!$B$11,Paramètres!$A$1:$I$89,3,0)*VLOOKUP('Données projet'!$B$11,Paramètres!$A$1:$I$89,5,0)</f>
        <v>219.09888000000012</v>
      </c>
      <c r="BF80" s="13">
        <f t="shared" si="91"/>
        <v>53.918984980452286</v>
      </c>
      <c r="BG80" s="20">
        <f t="shared" si="61"/>
        <v>475.50611484095458</v>
      </c>
      <c r="BH80" s="59">
        <f t="shared" si="62"/>
        <v>768.8394481742879</v>
      </c>
      <c r="BI80" s="59">
        <f ca="1">AVERAGE(OFFSET($BH$3,0,0,'Données projet'!$E$11+1,1))-AVERAGE(OFFSET($H$3,0,0,'Données projet'!$E$11+1,1))</f>
        <v>395.21779046720553</v>
      </c>
      <c r="BJ80" s="59">
        <f t="shared" si="92"/>
        <v>360.05900046417361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1.8969167418485713</v>
      </c>
      <c r="BQ80" s="21">
        <f>EXP(-LN(2)/25)*BQ79+(1-EXP(-LN(2)/25))/(LN(2)/25)*Calculateur!BL80*Calculateur!BN80*VLOOKUP('Données projet'!$B$11,Paramètres!$A$1:$I$89,3,0)*0.475*44/12</f>
        <v>3.0646357965120776</v>
      </c>
      <c r="BR80" s="21">
        <f>EXP(-LN(2)/2)*BR79+(1-EXP(-LN(2)/2))/(LN(2)/2)*BL80*BO80*VLOOKUP('Données projet'!$B$11,Paramètres!$A$1:$I$89,3,0)*0.475*44/12</f>
        <v>5.8984563495136908E-7</v>
      </c>
      <c r="BS80" s="22">
        <f t="shared" si="63"/>
        <v>4.9615531282062832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298.40000000000003</v>
      </c>
      <c r="BZ80" s="13">
        <f>BY80*VLOOKUP('Données projet'!$B$12,Paramètres!$A$1:$I$89,3,0)*VLOOKUP('Données projet'!$B$12,Paramètres!$A$1:$I$89,5,0)</f>
        <v>302.57760000000007</v>
      </c>
      <c r="CA80" s="13">
        <f t="shared" si="93"/>
        <v>71.716558091076294</v>
      </c>
      <c r="CB80" s="20">
        <f t="shared" si="64"/>
        <v>651.89565867529132</v>
      </c>
      <c r="CC80" s="59">
        <f t="shared" si="65"/>
        <v>945.22899200862457</v>
      </c>
      <c r="CD80" s="59">
        <f ca="1">AVERAGE(OFFSET($CC$3,0,0,'Données projet'!$E$12+1,1))-AVERAGE(OFFSET($H$3,0,0,'Données projet'!$E$12+1,1))</f>
        <v>449.84356201138451</v>
      </c>
      <c r="CE80" s="59">
        <f t="shared" si="94"/>
        <v>306.61893266146666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3.2290148280570268</v>
      </c>
      <c r="CL80" s="21">
        <f>EXP(-LN(2)/25)*CL79+(1-EXP(-LN(2)/25))/(LN(2)/25)*Calculateur!CG80*Calculateur!CI80*VLOOKUP('Données projet'!$B$12,Paramètres!$A$1:$I$89,3,0)*0.475*44/12</f>
        <v>2.8513196506932164</v>
      </c>
      <c r="CM80" s="21">
        <f>EXP(-LN(2)/2)*CM79+(1-EXP(-LN(2)/2))/(LN(2)/2)*CG80*CJ80*VLOOKUP('Données projet'!$B$12,Paramètres!$A$1:$I$89,3,0)*0.475*44/12</f>
        <v>8.0626066391595702E-7</v>
      </c>
      <c r="CN80" s="22">
        <f t="shared" si="66"/>
        <v>6.0803352850109071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7.2</v>
      </c>
      <c r="CT80" s="12">
        <f>IF('Données projet'!$A$140&gt;35,CT79+CS80-DB79,IF(A80&lt;'Données projet'!$A$140,$CQ$205^A80,IF(A80='Données projet'!$A$140,'Données projet'!$B$140,CT79+CS80-DB79)))</f>
        <v>298.40000000000003</v>
      </c>
      <c r="CU80" s="17">
        <f>CT80*VLOOKUP('Données projet'!$B$13,Paramètres!$A$1:$I$89,3,0)*VLOOKUP('Données projet'!$B$13,Paramètres!$A$1:$I$89,5,0)</f>
        <v>321.19776000000002</v>
      </c>
      <c r="CV80" s="13">
        <f t="shared" si="95"/>
        <v>75.602516709962615</v>
      </c>
      <c r="CW80" s="20">
        <f t="shared" si="67"/>
        <v>691.09381526985146</v>
      </c>
      <c r="CX80" s="59">
        <f t="shared" si="68"/>
        <v>984.42714860318483</v>
      </c>
      <c r="CY80" s="59">
        <f ca="1">AVERAGE(OFFSET($CX$3,0,0,'Données projet'!$E$13+1,1))-AVERAGE(OFFSET($H$3,0,0,'Données projet'!$E$13+1,1))</f>
        <v>475.01366239340246</v>
      </c>
      <c r="CZ80" s="59">
        <f t="shared" si="96"/>
        <v>322.81767004794284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3.4277234328605299</v>
      </c>
      <c r="DG80" s="21">
        <f>EXP(-LN(2)/25)*DG79+(1-EXP(-LN(2)/25))/(LN(2)/25)*Calculateur!DB80*Calculateur!DD80*VLOOKUP('Données projet'!$B$13,Paramètres!$A$1:$I$89,3,0)*0.475*44/12</f>
        <v>3.0267854753512573</v>
      </c>
      <c r="DH80" s="21">
        <f>EXP(-LN(2)/2)*DH79+(1-EXP(-LN(2)/2))/(LN(2)/2)*DB80*DE80*VLOOKUP('Données projet'!$B$13,Paramètres!$A$1:$I$89,3,0)*0.475*44/12</f>
        <v>8.5587670477232381E-7</v>
      </c>
      <c r="DI80" s="22">
        <f t="shared" si="69"/>
        <v>6.4545097640884919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2.2737367544323206E-13</v>
      </c>
      <c r="DP80" s="17">
        <f>DO80*VLOOKUP('Données projet'!$B$14,Paramètres!$A$1:$I$89,3,0)*VLOOKUP('Données projet'!$B$14,Paramètres!$A$1:$I$89,5,0)</f>
        <v>2.0572770154103635E-13</v>
      </c>
      <c r="DQ80" s="13">
        <f t="shared" si="97"/>
        <v>2.8416956338469711E-12</v>
      </c>
      <c r="DR80" s="20">
        <f t="shared" si="70"/>
        <v>5.3075956424674458E-12</v>
      </c>
      <c r="DS80" s="59">
        <f t="shared" si="71"/>
        <v>293.3333333333386</v>
      </c>
      <c r="DT80" s="59">
        <f ca="1">AVERAGE(OFFSET($DS$3,0,0,'Données projet'!$E$14+1,1))-AVERAGE(OFFSET($H$3,0,0,'Données projet'!$E$14+1,1))</f>
        <v>436.23918637269577</v>
      </c>
      <c r="DU80" s="59">
        <f t="shared" si="98"/>
        <v>611.43967996341894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1.2986472753626013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3.9790717900100271E-7</v>
      </c>
      <c r="ED80" s="22">
        <f t="shared" si="72"/>
        <v>1.2986476732697803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295.57632000000001</v>
      </c>
      <c r="P81" s="13">
        <f t="shared" si="87"/>
        <v>70.24828996461811</v>
      </c>
      <c r="Q81" s="20">
        <f t="shared" si="54"/>
        <v>637.1445290217099</v>
      </c>
      <c r="R81" s="59">
        <f t="shared" si="55"/>
        <v>930.47786235504327</v>
      </c>
      <c r="S81" s="59">
        <f ca="1">AVERAGE(OFFSET($R$3,0,0,'Données projet'!$E$9+1,1))-AVERAGE(OFFSET($H$3,0,0,'Données projet'!$E$9+1,1))</f>
        <v>430.94515308997018</v>
      </c>
      <c r="T81" s="59">
        <f t="shared" si="88"/>
        <v>294.45557293177131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3.0195867790857047</v>
      </c>
      <c r="AA81" s="21">
        <f>EXP(-LN(2)/25)*AA80+(1-EXP(-LN(2)/25))/(LN(2)/25)*Calculateur!V81*Calculateur!X81*VLOOKUP('Données projet'!$B$9,Paramètres!$A$1:$I$89,3,0)*0.475*44/12</f>
        <v>2.6453493880590586</v>
      </c>
      <c r="AB81" s="21">
        <f>EXP(-LN(2)/2)*AB80+(1-EXP(-LN(2)/2))/(LN(2)/2)*V81*Y81*VLOOKUP('Données projet'!$B$9,Paramètres!$A$1:$I$89,3,0)*0.475*44/12</f>
        <v>5.4379950365006706E-7</v>
      </c>
      <c r="AC81" s="22">
        <f t="shared" si="57"/>
        <v>5.664936710944267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</v>
      </c>
      <c r="AI81" s="13">
        <f>IF('Données projet'!$A$62&gt;35,AI80+AH81-AQ80,IF(A81&lt;'Données projet'!$A$62,$AF$205^A81,IF(A81='Données projet'!$A$62,'Données projet'!$B$62,AI80+AH81-AQ80)))</f>
        <v>472.49999999999989</v>
      </c>
      <c r="AJ81" s="13">
        <f>AI81*VLOOKUP('Données projet'!$B$10,Paramètres!$A$1:$I$89,3,0)*VLOOKUP('Données projet'!$B$10,Paramètres!$A$1:$I$89,5,0)</f>
        <v>221.12999999999997</v>
      </c>
      <c r="AK81" s="13">
        <f t="shared" si="89"/>
        <v>54.360412358692685</v>
      </c>
      <c r="AL81" s="20">
        <f t="shared" si="58"/>
        <v>479.81246819138977</v>
      </c>
      <c r="AM81" s="59">
        <f t="shared" si="59"/>
        <v>773.14580152472308</v>
      </c>
      <c r="AN81" s="59">
        <f ca="1">AVERAGE(OFFSET($AM$3,0,0,'Données projet'!$E$10+1,1))-AVERAGE(OFFSET($H$3,0,0,'Données projet'!$E$10+1,1))</f>
        <v>319.22903094674564</v>
      </c>
      <c r="AO81" s="59">
        <f t="shared" si="90"/>
        <v>254.58690973142848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3.5080142413286057</v>
      </c>
      <c r="AV81" s="21">
        <f>EXP(-LN(2)/25)*AV80+(1-EXP(-LN(2)/25))/(LN(2)/25)*Calculateur!AQ81*Calculateur!AS81*VLOOKUP('Données projet'!$B$10,Paramètres!$A$1:$I$89,3,0)*0.475*44/12</f>
        <v>2.9467866612795262</v>
      </c>
      <c r="AW81" s="21">
        <f>EXP(-LN(2)/2)*AW80+(1-EXP(-LN(2)/2))/(LN(2)/2)*AQ81*AT81*VLOOKUP('Données projet'!$B$10,Paramètres!$A$1:$I$89,3,0)*0.475*44/12</f>
        <v>6.5822176001062344E-7</v>
      </c>
      <c r="AX81" s="21">
        <f t="shared" si="60"/>
        <v>6.4548015608298916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4.4000000000000004</v>
      </c>
      <c r="BD81" s="12">
        <f>IF('Données projet'!$A$88&gt;35,BD80+BC81-BL80,IF(A81&lt;'Données projet'!$A$88,$BA$205^A81,IF(A81='Données projet'!$A$88,'Données projet'!$B$88,BD80+BC81-BL80)))</f>
        <v>255.2000000000001</v>
      </c>
      <c r="BE81" s="13">
        <f>BD81*VLOOKUP('Données projet'!$B$11,Paramètres!$A$1:$I$89,3,0)*VLOOKUP('Données projet'!$B$11,Paramètres!$A$1:$I$89,5,0)</f>
        <v>222.94272000000009</v>
      </c>
      <c r="BF81" s="13">
        <f t="shared" si="91"/>
        <v>54.753975927514929</v>
      </c>
      <c r="BG81" s="20">
        <f t="shared" si="61"/>
        <v>483.65507874042197</v>
      </c>
      <c r="BH81" s="59">
        <f t="shared" si="62"/>
        <v>776.98841207375528</v>
      </c>
      <c r="BI81" s="59">
        <f ca="1">AVERAGE(OFFSET($BH$3,0,0,'Données projet'!$E$11+1,1))-AVERAGE(OFFSET($H$3,0,0,'Données projet'!$E$11+1,1))</f>
        <v>395.21779046720553</v>
      </c>
      <c r="BJ81" s="59">
        <f t="shared" si="92"/>
        <v>360.05900046417361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1.8597193615458887</v>
      </c>
      <c r="BQ81" s="21">
        <f>EXP(-LN(2)/25)*BQ80+(1-EXP(-LN(2)/25))/(LN(2)/25)*Calculateur!BL81*Calculateur!BN81*VLOOKUP('Données projet'!$B$11,Paramètres!$A$1:$I$89,3,0)*0.475*44/12</f>
        <v>2.9808331694942627</v>
      </c>
      <c r="BR81" s="21">
        <f>EXP(-LN(2)/2)*BR80+(1-EXP(-LN(2)/2))/(LN(2)/2)*BL81*BO81*VLOOKUP('Données projet'!$B$11,Paramètres!$A$1:$I$89,3,0)*0.475*44/12</f>
        <v>4.1708384832739794E-7</v>
      </c>
      <c r="BS81" s="22">
        <f t="shared" si="63"/>
        <v>4.8405529481239995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305.60000000000002</v>
      </c>
      <c r="BZ81" s="13">
        <f>BY81*VLOOKUP('Données projet'!$B$12,Paramètres!$A$1:$I$89,3,0)*VLOOKUP('Données projet'!$B$12,Paramètres!$A$1:$I$89,5,0)</f>
        <v>309.87840000000006</v>
      </c>
      <c r="CA81" s="13">
        <f t="shared" si="93"/>
        <v>73.243434672131556</v>
      </c>
      <c r="CB81" s="20">
        <f t="shared" si="64"/>
        <v>667.27052872062916</v>
      </c>
      <c r="CC81" s="59">
        <f t="shared" si="65"/>
        <v>960.60386205396253</v>
      </c>
      <c r="CD81" s="59">
        <f ca="1">AVERAGE(OFFSET($CC$3,0,0,'Données projet'!$E$12+1,1))-AVERAGE(OFFSET($H$3,0,0,'Données projet'!$E$12+1,1))</f>
        <v>449.84356201138451</v>
      </c>
      <c r="CE81" s="59">
        <f t="shared" si="94"/>
        <v>306.61893266146666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3.1656958167834013</v>
      </c>
      <c r="CL81" s="21">
        <f>EXP(-LN(2)/25)*CL80+(1-EXP(-LN(2)/25))/(LN(2)/25)*Calculateur!CG81*Calculateur!CI81*VLOOKUP('Données projet'!$B$12,Paramètres!$A$1:$I$89,3,0)*0.475*44/12</f>
        <v>2.7733501649006267</v>
      </c>
      <c r="CM81" s="21">
        <f>EXP(-LN(2)/2)*CM80+(1-EXP(-LN(2)/2))/(LN(2)/2)*CG81*CJ81*VLOOKUP('Données projet'!$B$12,Paramètres!$A$1:$I$89,3,0)*0.475*44/12</f>
        <v>5.7011238285894114E-7</v>
      </c>
      <c r="CN81" s="22">
        <f t="shared" si="66"/>
        <v>5.9390465517964115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7.2</v>
      </c>
      <c r="CT81" s="12">
        <f>IF('Données projet'!$A$140&gt;35,CT80+CS81-DB80,IF(A81&lt;'Données projet'!$A$140,$CQ$205^A81,IF(A81='Données projet'!$A$140,'Données projet'!$B$140,CT80+CS81-DB80)))</f>
        <v>305.60000000000002</v>
      </c>
      <c r="CU81" s="17">
        <f>CT81*VLOOKUP('Données projet'!$B$13,Paramètres!$A$1:$I$89,3,0)*VLOOKUP('Données projet'!$B$13,Paramètres!$A$1:$I$89,5,0)</f>
        <v>328.94784000000004</v>
      </c>
      <c r="CV81" s="13">
        <f t="shared" si="95"/>
        <v>77.212127032960666</v>
      </c>
      <c r="CW81" s="20">
        <f t="shared" si="67"/>
        <v>707.39527591573994</v>
      </c>
      <c r="CX81" s="59">
        <f t="shared" si="68"/>
        <v>1000.7286092490733</v>
      </c>
      <c r="CY81" s="59">
        <f ca="1">AVERAGE(OFFSET($CX$3,0,0,'Données projet'!$E$13+1,1))-AVERAGE(OFFSET($H$3,0,0,'Données projet'!$E$13+1,1))</f>
        <v>475.01366239340246</v>
      </c>
      <c r="CZ81" s="59">
        <f t="shared" si="96"/>
        <v>322.81767004794284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3.360507867046989</v>
      </c>
      <c r="DG81" s="21">
        <f>EXP(-LN(2)/25)*DG80+(1-EXP(-LN(2)/25))/(LN(2)/25)*Calculateur!DB81*Calculateur!DD81*VLOOKUP('Données projet'!$B$13,Paramètres!$A$1:$I$89,3,0)*0.475*44/12</f>
        <v>2.9440178673560466</v>
      </c>
      <c r="DH81" s="21">
        <f>EXP(-LN(2)/2)*DH80+(1-EXP(-LN(2)/2))/(LN(2)/2)*DB81*DE81*VLOOKUP('Données projet'!$B$13,Paramètres!$A$1:$I$89,3,0)*0.475*44/12</f>
        <v>6.051962218041069E-7</v>
      </c>
      <c r="DI81" s="22">
        <f t="shared" si="69"/>
        <v>6.3045263395992581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2.2737367544323206E-13</v>
      </c>
      <c r="DP81" s="17">
        <f>DO81*VLOOKUP('Données projet'!$B$14,Paramètres!$A$1:$I$89,3,0)*VLOOKUP('Données projet'!$B$14,Paramètres!$A$1:$I$89,5,0)</f>
        <v>2.0572770154103635E-13</v>
      </c>
      <c r="DQ81" s="13">
        <f t="shared" si="97"/>
        <v>2.8416956338469711E-12</v>
      </c>
      <c r="DR81" s="20">
        <f t="shared" si="70"/>
        <v>5.3075956424674458E-12</v>
      </c>
      <c r="DS81" s="59">
        <f t="shared" si="71"/>
        <v>293.3333333333386</v>
      </c>
      <c r="DT81" s="59">
        <f ca="1">AVERAGE(OFFSET($DS$3,0,0,'Données projet'!$E$14+1,1))-AVERAGE(OFFSET($H$3,0,0,'Données projet'!$E$14+1,1))</f>
        <v>436.23918637269577</v>
      </c>
      <c r="DU81" s="59">
        <f t="shared" si="98"/>
        <v>611.43967996341894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1.2731815943893656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2.8136286455441841E-7</v>
      </c>
      <c r="ED81" s="22">
        <f t="shared" si="72"/>
        <v>1.2731818757522302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302.54016000000001</v>
      </c>
      <c r="P82" s="13">
        <f t="shared" si="87"/>
        <v>71.708716984815311</v>
      </c>
      <c r="Q82" s="20">
        <f t="shared" si="54"/>
        <v>651.81679408188654</v>
      </c>
      <c r="R82" s="59">
        <f t="shared" si="55"/>
        <v>945.15012741521991</v>
      </c>
      <c r="S82" s="59">
        <f ca="1">AVERAGE(OFFSET($R$3,0,0,'Données projet'!$E$9+1,1))-AVERAGE(OFFSET($H$3,0,0,'Données projet'!$E$9+1,1))</f>
        <v>430.94515308997018</v>
      </c>
      <c r="T82" s="59">
        <f t="shared" si="88"/>
        <v>294.45557293177131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2.9603745241139099</v>
      </c>
      <c r="AA82" s="21">
        <f>EXP(-LN(2)/25)*AA81+(1-EXP(-LN(2)/25))/(LN(2)/25)*Calculateur!V82*Calculateur!X82*VLOOKUP('Données projet'!$B$9,Paramètres!$A$1:$I$89,3,0)*0.475*44/12</f>
        <v>2.5730121699297053</v>
      </c>
      <c r="AB82" s="21">
        <f>EXP(-LN(2)/2)*AB81+(1-EXP(-LN(2)/2))/(LN(2)/2)*V82*Y82*VLOOKUP('Données projet'!$B$9,Paramètres!$A$1:$I$89,3,0)*0.475*44/12</f>
        <v>3.8452431663684113E-7</v>
      </c>
      <c r="AC82" s="22">
        <f t="shared" si="57"/>
        <v>5.533387078567932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</v>
      </c>
      <c r="AI82" s="13">
        <f>IF('Données projet'!$A$62&gt;35,AI81+AH82-AQ81,IF(A82&lt;'Données projet'!$A$62,$AF$205^A82,IF(A82='Données projet'!$A$62,'Données projet'!$B$62,AI81+AH82-AQ81)))</f>
        <v>489.49999999999989</v>
      </c>
      <c r="AJ82" s="13">
        <f>AI82*VLOOKUP('Données projet'!$B$10,Paramètres!$A$1:$I$89,3,0)*VLOOKUP('Données projet'!$B$10,Paramètres!$A$1:$I$89,5,0)</f>
        <v>229.08599999999993</v>
      </c>
      <c r="AK82" s="13">
        <f t="shared" si="89"/>
        <v>56.085007586294346</v>
      </c>
      <c r="AL82" s="20">
        <f t="shared" si="58"/>
        <v>496.6728382127958</v>
      </c>
      <c r="AM82" s="59">
        <f t="shared" si="59"/>
        <v>790.00617154612905</v>
      </c>
      <c r="AN82" s="59">
        <f ca="1">AVERAGE(OFFSET($AM$3,0,0,'Données projet'!$E$10+1,1))-AVERAGE(OFFSET($H$3,0,0,'Données projet'!$E$10+1,1))</f>
        <v>319.22903094674564</v>
      </c>
      <c r="AO82" s="59">
        <f t="shared" si="90"/>
        <v>254.58690973142848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3.4392242217335633</v>
      </c>
      <c r="AV82" s="21">
        <f>EXP(-LN(2)/25)*AV81+(1-EXP(-LN(2)/25))/(LN(2)/25)*Calculateur!AQ82*Calculateur!AS82*VLOOKUP('Données projet'!$B$10,Paramètres!$A$1:$I$89,3,0)*0.475*44/12</f>
        <v>2.8662066250620621</v>
      </c>
      <c r="AW82" s="21">
        <f>EXP(-LN(2)/2)*AW81+(1-EXP(-LN(2)/2))/(LN(2)/2)*AQ82*AT82*VLOOKUP('Données projet'!$B$10,Paramètres!$A$1:$I$89,3,0)*0.475*44/12</f>
        <v>4.6543307002805614E-7</v>
      </c>
      <c r="AX82" s="21">
        <f t="shared" si="60"/>
        <v>6.3054313122286949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4.4000000000000004</v>
      </c>
      <c r="BD82" s="12">
        <f>IF('Données projet'!$A$88&gt;35,BD81+BC82-BL81,IF(A82&lt;'Données projet'!$A$88,$BA$205^A82,IF(A82='Données projet'!$A$88,'Données projet'!$B$88,BD81+BC82-BL81)))</f>
        <v>259.60000000000008</v>
      </c>
      <c r="BE82" s="13">
        <f>BD82*VLOOKUP('Données projet'!$B$11,Paramètres!$A$1:$I$89,3,0)*VLOOKUP('Données projet'!$B$11,Paramètres!$A$1:$I$89,5,0)</f>
        <v>226.78656000000009</v>
      </c>
      <c r="BF82" s="13">
        <f t="shared" si="91"/>
        <v>55.587292726829872</v>
      </c>
      <c r="BG82" s="20">
        <f t="shared" si="61"/>
        <v>491.8011268325622</v>
      </c>
      <c r="BH82" s="59">
        <f t="shared" si="62"/>
        <v>785.13446016589546</v>
      </c>
      <c r="BI82" s="59">
        <f ca="1">AVERAGE(OFFSET($BH$3,0,0,'Données projet'!$E$11+1,1))-AVERAGE(OFFSET($H$3,0,0,'Données projet'!$E$11+1,1))</f>
        <v>395.21779046720553</v>
      </c>
      <c r="BJ82" s="59">
        <f t="shared" si="92"/>
        <v>360.05900046417361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1.8232513991827799</v>
      </c>
      <c r="BQ82" s="21">
        <f>EXP(-LN(2)/25)*BQ81+(1-EXP(-LN(2)/25))/(LN(2)/25)*Calculateur!BL82*Calculateur!BN82*VLOOKUP('Données projet'!$B$11,Paramètres!$A$1:$I$89,3,0)*0.475*44/12</f>
        <v>2.8993221297192386</v>
      </c>
      <c r="BR82" s="21">
        <f>EXP(-LN(2)/2)*BR81+(1-EXP(-LN(2)/2))/(LN(2)/2)*BL82*BO82*VLOOKUP('Données projet'!$B$11,Paramètres!$A$1:$I$89,3,0)*0.475*44/12</f>
        <v>2.9492281747568454E-7</v>
      </c>
      <c r="BS82" s="22">
        <f t="shared" si="63"/>
        <v>4.7225738238248365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312.8</v>
      </c>
      <c r="BZ82" s="13">
        <f>BY82*VLOOKUP('Données projet'!$B$12,Paramètres!$A$1:$I$89,3,0)*VLOOKUP('Données projet'!$B$12,Paramètres!$A$1:$I$89,5,0)</f>
        <v>317.17920000000004</v>
      </c>
      <c r="CA82" s="13">
        <f t="shared" si="93"/>
        <v>74.766129261581426</v>
      </c>
      <c r="CB82" s="20">
        <f t="shared" si="64"/>
        <v>682.63811513058772</v>
      </c>
      <c r="CC82" s="59">
        <f t="shared" si="65"/>
        <v>975.97144846392098</v>
      </c>
      <c r="CD82" s="59">
        <f ca="1">AVERAGE(OFFSET($CC$3,0,0,'Données projet'!$E$12+1,1))-AVERAGE(OFFSET($H$3,0,0,'Données projet'!$E$12+1,1))</f>
        <v>449.84356201138451</v>
      </c>
      <c r="CE82" s="59">
        <f t="shared" si="94"/>
        <v>306.61893266146666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3.1036184527000681</v>
      </c>
      <c r="CL82" s="21">
        <f>EXP(-LN(2)/25)*CL81+(1-EXP(-LN(2)/25))/(LN(2)/25)*Calculateur!CG82*Calculateur!CI82*VLOOKUP('Données projet'!$B$12,Paramètres!$A$1:$I$89,3,0)*0.475*44/12</f>
        <v>2.6975127587972723</v>
      </c>
      <c r="CM82" s="21">
        <f>EXP(-LN(2)/2)*CM81+(1-EXP(-LN(2)/2))/(LN(2)/2)*CG82*CJ82*VLOOKUP('Données projet'!$B$12,Paramètres!$A$1:$I$89,3,0)*0.475*44/12</f>
        <v>4.0313033195797851E-7</v>
      </c>
      <c r="CN82" s="22">
        <f t="shared" si="66"/>
        <v>5.8011316146276721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7.2</v>
      </c>
      <c r="CT82" s="12">
        <f>IF('Données projet'!$A$140&gt;35,CT81+CS82-DB81,IF(A82&lt;'Données projet'!$A$140,$CQ$205^A82,IF(A82='Données projet'!$A$140,'Données projet'!$B$140,CT81+CS82-DB81)))</f>
        <v>312.8</v>
      </c>
      <c r="CU82" s="17">
        <f>CT82*VLOOKUP('Données projet'!$B$13,Paramètres!$A$1:$I$89,3,0)*VLOOKUP('Données projet'!$B$13,Paramètres!$A$1:$I$89,5,0)</f>
        <v>336.69792000000001</v>
      </c>
      <c r="CV82" s="13">
        <f t="shared" si="95"/>
        <v>78.817328763317647</v>
      </c>
      <c r="CW82" s="20">
        <f t="shared" si="67"/>
        <v>723.6890582627783</v>
      </c>
      <c r="CX82" s="59">
        <f t="shared" si="68"/>
        <v>1017.0223915961117</v>
      </c>
      <c r="CY82" s="59">
        <f ca="1">AVERAGE(OFFSET($CX$3,0,0,'Données projet'!$E$13+1,1))-AVERAGE(OFFSET($H$3,0,0,'Données projet'!$E$13+1,1))</f>
        <v>475.01366239340246</v>
      </c>
      <c r="CZ82" s="59">
        <f t="shared" si="96"/>
        <v>322.81767004794284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3.2946103574816048</v>
      </c>
      <c r="DG82" s="21">
        <f>EXP(-LN(2)/25)*DG81+(1-EXP(-LN(2)/25))/(LN(2)/25)*Calculateur!DB82*Calculateur!DD82*VLOOKUP('Données projet'!$B$13,Paramètres!$A$1:$I$89,3,0)*0.475*44/12</f>
        <v>2.8635135439540247</v>
      </c>
      <c r="DH82" s="21">
        <f>EXP(-LN(2)/2)*DH81+(1-EXP(-LN(2)/2))/(LN(2)/2)*DB82*DE82*VLOOKUP('Données projet'!$B$13,Paramètres!$A$1:$I$89,3,0)*0.475*44/12</f>
        <v>4.2793835238616191E-7</v>
      </c>
      <c r="DI82" s="22">
        <f t="shared" si="69"/>
        <v>6.1581243293739822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2.2737367544323206E-13</v>
      </c>
      <c r="DP82" s="17">
        <f>DO82*VLOOKUP('Données projet'!$B$14,Paramètres!$A$1:$I$89,3,0)*VLOOKUP('Données projet'!$B$14,Paramètres!$A$1:$I$89,5,0)</f>
        <v>2.0572770154103635E-13</v>
      </c>
      <c r="DQ82" s="13">
        <f t="shared" si="97"/>
        <v>2.8416956338469711E-12</v>
      </c>
      <c r="DR82" s="20">
        <f t="shared" si="70"/>
        <v>5.3075956424674458E-12</v>
      </c>
      <c r="DS82" s="59">
        <f t="shared" si="71"/>
        <v>293.3333333333386</v>
      </c>
      <c r="DT82" s="59">
        <f ca="1">AVERAGE(OFFSET($DS$3,0,0,'Données projet'!$E$14+1,1))-AVERAGE(OFFSET($H$3,0,0,'Données projet'!$E$14+1,1))</f>
        <v>436.23918637269577</v>
      </c>
      <c r="DU82" s="59">
        <f t="shared" si="98"/>
        <v>611.43967996341894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1.2482152798874835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1.9895358950050135E-7</v>
      </c>
      <c r="ED82" s="22">
        <f t="shared" si="72"/>
        <v>1.2482154788410731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309.50400000000002</v>
      </c>
      <c r="P83" s="13">
        <f t="shared" si="87"/>
        <v>73.165235978896504</v>
      </c>
      <c r="Q83" s="20">
        <f t="shared" si="54"/>
        <v>666.48225266324471</v>
      </c>
      <c r="R83" s="59">
        <f t="shared" si="55"/>
        <v>959.81558599657797</v>
      </c>
      <c r="S83" s="59">
        <f ca="1">AVERAGE(OFFSET($R$3,0,0,'Données projet'!$E$9+1,1))-AVERAGE(OFFSET($H$3,0,0,'Données projet'!$E$9+1,1))</f>
        <v>430.94515308997018</v>
      </c>
      <c r="T83" s="59">
        <f t="shared" si="88"/>
        <v>294.45557293177131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2.9023233853462025</v>
      </c>
      <c r="AA83" s="21">
        <f>EXP(-LN(2)/25)*AA82+(1-EXP(-LN(2)/25))/(LN(2)/25)*Calculateur!V83*Calculateur!X83*VLOOKUP('Données projet'!$B$9,Paramètres!$A$1:$I$89,3,0)*0.475*44/12</f>
        <v>2.5026530168341483</v>
      </c>
      <c r="AB83" s="21">
        <f>EXP(-LN(2)/2)*AB82+(1-EXP(-LN(2)/2))/(LN(2)/2)*V83*Y83*VLOOKUP('Données projet'!$B$9,Paramètres!$A$1:$I$89,3,0)*0.475*44/12</f>
        <v>2.7189975182503353E-7</v>
      </c>
      <c r="AC83" s="22">
        <f t="shared" si="57"/>
        <v>5.4049766740801024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506.5</v>
      </c>
      <c r="AG83" s="12">
        <f>VLOOKUP(A83,'Données projet'!$A$61:$I$81,9,0)</f>
        <v>17</v>
      </c>
      <c r="AH83" s="12">
        <f t="array" ref="AH83">INDEX(AG:AG,MIN(IF(ISNUMBER(AG83:AG279),ROW(AG83:AG279),"")))</f>
        <v>17</v>
      </c>
      <c r="AI83" s="13">
        <f>IF('Données projet'!$A$62&gt;35,AI82+AH83-AQ82,IF(A83&lt;'Données projet'!$A$62,$AF$205^A83,IF(A83='Données projet'!$A$62,'Données projet'!$B$62,AI82+AH83-AQ82)))</f>
        <v>506.49999999999989</v>
      </c>
      <c r="AJ83" s="13">
        <f>AI83*VLOOKUP('Données projet'!$B$10,Paramètres!$A$1:$I$89,3,0)*VLOOKUP('Données projet'!$B$10,Paramètres!$A$1:$I$89,5,0)</f>
        <v>237.04199999999994</v>
      </c>
      <c r="AK83" s="13">
        <f t="shared" si="89"/>
        <v>57.802643745601223</v>
      </c>
      <c r="AL83" s="20">
        <f t="shared" si="58"/>
        <v>513.52108785692201</v>
      </c>
      <c r="AM83" s="59">
        <f t="shared" si="59"/>
        <v>806.85442119025538</v>
      </c>
      <c r="AN83" s="59">
        <f ca="1">AVERAGE(OFFSET($AM$3,0,0,'Données projet'!$E$10+1,1))-AVERAGE(OFFSET($H$3,0,0,'Données projet'!$E$10+1,1))</f>
        <v>319.22903094674564</v>
      </c>
      <c r="AO83" s="59">
        <f t="shared" si="90"/>
        <v>254.58690973142848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93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3.3717831324650107</v>
      </c>
      <c r="AV83" s="21">
        <f>EXP(-LN(2)/25)*AV82+(1-EXP(-LN(2)/25))/(LN(2)/25)*Calculateur!AQ83*Calculateur!AS83*VLOOKUP('Données projet'!$B$10,Paramètres!$A$1:$I$89,3,0)*0.475*44/12</f>
        <v>2.7878300541724843</v>
      </c>
      <c r="AW83" s="21">
        <f>EXP(-LN(2)/2)*AW82+(1-EXP(-LN(2)/2))/(LN(2)/2)*AQ83*AT83*VLOOKUP('Données projet'!$B$10,Paramètres!$A$1:$I$89,3,0)*0.475*44/12</f>
        <v>3.2911088000531177E-7</v>
      </c>
      <c r="AX83" s="21">
        <f t="shared" si="60"/>
        <v>6.1596135157483749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264</v>
      </c>
      <c r="BB83" s="12">
        <f>VLOOKUP(A83,'Données projet'!$A$87:$I$107,9,0)</f>
        <v>4.4000000000000004</v>
      </c>
      <c r="BC83" s="12">
        <f t="array" ref="BC83">INDEX(BB:BB,MIN(IF(ISNUMBER(BB83:BB279),ROW(BB83:BB279),"")))</f>
        <v>4.4000000000000004</v>
      </c>
      <c r="BD83" s="12">
        <f>IF('Données projet'!$A$88&gt;35,BD82+BC83-BL82,IF(A83&lt;'Données projet'!$A$88,$BA$205^A83,IF(A83='Données projet'!$A$88,'Données projet'!$B$88,BD82+BC83-BL82)))</f>
        <v>264.00000000000006</v>
      </c>
      <c r="BE83" s="13">
        <f>BD83*VLOOKUP('Données projet'!$B$11,Paramètres!$A$1:$I$89,3,0)*VLOOKUP('Données projet'!$B$11,Paramètres!$A$1:$I$89,5,0)</f>
        <v>230.63040000000007</v>
      </c>
      <c r="BF83" s="13">
        <f t="shared" si="91"/>
        <v>56.418967028503253</v>
      </c>
      <c r="BG83" s="20">
        <f t="shared" si="61"/>
        <v>499.94431424130994</v>
      </c>
      <c r="BH83" s="59">
        <f t="shared" si="62"/>
        <v>793.2776475746432</v>
      </c>
      <c r="BI83" s="59">
        <f ca="1">AVERAGE(OFFSET($BH$3,0,0,'Données projet'!$E$11+1,1))-AVERAGE(OFFSET($H$3,0,0,'Données projet'!$E$11+1,1))</f>
        <v>395.21779046720553</v>
      </c>
      <c r="BJ83" s="59">
        <f t="shared" si="92"/>
        <v>360.05900046417361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1.787498551318351</v>
      </c>
      <c r="BQ83" s="21">
        <f>EXP(-LN(2)/25)*BQ82+(1-EXP(-LN(2)/25))/(LN(2)/25)*Calculateur!BL83*Calculateur!BN83*VLOOKUP('Données projet'!$B$11,Paramètres!$A$1:$I$89,3,0)*0.475*44/12</f>
        <v>2.8200400136133417</v>
      </c>
      <c r="BR83" s="21">
        <f>EXP(-LN(2)/2)*BR82+(1-EXP(-LN(2)/2))/(LN(2)/2)*BL83*BO83*VLOOKUP('Données projet'!$B$11,Paramètres!$A$1:$I$89,3,0)*0.475*44/12</f>
        <v>2.0854192416369897E-7</v>
      </c>
      <c r="BS83" s="22">
        <f t="shared" si="63"/>
        <v>4.6075387734736166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320</v>
      </c>
      <c r="BZ83" s="13">
        <f>BY83*VLOOKUP('Données projet'!$B$12,Paramètres!$A$1:$I$89,3,0)*VLOOKUP('Données projet'!$B$12,Paramètres!$A$1:$I$89,5,0)</f>
        <v>324.48</v>
      </c>
      <c r="CA83" s="13">
        <f t="shared" si="93"/>
        <v>76.284749200165578</v>
      </c>
      <c r="CB83" s="20">
        <f t="shared" si="64"/>
        <v>697.99860485695501</v>
      </c>
      <c r="CC83" s="59">
        <f t="shared" si="65"/>
        <v>991.33193819028838</v>
      </c>
      <c r="CD83" s="59">
        <f ca="1">AVERAGE(OFFSET($CC$3,0,0,'Données projet'!$E$12+1,1))-AVERAGE(OFFSET($H$3,0,0,'Données projet'!$E$12+1,1))</f>
        <v>449.84356201138451</v>
      </c>
      <c r="CE83" s="59">
        <f t="shared" si="94"/>
        <v>306.61893266146666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3.0427583878629556</v>
      </c>
      <c r="CL83" s="21">
        <f>EXP(-LN(2)/25)*CL82+(1-EXP(-LN(2)/25))/(LN(2)/25)*Calculateur!CG83*Calculateur!CI83*VLOOKUP('Données projet'!$B$12,Paramètres!$A$1:$I$89,3,0)*0.475*44/12</f>
        <v>2.6237491305519303</v>
      </c>
      <c r="CM83" s="21">
        <f>EXP(-LN(2)/2)*CM82+(1-EXP(-LN(2)/2))/(LN(2)/2)*CG83*CJ83*VLOOKUP('Données projet'!$B$12,Paramètres!$A$1:$I$89,3,0)*0.475*44/12</f>
        <v>2.8505619142947057E-7</v>
      </c>
      <c r="CN83" s="22">
        <f t="shared" si="66"/>
        <v>5.6665078034710765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320</v>
      </c>
      <c r="CR83" s="12">
        <f>VLOOKUP(A83,'Données projet'!$A$139:$I$159,9,0)</f>
        <v>7.2</v>
      </c>
      <c r="CS83" s="12">
        <f t="array" ref="CS83">INDEX(CR:CR,MIN(IF(ISNUMBER(CR83:CR279),ROW(CR83:CR279),"")))</f>
        <v>7.2</v>
      </c>
      <c r="CT83" s="12">
        <f>IF('Données projet'!$A$140&gt;35,CT82+CS83-DB82,IF(A83&lt;'Données projet'!$A$140,$CQ$205^A83,IF(A83='Données projet'!$A$140,'Données projet'!$B$140,CT82+CS83-DB82)))</f>
        <v>320</v>
      </c>
      <c r="CU83" s="17">
        <f>CT83*VLOOKUP('Données projet'!$B$13,Paramètres!$A$1:$I$89,3,0)*VLOOKUP('Données projet'!$B$13,Paramètres!$A$1:$I$89,5,0)</f>
        <v>344.44799999999998</v>
      </c>
      <c r="CV83" s="13">
        <f t="shared" si="95"/>
        <v>80.418235058027051</v>
      </c>
      <c r="CW83" s="20">
        <f t="shared" si="67"/>
        <v>739.9753593927303</v>
      </c>
      <c r="CX83" s="59">
        <f t="shared" si="68"/>
        <v>1033.3086927260636</v>
      </c>
      <c r="CY83" s="59">
        <f ca="1">AVERAGE(OFFSET($CX$3,0,0,'Données projet'!$E$13+1,1))-AVERAGE(OFFSET($H$3,0,0,'Données projet'!$E$13+1,1))</f>
        <v>475.01366239340246</v>
      </c>
      <c r="CZ83" s="59">
        <f t="shared" si="96"/>
        <v>322.81767004794284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3.2300050578852857</v>
      </c>
      <c r="DG83" s="21">
        <f>EXP(-LN(2)/25)*DG82+(1-EXP(-LN(2)/25))/(LN(2)/25)*Calculateur!DB83*Calculateur!DD83*VLOOKUP('Données projet'!$B$13,Paramètres!$A$1:$I$89,3,0)*0.475*44/12</f>
        <v>2.7852106155089693</v>
      </c>
      <c r="DH83" s="21">
        <f>EXP(-LN(2)/2)*DH82+(1-EXP(-LN(2)/2))/(LN(2)/2)*DB83*DE83*VLOOKUP('Données projet'!$B$13,Paramètres!$A$1:$I$89,3,0)*0.475*44/12</f>
        <v>3.0259811090205345E-7</v>
      </c>
      <c r="DI83" s="22">
        <f t="shared" si="69"/>
        <v>6.0152159759923665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2.2737367544323206E-13</v>
      </c>
      <c r="DP83" s="17">
        <f>DO83*VLOOKUP('Données projet'!$B$14,Paramètres!$A$1:$I$89,3,0)*VLOOKUP('Données projet'!$B$14,Paramètres!$A$1:$I$89,5,0)</f>
        <v>2.0572770154103635E-13</v>
      </c>
      <c r="DQ83" s="13">
        <f t="shared" si="97"/>
        <v>2.8416956338469711E-12</v>
      </c>
      <c r="DR83" s="20">
        <f t="shared" si="70"/>
        <v>5.3075956424674458E-12</v>
      </c>
      <c r="DS83" s="59">
        <f t="shared" si="71"/>
        <v>293.3333333333386</v>
      </c>
      <c r="DT83" s="59">
        <f ca="1">AVERAGE(OFFSET($DS$3,0,0,'Données projet'!$E$14+1,1))-AVERAGE(OFFSET($H$3,0,0,'Données projet'!$E$14+1,1))</f>
        <v>436.23918637269577</v>
      </c>
      <c r="DU83" s="59">
        <f t="shared" si="98"/>
        <v>611.43967996341894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1.2237385395850349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1.4068143227720921E-7</v>
      </c>
      <c r="ED83" s="22">
        <f t="shared" si="72"/>
        <v>1.2237386802664671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288.99936000000002</v>
      </c>
      <c r="P84" s="13">
        <f t="shared" si="87"/>
        <v>68.86531667529006</v>
      </c>
      <c r="Q84" s="20">
        <f t="shared" si="54"/>
        <v>623.2809785427969</v>
      </c>
      <c r="R84" s="59">
        <f t="shared" si="55"/>
        <v>916.61431187613016</v>
      </c>
      <c r="S84" s="59">
        <f ca="1">AVERAGE(OFFSET($R$3,0,0,'Données projet'!$E$9+1,1))-AVERAGE(OFFSET($H$3,0,0,'Données projet'!$E$9+1,1))</f>
        <v>430.94515308997018</v>
      </c>
      <c r="T84" s="59">
        <f t="shared" si="88"/>
        <v>294.45557293177131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2.8454105940020318</v>
      </c>
      <c r="AA84" s="21">
        <f>EXP(-LN(2)/25)*AA83+(1-EXP(-LN(2)/25))/(LN(2)/25)*Calculateur!V84*Calculateur!X84*VLOOKUP('Données projet'!$B$9,Paramètres!$A$1:$I$89,3,0)*0.475*44/12</f>
        <v>2.4342178384800164</v>
      </c>
      <c r="AB84" s="21">
        <f>EXP(-LN(2)/2)*AB83+(1-EXP(-LN(2)/2))/(LN(2)/2)*V84*Y84*VLOOKUP('Données projet'!$B$9,Paramètres!$A$1:$I$89,3,0)*0.475*44/12</f>
        <v>1.9226215831842056E-7</v>
      </c>
      <c r="AC84" s="22">
        <f t="shared" si="57"/>
        <v>5.2796286247442064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17.5</v>
      </c>
      <c r="AI84" s="13">
        <f>IF('Données projet'!$A$62&gt;35,AI83+AH84-AQ83,IF(A84&lt;'Données projet'!$A$62,$AF$205^A84,IF(A84='Données projet'!$A$62,'Données projet'!$B$62,AI83+AH84-AQ83)))</f>
        <v>430.99999999999989</v>
      </c>
      <c r="AJ84" s="13">
        <f>AI84*VLOOKUP('Données projet'!$B$10,Paramètres!$A$1:$I$89,3,0)*VLOOKUP('Données projet'!$B$10,Paramètres!$A$1:$I$89,5,0)</f>
        <v>201.70799999999994</v>
      </c>
      <c r="AK84" s="13">
        <f t="shared" si="89"/>
        <v>50.119348451854243</v>
      </c>
      <c r="AL84" s="20">
        <f t="shared" si="58"/>
        <v>438.59929855364607</v>
      </c>
      <c r="AM84" s="59">
        <f t="shared" si="59"/>
        <v>731.93263188697938</v>
      </c>
      <c r="AN84" s="59">
        <f ca="1">AVERAGE(OFFSET($AM$3,0,0,'Données projet'!$E$10+1,1))-AVERAGE(OFFSET($H$3,0,0,'Données projet'!$E$10+1,1))</f>
        <v>319.22903094674564</v>
      </c>
      <c r="AO84" s="59">
        <f t="shared" si="90"/>
        <v>254.58690973142848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3.305664521822012</v>
      </c>
      <c r="AV84" s="21">
        <f>EXP(-LN(2)/25)*AV83+(1-EXP(-LN(2)/25))/(LN(2)/25)*Calculateur!AQ84*Calculateur!AS84*VLOOKUP('Données projet'!$B$10,Paramètres!$A$1:$I$89,3,0)*0.475*44/12</f>
        <v>2.711596694735527</v>
      </c>
      <c r="AW84" s="21">
        <f>EXP(-LN(2)/2)*AW83+(1-EXP(-LN(2)/2))/(LN(2)/2)*AQ84*AT84*VLOOKUP('Données projet'!$B$10,Paramètres!$A$1:$I$89,3,0)*0.475*44/12</f>
        <v>2.327165350140281E-7</v>
      </c>
      <c r="AX84" s="21">
        <f t="shared" si="60"/>
        <v>6.0172614492740744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</v>
      </c>
      <c r="BD84" s="12">
        <f>IF('Données projet'!$A$88&gt;35,BD83+BC84-BL83,IF(A84&lt;'Données projet'!$A$88,$BA$205^A84,IF(A84='Données projet'!$A$88,'Données projet'!$B$88,BD83+BC84-BL83)))</f>
        <v>251.00000000000006</v>
      </c>
      <c r="BE84" s="13">
        <f>BD84*VLOOKUP('Données projet'!$B$11,Paramètres!$A$1:$I$89,3,0)*VLOOKUP('Données projet'!$B$11,Paramètres!$A$1:$I$89,5,0)</f>
        <v>219.2736000000001</v>
      </c>
      <c r="BF84" s="13">
        <f t="shared" si="91"/>
        <v>53.956975893220125</v>
      </c>
      <c r="BG84" s="20">
        <f t="shared" si="61"/>
        <v>475.87658634735857</v>
      </c>
      <c r="BH84" s="59">
        <f t="shared" si="62"/>
        <v>769.20991968069188</v>
      </c>
      <c r="BI84" s="59">
        <f ca="1">AVERAGE(OFFSET($BH$3,0,0,'Données projet'!$E$11+1,1))-AVERAGE(OFFSET($H$3,0,0,'Données projet'!$E$11+1,1))</f>
        <v>395.21779046720553</v>
      </c>
      <c r="BJ84" s="59">
        <f t="shared" si="92"/>
        <v>360.05900046417361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1.7524467949934597</v>
      </c>
      <c r="BQ84" s="21">
        <f>EXP(-LN(2)/25)*BQ83+(1-EXP(-LN(2)/25))/(LN(2)/25)*Calculateur!BL84*Calculateur!BN84*VLOOKUP('Données projet'!$B$11,Paramètres!$A$1:$I$89,3,0)*0.475*44/12</f>
        <v>2.742925871141626</v>
      </c>
      <c r="BR84" s="21">
        <f>EXP(-LN(2)/2)*BR83+(1-EXP(-LN(2)/2))/(LN(2)/2)*BL84*BO84*VLOOKUP('Données projet'!$B$11,Paramètres!$A$1:$I$89,3,0)*0.475*44/12</f>
        <v>1.4746140873784227E-7</v>
      </c>
      <c r="BS84" s="22">
        <f t="shared" si="63"/>
        <v>4.4953728135964939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6.8</v>
      </c>
      <c r="BY84" s="12">
        <f>IF('Données projet'!$A$114&gt;35,BY83+BX84-CG83,IF(A84&lt;'Données projet'!$A$114,$BV$205^A84,IF(A84='Données projet'!$A$114,'Données projet'!$B$114,BY83+BX84-CG83)))</f>
        <v>298.8</v>
      </c>
      <c r="BZ84" s="13">
        <f>BY84*VLOOKUP('Données projet'!$B$12,Paramètres!$A$1:$I$89,3,0)*VLOOKUP('Données projet'!$B$12,Paramètres!$A$1:$I$89,5,0)</f>
        <v>302.98320000000007</v>
      </c>
      <c r="CA84" s="13">
        <f t="shared" si="93"/>
        <v>71.801496173397709</v>
      </c>
      <c r="CB84" s="20">
        <f t="shared" si="64"/>
        <v>652.75001250200114</v>
      </c>
      <c r="CC84" s="59">
        <f t="shared" si="65"/>
        <v>946.08334583533451</v>
      </c>
      <c r="CD84" s="59">
        <f ca="1">AVERAGE(OFFSET($CC$3,0,0,'Données projet'!$E$12+1,1))-AVERAGE(OFFSET($H$3,0,0,'Données projet'!$E$12+1,1))</f>
        <v>449.84356201138451</v>
      </c>
      <c r="CE84" s="59">
        <f t="shared" si="94"/>
        <v>306.61893266146666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2.9830917517763247</v>
      </c>
      <c r="CL84" s="21">
        <f>EXP(-LN(2)/25)*CL83+(1-EXP(-LN(2)/25))/(LN(2)/25)*Calculateur!CG84*Calculateur!CI84*VLOOKUP('Données projet'!$B$12,Paramètres!$A$1:$I$89,3,0)*0.475*44/12</f>
        <v>2.5520025726000175</v>
      </c>
      <c r="CM84" s="21">
        <f>EXP(-LN(2)/2)*CM83+(1-EXP(-LN(2)/2))/(LN(2)/2)*CG84*CJ84*VLOOKUP('Données projet'!$B$12,Paramètres!$A$1:$I$89,3,0)*0.475*44/12</f>
        <v>2.0156516597898925E-7</v>
      </c>
      <c r="CN84" s="22">
        <f t="shared" si="66"/>
        <v>5.5350945259415081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6.8</v>
      </c>
      <c r="CT84" s="12">
        <f>IF('Données projet'!$A$140&gt;35,CT83+CS84-DB83,IF(A84&lt;'Données projet'!$A$140,$CQ$205^A84,IF(A84='Données projet'!$A$140,'Données projet'!$B$140,CT83+CS84-DB83)))</f>
        <v>298.8</v>
      </c>
      <c r="CU84" s="17">
        <f>CT84*VLOOKUP('Données projet'!$B$13,Paramètres!$A$1:$I$89,3,0)*VLOOKUP('Données projet'!$B$13,Paramètres!$A$1:$I$89,5,0)</f>
        <v>321.62832000000003</v>
      </c>
      <c r="CV84" s="13">
        <f t="shared" si="95"/>
        <v>75.692057158625346</v>
      </c>
      <c r="CW84" s="20">
        <f t="shared" si="67"/>
        <v>691.99965688460588</v>
      </c>
      <c r="CX84" s="59">
        <f t="shared" si="68"/>
        <v>985.33299021793914</v>
      </c>
      <c r="CY84" s="59">
        <f ca="1">AVERAGE(OFFSET($CX$3,0,0,'Données projet'!$E$13+1,1))-AVERAGE(OFFSET($H$3,0,0,'Données projet'!$E$13+1,1))</f>
        <v>475.01366239340246</v>
      </c>
      <c r="CZ84" s="59">
        <f t="shared" si="96"/>
        <v>322.81767004794284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3.1666666288087084</v>
      </c>
      <c r="DG84" s="21">
        <f>EXP(-LN(2)/25)*DG83+(1-EXP(-LN(2)/25))/(LN(2)/25)*Calculateur!DB84*Calculateur!DD84*VLOOKUP('Données projet'!$B$13,Paramètres!$A$1:$I$89,3,0)*0.475*44/12</f>
        <v>2.709048884760016</v>
      </c>
      <c r="DH84" s="21">
        <f>EXP(-LN(2)/2)*DH83+(1-EXP(-LN(2)/2))/(LN(2)/2)*DB84*DE84*VLOOKUP('Données projet'!$B$13,Paramètres!$A$1:$I$89,3,0)*0.475*44/12</f>
        <v>2.1396917619308095E-7</v>
      </c>
      <c r="DI84" s="22">
        <f t="shared" si="69"/>
        <v>5.8757157275379015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2.2737367544323206E-13</v>
      </c>
      <c r="DP84" s="17">
        <f>DO84*VLOOKUP('Données projet'!$B$14,Paramètres!$A$1:$I$89,3,0)*VLOOKUP('Données projet'!$B$14,Paramètres!$A$1:$I$89,5,0)</f>
        <v>2.0572770154103635E-13</v>
      </c>
      <c r="DQ84" s="13">
        <f t="shared" si="97"/>
        <v>2.8416956338469711E-12</v>
      </c>
      <c r="DR84" s="20">
        <f t="shared" si="70"/>
        <v>5.3075956424674458E-12</v>
      </c>
      <c r="DS84" s="59">
        <f t="shared" si="71"/>
        <v>293.3333333333386</v>
      </c>
      <c r="DT84" s="59">
        <f ca="1">AVERAGE(OFFSET($DS$3,0,0,'Données projet'!$E$14+1,1))-AVERAGE(OFFSET($H$3,0,0,'Données projet'!$E$14+1,1))</f>
        <v>436.23918637269577</v>
      </c>
      <c r="DU84" s="59">
        <f t="shared" si="98"/>
        <v>611.43967996341894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1.19974177323058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9.9476794750250677E-8</v>
      </c>
      <c r="ED84" s="22">
        <f t="shared" si="72"/>
        <v>1.1997418727073748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295.57632000000001</v>
      </c>
      <c r="P85" s="13">
        <f t="shared" si="87"/>
        <v>70.24828996461811</v>
      </c>
      <c r="Q85" s="20">
        <f t="shared" si="54"/>
        <v>637.1445290217099</v>
      </c>
      <c r="R85" s="59">
        <f t="shared" si="55"/>
        <v>930.47786235504327</v>
      </c>
      <c r="S85" s="59">
        <f ca="1">AVERAGE(OFFSET($R$3,0,0,'Données projet'!$E$9+1,1))-AVERAGE(OFFSET($H$3,0,0,'Données projet'!$E$9+1,1))</f>
        <v>430.94515308997018</v>
      </c>
      <c r="T85" s="59">
        <f t="shared" si="88"/>
        <v>294.45557293177131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2.7896138277827451</v>
      </c>
      <c r="AA85" s="21">
        <f>EXP(-LN(2)/25)*AA84+(1-EXP(-LN(2)/25))/(LN(2)/25)*Calculateur!V85*Calculateur!X85*VLOOKUP('Données projet'!$B$9,Paramètres!$A$1:$I$89,3,0)*0.475*44/12</f>
        <v>2.3676540236768275</v>
      </c>
      <c r="AB85" s="21">
        <f>EXP(-LN(2)/2)*AB84+(1-EXP(-LN(2)/2))/(LN(2)/2)*V85*Y85*VLOOKUP('Données projet'!$B$9,Paramètres!$A$1:$I$89,3,0)*0.475*44/12</f>
        <v>1.3594987591251677E-7</v>
      </c>
      <c r="AC85" s="22">
        <f t="shared" si="57"/>
        <v>5.1572679874094485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17.5</v>
      </c>
      <c r="AI85" s="13">
        <f>IF('Données projet'!$A$62&gt;35,AI84+AH85-AQ84,IF(A85&lt;'Données projet'!$A$62,$AF$205^A85,IF(A85='Données projet'!$A$62,'Données projet'!$B$62,AI84+AH85-AQ84)))</f>
        <v>448.49999999999989</v>
      </c>
      <c r="AJ85" s="13">
        <f>AI85*VLOOKUP('Données projet'!$B$10,Paramètres!$A$1:$I$89,3,0)*VLOOKUP('Données projet'!$B$10,Paramètres!$A$1:$I$89,5,0)</f>
        <v>209.89799999999994</v>
      </c>
      <c r="AK85" s="13">
        <f t="shared" si="89"/>
        <v>51.913295501810218</v>
      </c>
      <c r="AL85" s="20">
        <f t="shared" si="58"/>
        <v>455.98800633231934</v>
      </c>
      <c r="AM85" s="59">
        <f t="shared" si="59"/>
        <v>749.32133966565266</v>
      </c>
      <c r="AN85" s="59">
        <f ca="1">AVERAGE(OFFSET($AM$3,0,0,'Données projet'!$E$10+1,1))-AVERAGE(OFFSET($H$3,0,0,'Données projet'!$E$10+1,1))</f>
        <v>319.22903094674564</v>
      </c>
      <c r="AO85" s="59">
        <f t="shared" si="90"/>
        <v>254.58690973142848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3.240842456805352</v>
      </c>
      <c r="AV85" s="21">
        <f>EXP(-LN(2)/25)*AV84+(1-EXP(-LN(2)/25))/(LN(2)/25)*Calculateur!AQ85*Calculateur!AS85*VLOOKUP('Données projet'!$B$10,Paramètres!$A$1:$I$89,3,0)*0.475*44/12</f>
        <v>2.6374479405213114</v>
      </c>
      <c r="AW85" s="21">
        <f>EXP(-LN(2)/2)*AW84+(1-EXP(-LN(2)/2))/(LN(2)/2)*AQ85*AT85*VLOOKUP('Données projet'!$B$10,Paramètres!$A$1:$I$89,3,0)*0.475*44/12</f>
        <v>1.6455544000265591E-7</v>
      </c>
      <c r="AX85" s="21">
        <f t="shared" si="60"/>
        <v>5.8782905618821042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</v>
      </c>
      <c r="BD85" s="12">
        <f>IF('Données projet'!$A$88&gt;35,BD84+BC85-BL84,IF(A85&lt;'Données projet'!$A$88,$BA$205^A85,IF(A85='Données projet'!$A$88,'Données projet'!$B$88,BD84+BC85-BL84)))</f>
        <v>255.00000000000006</v>
      </c>
      <c r="BE85" s="13">
        <f>BD85*VLOOKUP('Données projet'!$B$11,Paramètres!$A$1:$I$89,3,0)*VLOOKUP('Données projet'!$B$11,Paramètres!$A$1:$I$89,5,0)</f>
        <v>222.76800000000006</v>
      </c>
      <c r="BF85" s="13">
        <f t="shared" si="91"/>
        <v>54.716058356609508</v>
      </c>
      <c r="BG85" s="20">
        <f t="shared" si="61"/>
        <v>483.28473497109502</v>
      </c>
      <c r="BH85" s="59">
        <f t="shared" si="62"/>
        <v>776.61806830442833</v>
      </c>
      <c r="BI85" s="59">
        <f ca="1">AVERAGE(OFFSET($BH$3,0,0,'Données projet'!$E$11+1,1))-AVERAGE(OFFSET($H$3,0,0,'Données projet'!$E$11+1,1))</f>
        <v>395.21779046720553</v>
      </c>
      <c r="BJ85" s="59">
        <f t="shared" si="92"/>
        <v>360.05900046417361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1.718082382230639</v>
      </c>
      <c r="BQ85" s="21">
        <f>EXP(-LN(2)/25)*BQ84+(1-EXP(-LN(2)/25))/(LN(2)/25)*Calculateur!BL85*Calculateur!BN85*VLOOKUP('Données projet'!$B$11,Paramètres!$A$1:$I$89,3,0)*0.475*44/12</f>
        <v>2.6679204189510557</v>
      </c>
      <c r="BR85" s="21">
        <f>EXP(-LN(2)/2)*BR84+(1-EXP(-LN(2)/2))/(LN(2)/2)*BL85*BO85*VLOOKUP('Données projet'!$B$11,Paramètres!$A$1:$I$89,3,0)*0.475*44/12</f>
        <v>1.0427096208184948E-7</v>
      </c>
      <c r="BS85" s="22">
        <f t="shared" si="63"/>
        <v>4.3860029054526564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6.8</v>
      </c>
      <c r="BY85" s="12">
        <f>IF('Données projet'!$A$114&gt;35,BY84+BX85-CG84,IF(A85&lt;'Données projet'!$A$114,$BV$205^A85,IF(A85='Données projet'!$A$114,'Données projet'!$B$114,BY84+BX85-CG84)))</f>
        <v>305.60000000000002</v>
      </c>
      <c r="BZ85" s="13">
        <f>BY85*VLOOKUP('Données projet'!$B$12,Paramètres!$A$1:$I$89,3,0)*VLOOKUP('Données projet'!$B$12,Paramètres!$A$1:$I$89,5,0)</f>
        <v>309.87840000000006</v>
      </c>
      <c r="CA85" s="13">
        <f t="shared" si="93"/>
        <v>73.243434672131556</v>
      </c>
      <c r="CB85" s="20">
        <f t="shared" si="64"/>
        <v>667.27052872062916</v>
      </c>
      <c r="CC85" s="59">
        <f t="shared" si="65"/>
        <v>960.60386205396253</v>
      </c>
      <c r="CD85" s="59">
        <f ca="1">AVERAGE(OFFSET($CC$3,0,0,'Données projet'!$E$12+1,1))-AVERAGE(OFFSET($H$3,0,0,'Données projet'!$E$12+1,1))</f>
        <v>449.84356201138451</v>
      </c>
      <c r="CE85" s="59">
        <f t="shared" si="94"/>
        <v>306.61893266146666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2.9245951420302982</v>
      </c>
      <c r="CL85" s="21">
        <f>EXP(-LN(2)/25)*CL84+(1-EXP(-LN(2)/25))/(LN(2)/25)*Calculateur!CG85*Calculateur!CI85*VLOOKUP('Données projet'!$B$12,Paramètres!$A$1:$I$89,3,0)*0.475*44/12</f>
        <v>2.4822179280482874</v>
      </c>
      <c r="CM85" s="21">
        <f>EXP(-LN(2)/2)*CM84+(1-EXP(-LN(2)/2))/(LN(2)/2)*CG85*CJ85*VLOOKUP('Données projet'!$B$12,Paramètres!$A$1:$I$89,3,0)*0.475*44/12</f>
        <v>1.4252809571473529E-7</v>
      </c>
      <c r="CN85" s="22">
        <f t="shared" si="66"/>
        <v>5.4068132126066821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6.8</v>
      </c>
      <c r="CT85" s="12">
        <f>IF('Données projet'!$A$140&gt;35,CT84+CS85-DB84,IF(A85&lt;'Données projet'!$A$140,$CQ$205^A85,IF(A85='Données projet'!$A$140,'Données projet'!$B$140,CT84+CS85-DB84)))</f>
        <v>305.60000000000002</v>
      </c>
      <c r="CU85" s="17">
        <f>CT85*VLOOKUP('Données projet'!$B$13,Paramètres!$A$1:$I$89,3,0)*VLOOKUP('Données projet'!$B$13,Paramètres!$A$1:$I$89,5,0)</f>
        <v>328.94784000000004</v>
      </c>
      <c r="CV85" s="13">
        <f t="shared" si="95"/>
        <v>77.212127032960666</v>
      </c>
      <c r="CW85" s="20">
        <f t="shared" si="67"/>
        <v>707.39527591573994</v>
      </c>
      <c r="CX85" s="59">
        <f t="shared" si="68"/>
        <v>1000.7286092490733</v>
      </c>
      <c r="CY85" s="59">
        <f ca="1">AVERAGE(OFFSET($CX$3,0,0,'Données projet'!$E$13+1,1))-AVERAGE(OFFSET($H$3,0,0,'Données projet'!$E$13+1,1))</f>
        <v>475.01366239340246</v>
      </c>
      <c r="CZ85" s="59">
        <f t="shared" si="96"/>
        <v>322.81767004794284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3.1045702276936957</v>
      </c>
      <c r="DG85" s="21">
        <f>EXP(-LN(2)/25)*DG84+(1-EXP(-LN(2)/25))/(LN(2)/25)*Calculateur!DB85*Calculateur!DD85*VLOOKUP('Données projet'!$B$13,Paramètres!$A$1:$I$89,3,0)*0.475*44/12</f>
        <v>2.6349698005435642</v>
      </c>
      <c r="DH85" s="21">
        <f>EXP(-LN(2)/2)*DH84+(1-EXP(-LN(2)/2))/(LN(2)/2)*DB85*DE85*VLOOKUP('Données projet'!$B$13,Paramètres!$A$1:$I$89,3,0)*0.475*44/12</f>
        <v>1.5129905545102673E-7</v>
      </c>
      <c r="DI85" s="22">
        <f t="shared" si="69"/>
        <v>5.7395401795363146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2.2737367544323206E-13</v>
      </c>
      <c r="DP85" s="17">
        <f>DO85*VLOOKUP('Données projet'!$B$14,Paramètres!$A$1:$I$89,3,0)*VLOOKUP('Données projet'!$B$14,Paramètres!$A$1:$I$89,5,0)</f>
        <v>2.0572770154103635E-13</v>
      </c>
      <c r="DQ85" s="13">
        <f t="shared" si="97"/>
        <v>2.8416956338469711E-12</v>
      </c>
      <c r="DR85" s="20">
        <f t="shared" si="70"/>
        <v>5.3075956424674458E-12</v>
      </c>
      <c r="DS85" s="59">
        <f t="shared" si="71"/>
        <v>293.3333333333386</v>
      </c>
      <c r="DT85" s="59">
        <f ca="1">AVERAGE(OFFSET($DS$3,0,0,'Données projet'!$E$14+1,1))-AVERAGE(OFFSET($H$3,0,0,'Données projet'!$E$14+1,1))</f>
        <v>436.23918637269577</v>
      </c>
      <c r="DU85" s="59">
        <f t="shared" si="98"/>
        <v>611.43967996341894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1.1762155688277536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7.0340716138604603E-8</v>
      </c>
      <c r="ED85" s="22">
        <f t="shared" si="72"/>
        <v>1.1762156391684697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302.15328000000005</v>
      </c>
      <c r="P86" s="13">
        <f t="shared" si="87"/>
        <v>71.627685603423203</v>
      </c>
      <c r="Q86" s="20">
        <f t="shared" si="54"/>
        <v>651.00184842596218</v>
      </c>
      <c r="R86" s="59">
        <f t="shared" si="55"/>
        <v>944.33518175929544</v>
      </c>
      <c r="S86" s="59">
        <f ca="1">AVERAGE(OFFSET($R$3,0,0,'Données projet'!$E$9+1,1))-AVERAGE(OFFSET($H$3,0,0,'Données projet'!$E$9+1,1))</f>
        <v>430.94515308997018</v>
      </c>
      <c r="T86" s="59">
        <f t="shared" si="88"/>
        <v>294.45557293177131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2.7349112021163515</v>
      </c>
      <c r="AA86" s="21">
        <f>EXP(-LN(2)/25)*AA85+(1-EXP(-LN(2)/25))/(LN(2)/25)*Calculateur!V86*Calculateur!X86*VLOOKUP('Données projet'!$B$9,Paramètres!$A$1:$I$89,3,0)*0.475*44/12</f>
        <v>2.3029103998898708</v>
      </c>
      <c r="AB86" s="21">
        <f>EXP(-LN(2)/2)*AB85+(1-EXP(-LN(2)/2))/(LN(2)/2)*V86*Y86*VLOOKUP('Données projet'!$B$9,Paramètres!$A$1:$I$89,3,0)*0.475*44/12</f>
        <v>9.6131079159210282E-8</v>
      </c>
      <c r="AC86" s="22">
        <f t="shared" si="57"/>
        <v>5.037821698137301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17.5</v>
      </c>
      <c r="AI86" s="13">
        <f>IF('Données projet'!$A$62&gt;35,AI85+AH86-AQ85,IF(A86&lt;'Données projet'!$A$62,$AF$205^A86,IF(A86='Données projet'!$A$62,'Données projet'!$B$62,AI85+AH86-AQ85)))</f>
        <v>465.99999999999989</v>
      </c>
      <c r="AJ86" s="13">
        <f>AI86*VLOOKUP('Données projet'!$B$10,Paramètres!$A$1:$I$89,3,0)*VLOOKUP('Données projet'!$B$10,Paramètres!$A$1:$I$89,5,0)</f>
        <v>218.08799999999997</v>
      </c>
      <c r="AK86" s="13">
        <f t="shared" si="89"/>
        <v>53.699111087780629</v>
      </c>
      <c r="AL86" s="20">
        <f t="shared" si="58"/>
        <v>473.36255181121783</v>
      </c>
      <c r="AM86" s="59">
        <f t="shared" si="59"/>
        <v>766.69588514455108</v>
      </c>
      <c r="AN86" s="59">
        <f ca="1">AVERAGE(OFFSET($AM$3,0,0,'Données projet'!$E$10+1,1))-AVERAGE(OFFSET($H$3,0,0,'Données projet'!$E$10+1,1))</f>
        <v>319.22903094674564</v>
      </c>
      <c r="AO86" s="59">
        <f t="shared" si="90"/>
        <v>254.58690973142848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3.177291512946113</v>
      </c>
      <c r="AV86" s="21">
        <f>EXP(-LN(2)/25)*AV85+(1-EXP(-LN(2)/25))/(LN(2)/25)*Calculateur!AQ86*Calculateur!AS86*VLOOKUP('Données projet'!$B$10,Paramètres!$A$1:$I$89,3,0)*0.475*44/12</f>
        <v>2.5653267878903967</v>
      </c>
      <c r="AW86" s="21">
        <f>EXP(-LN(2)/2)*AW85+(1-EXP(-LN(2)/2))/(LN(2)/2)*AQ86*AT86*VLOOKUP('Données projet'!$B$10,Paramètres!$A$1:$I$89,3,0)*0.475*44/12</f>
        <v>1.1635826750701407E-7</v>
      </c>
      <c r="AX86" s="21">
        <f t="shared" si="60"/>
        <v>5.7426184171947776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</v>
      </c>
      <c r="BD86" s="12">
        <f>IF('Données projet'!$A$88&gt;35,BD85+BC86-BL85,IF(A86&lt;'Données projet'!$A$88,$BA$205^A86,IF(A86='Données projet'!$A$88,'Données projet'!$B$88,BD85+BC86-BL85)))</f>
        <v>259.00000000000006</v>
      </c>
      <c r="BE86" s="13">
        <f>BD86*VLOOKUP('Données projet'!$B$11,Paramètres!$A$1:$I$89,3,0)*VLOOKUP('Données projet'!$B$11,Paramètres!$A$1:$I$89,5,0)</f>
        <v>226.26240000000007</v>
      </c>
      <c r="BF86" s="13">
        <f t="shared" si="91"/>
        <v>55.473756029242935</v>
      </c>
      <c r="BG86" s="20">
        <f t="shared" si="61"/>
        <v>490.69047175093164</v>
      </c>
      <c r="BH86" s="59">
        <f t="shared" si="62"/>
        <v>784.02380508426495</v>
      </c>
      <c r="BI86" s="59">
        <f ca="1">AVERAGE(OFFSET($BH$3,0,0,'Données projet'!$E$11+1,1))-AVERAGE(OFFSET($H$3,0,0,'Données projet'!$E$11+1,1))</f>
        <v>395.21779046720553</v>
      </c>
      <c r="BJ86" s="59">
        <f t="shared" si="92"/>
        <v>360.05900046417361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1.6843918346418751</v>
      </c>
      <c r="BQ86" s="21">
        <f>EXP(-LN(2)/25)*BQ85+(1-EXP(-LN(2)/25))/(LN(2)/25)*Calculateur!BL86*Calculateur!BN86*VLOOKUP('Données projet'!$B$11,Paramètres!$A$1:$I$89,3,0)*0.475*44/12</f>
        <v>2.5949659947950017</v>
      </c>
      <c r="BR86" s="21">
        <f>EXP(-LN(2)/2)*BR85+(1-EXP(-LN(2)/2))/(LN(2)/2)*BL86*BO86*VLOOKUP('Données projet'!$B$11,Paramètres!$A$1:$I$89,3,0)*0.475*44/12</f>
        <v>7.3730704368921136E-8</v>
      </c>
      <c r="BS86" s="22">
        <f t="shared" si="63"/>
        <v>4.2793579031675808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6.8</v>
      </c>
      <c r="BY86" s="12">
        <f>IF('Données projet'!$A$114&gt;35,BY85+BX86-CG85,IF(A86&lt;'Données projet'!$A$114,$BV$205^A86,IF(A86='Données projet'!$A$114,'Données projet'!$B$114,BY85+BX86-CG85)))</f>
        <v>312.40000000000003</v>
      </c>
      <c r="BZ86" s="13">
        <f>BY86*VLOOKUP('Données projet'!$B$12,Paramètres!$A$1:$I$89,3,0)*VLOOKUP('Données projet'!$B$12,Paramètres!$A$1:$I$89,5,0)</f>
        <v>316.77360000000004</v>
      </c>
      <c r="CA86" s="13">
        <f t="shared" si="93"/>
        <v>74.681642981668006</v>
      </c>
      <c r="CB86" s="20">
        <f t="shared" si="64"/>
        <v>681.78454819307183</v>
      </c>
      <c r="CC86" s="59">
        <f t="shared" si="65"/>
        <v>975.1178815264052</v>
      </c>
      <c r="CD86" s="59">
        <f ca="1">AVERAGE(OFFSET($CC$3,0,0,'Données projet'!$E$12+1,1))-AVERAGE(OFFSET($H$3,0,0,'Données projet'!$E$12+1,1))</f>
        <v>449.84356201138451</v>
      </c>
      <c r="CE86" s="59">
        <f t="shared" si="94"/>
        <v>306.61893266146666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2.8672456151219823</v>
      </c>
      <c r="CL86" s="21">
        <f>EXP(-LN(2)/25)*CL85+(1-EXP(-LN(2)/25))/(LN(2)/25)*Calculateur!CG86*Calculateur!CI86*VLOOKUP('Données projet'!$B$12,Paramètres!$A$1:$I$89,3,0)*0.475*44/12</f>
        <v>2.4143415482716395</v>
      </c>
      <c r="CM86" s="21">
        <f>EXP(-LN(2)/2)*CM85+(1-EXP(-LN(2)/2))/(LN(2)/2)*CG86*CJ86*VLOOKUP('Données projet'!$B$12,Paramètres!$A$1:$I$89,3,0)*0.475*44/12</f>
        <v>1.0078258298949463E-7</v>
      </c>
      <c r="CN86" s="22">
        <f t="shared" si="66"/>
        <v>5.2815872641762054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6.8</v>
      </c>
      <c r="CT86" s="12">
        <f>IF('Données projet'!$A$140&gt;35,CT85+CS86-DB85,IF(A86&lt;'Données projet'!$A$140,$CQ$205^A86,IF(A86='Données projet'!$A$140,'Données projet'!$B$140,CT85+CS86-DB85)))</f>
        <v>312.40000000000003</v>
      </c>
      <c r="CU86" s="17">
        <f>CT86*VLOOKUP('Données projet'!$B$13,Paramètres!$A$1:$I$89,3,0)*VLOOKUP('Données projet'!$B$13,Paramètres!$A$1:$I$89,5,0)</f>
        <v>336.26736000000005</v>
      </c>
      <c r="CV86" s="13">
        <f t="shared" si="95"/>
        <v>78.728264597957192</v>
      </c>
      <c r="CW86" s="20">
        <f t="shared" si="67"/>
        <v>722.78404617477554</v>
      </c>
      <c r="CX86" s="59">
        <f t="shared" si="68"/>
        <v>1016.1173795081088</v>
      </c>
      <c r="CY86" s="59">
        <f ca="1">AVERAGE(OFFSET($CX$3,0,0,'Données projet'!$E$13+1,1))-AVERAGE(OFFSET($H$3,0,0,'Données projet'!$E$13+1,1))</f>
        <v>475.01366239340246</v>
      </c>
      <c r="CZ86" s="59">
        <f t="shared" si="96"/>
        <v>322.81767004794284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3.0436914991294839</v>
      </c>
      <c r="DG86" s="21">
        <f>EXP(-LN(2)/25)*DG85+(1-EXP(-LN(2)/25))/(LN(2)/25)*Calculateur!DB86*Calculateur!DD86*VLOOKUP('Données projet'!$B$13,Paramètres!$A$1:$I$89,3,0)*0.475*44/12</f>
        <v>2.5629164127806607</v>
      </c>
      <c r="DH86" s="21">
        <f>EXP(-LN(2)/2)*DH85+(1-EXP(-LN(2)/2))/(LN(2)/2)*DB86*DE86*VLOOKUP('Données projet'!$B$13,Paramètres!$A$1:$I$89,3,0)*0.475*44/12</f>
        <v>1.0698458809654048E-7</v>
      </c>
      <c r="DI86" s="22">
        <f t="shared" si="69"/>
        <v>5.6066080188947325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2.2737367544323206E-13</v>
      </c>
      <c r="DP86" s="17">
        <f>DO86*VLOOKUP('Données projet'!$B$14,Paramètres!$A$1:$I$89,3,0)*VLOOKUP('Données projet'!$B$14,Paramètres!$A$1:$I$89,5,0)</f>
        <v>2.0572770154103635E-13</v>
      </c>
      <c r="DQ86" s="13">
        <f t="shared" si="97"/>
        <v>2.8416956338469711E-12</v>
      </c>
      <c r="DR86" s="20">
        <f t="shared" si="70"/>
        <v>5.3075956424674458E-12</v>
      </c>
      <c r="DS86" s="59">
        <f t="shared" si="71"/>
        <v>293.3333333333386</v>
      </c>
      <c r="DT86" s="59">
        <f ca="1">AVERAGE(OFFSET($DS$3,0,0,'Données projet'!$E$14+1,1))-AVERAGE(OFFSET($H$3,0,0,'Données projet'!$E$14+1,1))</f>
        <v>436.23918637269577</v>
      </c>
      <c r="DU86" s="59">
        <f t="shared" si="98"/>
        <v>611.43967996341894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1.1531506989436988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4.9738397375125338E-8</v>
      </c>
      <c r="ED86" s="22">
        <f t="shared" si="72"/>
        <v>1.1531507486820962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308.73024000000004</v>
      </c>
      <c r="P87" s="13">
        <f t="shared" si="87"/>
        <v>73.003590434710574</v>
      </c>
      <c r="Q87" s="20">
        <f t="shared" si="54"/>
        <v>664.85308800712107</v>
      </c>
      <c r="R87" s="59">
        <f t="shared" si="55"/>
        <v>958.18642134045444</v>
      </c>
      <c r="S87" s="59">
        <f ca="1">AVERAGE(OFFSET($R$3,0,0,'Données projet'!$E$9+1,1))-AVERAGE(OFFSET($H$3,0,0,'Données projet'!$E$9+1,1))</f>
        <v>430.94515308997018</v>
      </c>
      <c r="T87" s="59">
        <f t="shared" si="88"/>
        <v>294.45557293177131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2.681281261573969</v>
      </c>
      <c r="AA87" s="21">
        <f>EXP(-LN(2)/25)*AA86+(1-EXP(-LN(2)/25))/(LN(2)/25)*Calculateur!V87*Calculateur!X87*VLOOKUP('Données projet'!$B$9,Paramètres!$A$1:$I$89,3,0)*0.475*44/12</f>
        <v>2.2399371939000878</v>
      </c>
      <c r="AB87" s="21">
        <f>EXP(-LN(2)/2)*AB86+(1-EXP(-LN(2)/2))/(LN(2)/2)*V87*Y87*VLOOKUP('Données projet'!$B$9,Paramètres!$A$1:$I$89,3,0)*0.475*44/12</f>
        <v>6.7974937956258383E-8</v>
      </c>
      <c r="AC87" s="22">
        <f t="shared" si="57"/>
        <v>4.921218523448994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17.5</v>
      </c>
      <c r="AI87" s="13">
        <f>IF('Données projet'!$A$62&gt;35,AI86+AH87-AQ86,IF(A87&lt;'Données projet'!$A$62,$AF$205^A87,IF(A87='Données projet'!$A$62,'Données projet'!$B$62,AI86+AH87-AQ86)))</f>
        <v>483.49999999999989</v>
      </c>
      <c r="AJ87" s="13">
        <f>AI87*VLOOKUP('Données projet'!$B$10,Paramètres!$A$1:$I$89,3,0)*VLOOKUP('Données projet'!$B$10,Paramètres!$A$1:$I$89,5,0)</f>
        <v>226.27799999999993</v>
      </c>
      <c r="AK87" s="13">
        <f t="shared" si="89"/>
        <v>55.477135539319008</v>
      </c>
      <c r="AL87" s="20">
        <f t="shared" si="58"/>
        <v>490.72352773098049</v>
      </c>
      <c r="AM87" s="59">
        <f t="shared" si="59"/>
        <v>784.05686106431381</v>
      </c>
      <c r="AN87" s="59">
        <f ca="1">AVERAGE(OFFSET($AM$3,0,0,'Données projet'!$E$10+1,1))-AVERAGE(OFFSET($H$3,0,0,'Données projet'!$E$10+1,1))</f>
        <v>319.22903094674564</v>
      </c>
      <c r="AO87" s="59">
        <f t="shared" si="90"/>
        <v>254.58690973142848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3.1149867643337052</v>
      </c>
      <c r="AV87" s="21">
        <f>EXP(-LN(2)/25)*AV86+(1-EXP(-LN(2)/25))/(LN(2)/25)*Calculateur!AQ87*Calculateur!AS87*VLOOKUP('Données projet'!$B$10,Paramètres!$A$1:$I$89,3,0)*0.475*44/12</f>
        <v>2.4951777919708613</v>
      </c>
      <c r="AW87" s="21">
        <f>EXP(-LN(2)/2)*AW86+(1-EXP(-LN(2)/2))/(LN(2)/2)*AQ87*AT87*VLOOKUP('Données projet'!$B$10,Paramètres!$A$1:$I$89,3,0)*0.475*44/12</f>
        <v>8.227772000132797E-8</v>
      </c>
      <c r="AX87" s="21">
        <f t="shared" si="60"/>
        <v>5.6101646385822859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</v>
      </c>
      <c r="BD87" s="12">
        <f>IF('Données projet'!$A$88&gt;35,BD86+BC87-BL86,IF(A87&lt;'Données projet'!$A$88,$BA$205^A87,IF(A87='Données projet'!$A$88,'Données projet'!$B$88,BD86+BC87-BL86)))</f>
        <v>263.00000000000006</v>
      </c>
      <c r="BE87" s="13">
        <f>BD87*VLOOKUP('Données projet'!$B$11,Paramètres!$A$1:$I$89,3,0)*VLOOKUP('Données projet'!$B$11,Paramètres!$A$1:$I$89,5,0)</f>
        <v>229.75680000000011</v>
      </c>
      <c r="BF87" s="13">
        <f t="shared" si="91"/>
        <v>56.230092767727569</v>
      </c>
      <c r="BG87" s="20">
        <f t="shared" si="61"/>
        <v>498.09383823712568</v>
      </c>
      <c r="BH87" s="59">
        <f t="shared" si="62"/>
        <v>791.427171570459</v>
      </c>
      <c r="BI87" s="59">
        <f ca="1">AVERAGE(OFFSET($BH$3,0,0,'Données projet'!$E$11+1,1))-AVERAGE(OFFSET($H$3,0,0,'Données projet'!$E$11+1,1))</f>
        <v>395.21779046720553</v>
      </c>
      <c r="BJ87" s="59">
        <f t="shared" si="92"/>
        <v>360.05900046417361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1.6513619381421221</v>
      </c>
      <c r="BQ87" s="21">
        <f>EXP(-LN(2)/25)*BQ86+(1-EXP(-LN(2)/25))/(LN(2)/25)*Calculateur!BL87*Calculateur!BN87*VLOOKUP('Données projet'!$B$11,Paramètres!$A$1:$I$89,3,0)*0.475*44/12</f>
        <v>2.5240065132040015</v>
      </c>
      <c r="BR87" s="21">
        <f>EXP(-LN(2)/2)*BR86+(1-EXP(-LN(2)/2))/(LN(2)/2)*BL87*BO87*VLOOKUP('Données projet'!$B$11,Paramètres!$A$1:$I$89,3,0)*0.475*44/12</f>
        <v>5.2135481040924742E-8</v>
      </c>
      <c r="BS87" s="22">
        <f t="shared" si="63"/>
        <v>4.1753685034816046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6.8</v>
      </c>
      <c r="BY87" s="12">
        <f>IF('Données projet'!$A$114&gt;35,BY86+BX87-CG86,IF(A87&lt;'Données projet'!$A$114,$BV$205^A87,IF(A87='Données projet'!$A$114,'Données projet'!$B$114,BY86+BX87-CG86)))</f>
        <v>319.20000000000005</v>
      </c>
      <c r="BZ87" s="13">
        <f>BY87*VLOOKUP('Données projet'!$B$12,Paramètres!$A$1:$I$89,3,0)*VLOOKUP('Données projet'!$B$12,Paramètres!$A$1:$I$89,5,0)</f>
        <v>323.66880000000009</v>
      </c>
      <c r="CA87" s="13">
        <f t="shared" si="93"/>
        <v>76.11621164769852</v>
      </c>
      <c r="CB87" s="20">
        <f t="shared" si="64"/>
        <v>696.29222861974176</v>
      </c>
      <c r="CC87" s="59">
        <f t="shared" si="65"/>
        <v>989.62556195307502</v>
      </c>
      <c r="CD87" s="59">
        <f ca="1">AVERAGE(OFFSET($CC$3,0,0,'Données projet'!$E$12+1,1))-AVERAGE(OFFSET($H$3,0,0,'Données projet'!$E$12+1,1))</f>
        <v>449.84356201138451</v>
      </c>
      <c r="CE87" s="59">
        <f t="shared" si="94"/>
        <v>306.61893266146666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2.8110206774565811</v>
      </c>
      <c r="CL87" s="21">
        <f>EXP(-LN(2)/25)*CL86+(1-EXP(-LN(2)/25))/(LN(2)/25)*Calculateur!CG87*Calculateur!CI87*VLOOKUP('Données projet'!$B$12,Paramètres!$A$1:$I$89,3,0)*0.475*44/12</f>
        <v>2.3483212516694474</v>
      </c>
      <c r="CM87" s="21">
        <f>EXP(-LN(2)/2)*CM86+(1-EXP(-LN(2)/2))/(LN(2)/2)*CG87*CJ87*VLOOKUP('Données projet'!$B$12,Paramètres!$A$1:$I$89,3,0)*0.475*44/12</f>
        <v>7.1264047857367643E-8</v>
      </c>
      <c r="CN87" s="22">
        <f t="shared" si="66"/>
        <v>5.159342000390077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6.8</v>
      </c>
      <c r="CT87" s="12">
        <f>IF('Données projet'!$A$140&gt;35,CT86+CS87-DB86,IF(A87&lt;'Données projet'!$A$140,$CQ$205^A87,IF(A87='Données projet'!$A$140,'Données projet'!$B$140,CT86+CS87-DB86)))</f>
        <v>319.20000000000005</v>
      </c>
      <c r="CU87" s="17">
        <f>CT87*VLOOKUP('Données projet'!$B$13,Paramètres!$A$1:$I$89,3,0)*VLOOKUP('Données projet'!$B$13,Paramètres!$A$1:$I$89,5,0)</f>
        <v>343.58688000000006</v>
      </c>
      <c r="CV87" s="13">
        <f t="shared" si="95"/>
        <v>80.240565305520732</v>
      </c>
      <c r="CW87" s="20">
        <f t="shared" si="67"/>
        <v>738.1661339071153</v>
      </c>
      <c r="CX87" s="59">
        <f t="shared" si="68"/>
        <v>1031.4994672404487</v>
      </c>
      <c r="CY87" s="59">
        <f ca="1">AVERAGE(OFFSET($CX$3,0,0,'Données projet'!$E$13+1,1))-AVERAGE(OFFSET($H$3,0,0,'Données projet'!$E$13+1,1))</f>
        <v>475.01366239340246</v>
      </c>
      <c r="CZ87" s="59">
        <f t="shared" si="96"/>
        <v>322.81767004794284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2.9840065653000583</v>
      </c>
      <c r="DG87" s="21">
        <f>EXP(-LN(2)/25)*DG86+(1-EXP(-LN(2)/25))/(LN(2)/25)*Calculateur!DB87*Calculateur!DD87*VLOOKUP('Données projet'!$B$13,Paramètres!$A$1:$I$89,3,0)*0.475*44/12</f>
        <v>2.4928333286952569</v>
      </c>
      <c r="DH87" s="21">
        <f>EXP(-LN(2)/2)*DH86+(1-EXP(-LN(2)/2))/(LN(2)/2)*DB87*DE87*VLOOKUP('Données projet'!$B$13,Paramètres!$A$1:$I$89,3,0)*0.475*44/12</f>
        <v>7.5649527725513363E-8</v>
      </c>
      <c r="DI87" s="22">
        <f t="shared" si="69"/>
        <v>5.4768399696448427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2.2737367544323206E-13</v>
      </c>
      <c r="DP87" s="17">
        <f>DO87*VLOOKUP('Données projet'!$B$14,Paramètres!$A$1:$I$89,3,0)*VLOOKUP('Données projet'!$B$14,Paramètres!$A$1:$I$89,5,0)</f>
        <v>2.0572770154103635E-13</v>
      </c>
      <c r="DQ87" s="13">
        <f t="shared" si="97"/>
        <v>2.8416956338469711E-12</v>
      </c>
      <c r="DR87" s="20">
        <f t="shared" si="70"/>
        <v>5.3075956424674458E-12</v>
      </c>
      <c r="DS87" s="59">
        <f t="shared" si="71"/>
        <v>293.3333333333386</v>
      </c>
      <c r="DT87" s="59">
        <f ca="1">AVERAGE(OFFSET($DS$3,0,0,'Données projet'!$E$14+1,1))-AVERAGE(OFFSET($H$3,0,0,'Données projet'!$E$14+1,1))</f>
        <v>436.23918637269577</v>
      </c>
      <c r="DU87" s="59">
        <f t="shared" si="98"/>
        <v>611.43967996341894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1.1305381170898889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3.5170358069302302E-8</v>
      </c>
      <c r="ED87" s="22">
        <f t="shared" si="72"/>
        <v>1.1305381522602469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315.30720000000008</v>
      </c>
      <c r="P88" s="13">
        <f t="shared" si="87"/>
        <v>74.376087390025049</v>
      </c>
      <c r="Q88" s="20">
        <f t="shared" si="54"/>
        <v>678.69839220429378</v>
      </c>
      <c r="R88" s="59">
        <f t="shared" si="55"/>
        <v>972.03172553762715</v>
      </c>
      <c r="S88" s="59">
        <f ca="1">AVERAGE(OFFSET($R$3,0,0,'Données projet'!$E$9+1,1))-AVERAGE(OFFSET($H$3,0,0,'Données projet'!$E$9+1,1))</f>
        <v>430.94515308997018</v>
      </c>
      <c r="T88" s="59">
        <f t="shared" si="88"/>
        <v>294.45557293177131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2.6287029714545889</v>
      </c>
      <c r="AA88" s="21">
        <f>EXP(-LN(2)/25)*AA87+(1-EXP(-LN(2)/25))/(LN(2)/25)*Calculateur!V88*Calculateur!X88*VLOOKUP('Données projet'!$B$9,Paramètres!$A$1:$I$89,3,0)*0.475*44/12</f>
        <v>2.1786859935397125</v>
      </c>
      <c r="AB88" s="21">
        <f>EXP(-LN(2)/2)*AB87+(1-EXP(-LN(2)/2))/(LN(2)/2)*V88*Y88*VLOOKUP('Données projet'!$B$9,Paramètres!$A$1:$I$89,3,0)*0.475*44/12</f>
        <v>4.8065539579605141E-8</v>
      </c>
      <c r="AC88" s="22">
        <f t="shared" si="57"/>
        <v>4.8073890130598409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17.5</v>
      </c>
      <c r="AI88" s="13">
        <f>IF('Données projet'!$A$62&gt;35,AI87+AH88-AQ87,IF(A88&lt;'Données projet'!$A$62,$AF$205^A88,IF(A88='Données projet'!$A$62,'Données projet'!$B$62,AI87+AH88-AQ87)))</f>
        <v>500.99999999999989</v>
      </c>
      <c r="AJ88" s="13">
        <f>AI88*VLOOKUP('Données projet'!$B$10,Paramètres!$A$1:$I$89,3,0)*VLOOKUP('Données projet'!$B$10,Paramètres!$A$1:$I$89,5,0)</f>
        <v>234.46799999999996</v>
      </c>
      <c r="AK88" s="13">
        <f t="shared" si="89"/>
        <v>57.247683153605394</v>
      </c>
      <c r="AL88" s="20">
        <f t="shared" si="58"/>
        <v>508.0714814925293</v>
      </c>
      <c r="AM88" s="59">
        <f t="shared" si="59"/>
        <v>801.40481482586256</v>
      </c>
      <c r="AN88" s="59">
        <f ca="1">AVERAGE(OFFSET($AM$3,0,0,'Données projet'!$E$10+1,1))-AVERAGE(OFFSET($H$3,0,0,'Données projet'!$E$10+1,1))</f>
        <v>319.22903094674564</v>
      </c>
      <c r="AO88" s="59">
        <f t="shared" si="90"/>
        <v>254.58690973142848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3.0539037738394428</v>
      </c>
      <c r="AV88" s="21">
        <f>EXP(-LN(2)/25)*AV87+(1-EXP(-LN(2)/25))/(LN(2)/25)*Calculateur!AQ88*Calculateur!AS88*VLOOKUP('Données projet'!$B$10,Paramètres!$A$1:$I$89,3,0)*0.475*44/12</f>
        <v>2.426947024033721</v>
      </c>
      <c r="AW88" s="21">
        <f>EXP(-LN(2)/2)*AW87+(1-EXP(-LN(2)/2))/(LN(2)/2)*AQ88*AT88*VLOOKUP('Données projet'!$B$10,Paramètres!$A$1:$I$89,3,0)*0.475*44/12</f>
        <v>5.8179133753507044E-8</v>
      </c>
      <c r="AX88" s="21">
        <f t="shared" si="60"/>
        <v>5.4808508560522968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267</v>
      </c>
      <c r="BB88" s="12">
        <f>VLOOKUP(A88,'Données projet'!$A$87:$I$107,9,0)</f>
        <v>4</v>
      </c>
      <c r="BC88" s="12">
        <f t="array" ref="BC88">INDEX(BB:BB,MIN(IF(ISNUMBER(BB88:BB284),ROW(BB88:BB284),"")))</f>
        <v>4</v>
      </c>
      <c r="BD88" s="12">
        <f>IF('Données projet'!$A$88&gt;35,BD87+BC88-BL87,IF(A88&lt;'Données projet'!$A$88,$BA$205^A88,IF(A88='Données projet'!$A$88,'Données projet'!$B$88,BD87+BC88-BL87)))</f>
        <v>267.00000000000006</v>
      </c>
      <c r="BE88" s="13">
        <f>BD88*VLOOKUP('Données projet'!$B$11,Paramètres!$A$1:$I$89,3,0)*VLOOKUP('Données projet'!$B$11,Paramètres!$A$1:$I$89,5,0)</f>
        <v>233.25120000000007</v>
      </c>
      <c r="BF88" s="13">
        <f t="shared" si="91"/>
        <v>56.985091661350914</v>
      </c>
      <c r="BG88" s="20">
        <f t="shared" si="61"/>
        <v>505.49487464351961</v>
      </c>
      <c r="BH88" s="59">
        <f t="shared" si="62"/>
        <v>798.82820797685292</v>
      </c>
      <c r="BI88" s="59">
        <f ca="1">AVERAGE(OFFSET($BH$3,0,0,'Données projet'!$E$11+1,1))-AVERAGE(OFFSET($H$3,0,0,'Données projet'!$E$11+1,1))</f>
        <v>395.21779046720553</v>
      </c>
      <c r="BJ88" s="59">
        <f t="shared" si="92"/>
        <v>360.05900046417361</v>
      </c>
      <c r="BK88" s="15">
        <f>IF(ISNA(VLOOKUP(A88,'Données projet'!$A$87:$I$107,3,0)),0,VLOOKUP(A88,'Données projet'!$A$87:$I$107,3,0))</f>
        <v>16</v>
      </c>
      <c r="BL88" s="15">
        <f>IF(ISNA(VLOOKUP(A88,'Données projet'!$A$87:$I$107,4,0)),0,VLOOKUP(A88,'Données projet'!$A$87:$I$107,4,0))</f>
        <v>16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1.6189797377664814</v>
      </c>
      <c r="BQ88" s="21">
        <f>EXP(-LN(2)/25)*BQ87+(1-EXP(-LN(2)/25))/(LN(2)/25)*Calculateur!BL88*Calculateur!BN88*VLOOKUP('Données projet'!$B$11,Paramètres!$A$1:$I$89,3,0)*0.475*44/12</f>
        <v>2.454987422368704</v>
      </c>
      <c r="BR88" s="21">
        <f>EXP(-LN(2)/2)*BR87+(1-EXP(-LN(2)/2))/(LN(2)/2)*BL88*BO88*VLOOKUP('Données projet'!$B$11,Paramètres!$A$1:$I$89,3,0)*0.475*44/12</f>
        <v>3.6865352184460568E-8</v>
      </c>
      <c r="BS88" s="22">
        <f t="shared" si="63"/>
        <v>4.0739671970005382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326</v>
      </c>
      <c r="BW88" s="12">
        <f>VLOOKUP(A88,'Données projet'!$A$113:$I$133,9,0)</f>
        <v>6.8</v>
      </c>
      <c r="BX88" s="12">
        <f t="array" ref="BX88">INDEX(BW:BW,MIN(IF(ISNUMBER(BW88:BW284),ROW(BW88:BW284),"")))</f>
        <v>6.8</v>
      </c>
      <c r="BY88" s="12">
        <f>IF('Données projet'!$A$114&gt;35,BY87+BX88-CG87,IF(A88&lt;'Données projet'!$A$114,$BV$205^A88,IF(A88='Données projet'!$A$114,'Données projet'!$B$114,BY87+BX88-CG87)))</f>
        <v>326.00000000000006</v>
      </c>
      <c r="BZ88" s="13">
        <f>BY88*VLOOKUP('Données projet'!$B$12,Paramètres!$A$1:$I$89,3,0)*VLOOKUP('Données projet'!$B$12,Paramètres!$A$1:$I$89,5,0)</f>
        <v>330.56400000000008</v>
      </c>
      <c r="CA88" s="13">
        <f t="shared" si="93"/>
        <v>77.547227137682853</v>
      </c>
      <c r="CB88" s="20">
        <f t="shared" si="64"/>
        <v>710.79372059813113</v>
      </c>
      <c r="CC88" s="59">
        <f t="shared" si="65"/>
        <v>1004.1270539314644</v>
      </c>
      <c r="CD88" s="59">
        <f ca="1">AVERAGE(OFFSET($CC$3,0,0,'Données projet'!$E$12+1,1))-AVERAGE(OFFSET($H$3,0,0,'Données projet'!$E$12+1,1))</f>
        <v>449.84356201138451</v>
      </c>
      <c r="CE88" s="59">
        <f t="shared" si="94"/>
        <v>306.61893266146666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28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2.7558982765249729</v>
      </c>
      <c r="CL88" s="21">
        <f>EXP(-LN(2)/25)*CL87+(1-EXP(-LN(2)/25))/(LN(2)/25)*Calculateur!CG88*Calculateur!CI88*VLOOKUP('Données projet'!$B$12,Paramètres!$A$1:$I$89,3,0)*0.475*44/12</f>
        <v>2.2841062835496988</v>
      </c>
      <c r="CM88" s="21">
        <f>EXP(-LN(2)/2)*CM87+(1-EXP(-LN(2)/2))/(LN(2)/2)*CG88*CJ88*VLOOKUP('Données projet'!$B$12,Paramètres!$A$1:$I$89,3,0)*0.475*44/12</f>
        <v>5.0391291494747313E-8</v>
      </c>
      <c r="CN88" s="22">
        <f t="shared" si="66"/>
        <v>5.0400046104659628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326</v>
      </c>
      <c r="CR88" s="12">
        <f>VLOOKUP(A88,'Données projet'!$A$139:$I$159,9,0)</f>
        <v>6.8</v>
      </c>
      <c r="CS88" s="12">
        <f t="array" ref="CS88">INDEX(CR:CR,MIN(IF(ISNUMBER(CR88:CR284),ROW(CR88:CR284),"")))</f>
        <v>6.8</v>
      </c>
      <c r="CT88" s="12">
        <f>IF('Données projet'!$A$140&gt;35,CT87+CS88-DB87,IF(A88&lt;'Données projet'!$A$140,$CQ$205^A88,IF(A88='Données projet'!$A$140,'Données projet'!$B$140,CT87+CS88-DB87)))</f>
        <v>326.00000000000006</v>
      </c>
      <c r="CU88" s="17">
        <f>CT88*VLOOKUP('Données projet'!$B$13,Paramètres!$A$1:$I$89,3,0)*VLOOKUP('Données projet'!$B$13,Paramètres!$A$1:$I$89,5,0)</f>
        <v>350.90640000000008</v>
      </c>
      <c r="CV88" s="13">
        <f t="shared" si="95"/>
        <v>81.749120308346747</v>
      </c>
      <c r="CW88" s="20">
        <f t="shared" si="67"/>
        <v>753.54169787037063</v>
      </c>
      <c r="CX88" s="59">
        <f t="shared" si="68"/>
        <v>1046.8750312037039</v>
      </c>
      <c r="CY88" s="59">
        <f ca="1">AVERAGE(OFFSET($CX$3,0,0,'Données projet'!$E$13+1,1))-AVERAGE(OFFSET($H$3,0,0,'Données projet'!$E$13+1,1))</f>
        <v>475.01366239340246</v>
      </c>
      <c r="CZ88" s="59">
        <f t="shared" si="96"/>
        <v>322.81767004794284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28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2.9254920166188123</v>
      </c>
      <c r="DG88" s="21">
        <f>EXP(-LN(2)/25)*DG87+(1-EXP(-LN(2)/25))/(LN(2)/25)*Calculateur!DB88*Calculateur!DD88*VLOOKUP('Données projet'!$B$13,Paramètres!$A$1:$I$89,3,0)*0.475*44/12</f>
        <v>2.4246666702296777</v>
      </c>
      <c r="DH88" s="21">
        <f>EXP(-LN(2)/2)*DH87+(1-EXP(-LN(2)/2))/(LN(2)/2)*DB88*DE88*VLOOKUP('Données projet'!$B$13,Paramètres!$A$1:$I$89,3,0)*0.475*44/12</f>
        <v>5.3492294048270238E-8</v>
      </c>
      <c r="DI88" s="22">
        <f t="shared" si="69"/>
        <v>5.3501587403407838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2.2737367544323206E-13</v>
      </c>
      <c r="DP88" s="17">
        <f>DO88*VLOOKUP('Données projet'!$B$14,Paramètres!$A$1:$I$89,3,0)*VLOOKUP('Données projet'!$B$14,Paramètres!$A$1:$I$89,5,0)</f>
        <v>2.0572770154103635E-13</v>
      </c>
      <c r="DQ88" s="13">
        <f t="shared" si="97"/>
        <v>2.8416956338469711E-12</v>
      </c>
      <c r="DR88" s="20">
        <f t="shared" si="70"/>
        <v>5.3075956424674458E-12</v>
      </c>
      <c r="DS88" s="59">
        <f t="shared" si="71"/>
        <v>293.3333333333386</v>
      </c>
      <c r="DT88" s="59">
        <f ca="1">AVERAGE(OFFSET($DS$3,0,0,'Données projet'!$E$14+1,1))-AVERAGE(OFFSET($H$3,0,0,'Données projet'!$E$14+1,1))</f>
        <v>436.23918637269577</v>
      </c>
      <c r="DU88" s="59">
        <f t="shared" si="98"/>
        <v>611.43967996341894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1.1083689541739192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2.4869198687562669E-8</v>
      </c>
      <c r="ED88" s="22">
        <f t="shared" si="72"/>
        <v>1.1083689790431179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294.41568000000001</v>
      </c>
      <c r="P89" s="13">
        <f t="shared" si="87"/>
        <v>70.004498360393455</v>
      </c>
      <c r="Q89" s="20">
        <f t="shared" si="54"/>
        <v>634.69847731101868</v>
      </c>
      <c r="R89" s="59">
        <f t="shared" si="55"/>
        <v>928.03181064435194</v>
      </c>
      <c r="S89" s="59">
        <f ca="1">AVERAGE(OFFSET($R$3,0,0,'Données projet'!$E$9+1,1))-AVERAGE(OFFSET($H$3,0,0,'Données projet'!$E$9+1,1))</f>
        <v>430.94515308997018</v>
      </c>
      <c r="T89" s="59">
        <f t="shared" si="88"/>
        <v>294.45557293177131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2.5771557095348592</v>
      </c>
      <c r="AA89" s="21">
        <f>EXP(-LN(2)/25)*AA88+(1-EXP(-LN(2)/25))/(LN(2)/25)*Calculateur!V89*Calculateur!X89*VLOOKUP('Données projet'!$B$9,Paramètres!$A$1:$I$89,3,0)*0.475*44/12</f>
        <v>2.1191097104742522</v>
      </c>
      <c r="AB89" s="21">
        <f>EXP(-LN(2)/2)*AB88+(1-EXP(-LN(2)/2))/(LN(2)/2)*V89*Y89*VLOOKUP('Données projet'!$B$9,Paramètres!$A$1:$I$89,3,0)*0.475*44/12</f>
        <v>3.3987468978129192E-8</v>
      </c>
      <c r="AC89" s="22">
        <f t="shared" si="57"/>
        <v>4.6962654539965802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17.5</v>
      </c>
      <c r="AI89" s="13">
        <f>IF('Données projet'!$A$62&gt;35,AI88+AH89-AQ88,IF(A89&lt;'Données projet'!$A$62,$AF$205^A89,IF(A89='Données projet'!$A$62,'Données projet'!$B$62,AI88+AH89-AQ88)))</f>
        <v>518.49999999999989</v>
      </c>
      <c r="AJ89" s="13">
        <f>AI89*VLOOKUP('Données projet'!$B$10,Paramètres!$A$1:$I$89,3,0)*VLOOKUP('Données projet'!$B$10,Paramètres!$A$1:$I$89,5,0)</f>
        <v>242.65799999999993</v>
      </c>
      <c r="AK89" s="13">
        <f t="shared" si="89"/>
        <v>59.011045025839607</v>
      </c>
      <c r="AL89" s="20">
        <f t="shared" si="58"/>
        <v>525.40692008667054</v>
      </c>
      <c r="AM89" s="59">
        <f t="shared" si="59"/>
        <v>818.74025342000391</v>
      </c>
      <c r="AN89" s="59">
        <f ca="1">AVERAGE(OFFSET($AM$3,0,0,'Données projet'!$E$10+1,1))-AVERAGE(OFFSET($H$3,0,0,'Données projet'!$E$10+1,1))</f>
        <v>319.22903094674564</v>
      </c>
      <c r="AO89" s="59">
        <f t="shared" si="90"/>
        <v>254.58690973142848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2.9940185835318274</v>
      </c>
      <c r="AV89" s="21">
        <f>EXP(-LN(2)/25)*AV88+(1-EXP(-LN(2)/25))/(LN(2)/25)*Calculateur!AQ89*Calculateur!AS89*VLOOKUP('Données projet'!$B$10,Paramètres!$A$1:$I$89,3,0)*0.475*44/12</f>
        <v>2.3605820300339215</v>
      </c>
      <c r="AW89" s="21">
        <f>EXP(-LN(2)/2)*AW88+(1-EXP(-LN(2)/2))/(LN(2)/2)*AQ89*AT89*VLOOKUP('Données projet'!$B$10,Paramètres!$A$1:$I$89,3,0)*0.475*44/12</f>
        <v>4.1138860000663991E-8</v>
      </c>
      <c r="AX89" s="21">
        <f t="shared" si="60"/>
        <v>5.3546006547046092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3.4</v>
      </c>
      <c r="BD89" s="12">
        <f>IF('Données projet'!$A$88&gt;35,BD88+BC89-BL88,IF(A89&lt;'Données projet'!$A$88,$BA$205^A89,IF(A89='Données projet'!$A$88,'Données projet'!$B$88,BD88+BC89-BL88)))</f>
        <v>254.40000000000003</v>
      </c>
      <c r="BE89" s="13">
        <f>BD89*VLOOKUP('Données projet'!$B$11,Paramètres!$A$1:$I$89,3,0)*VLOOKUP('Données projet'!$B$11,Paramètres!$A$1:$I$89,5,0)</f>
        <v>222.24384000000006</v>
      </c>
      <c r="BF89" s="13">
        <f t="shared" si="91"/>
        <v>54.602284860895942</v>
      </c>
      <c r="BG89" s="20">
        <f t="shared" si="61"/>
        <v>482.17366746606058</v>
      </c>
      <c r="BH89" s="59">
        <f t="shared" si="62"/>
        <v>775.50700079939384</v>
      </c>
      <c r="BI89" s="59">
        <f ca="1">AVERAGE(OFFSET($BH$3,0,0,'Données projet'!$E$11+1,1))-AVERAGE(OFFSET($H$3,0,0,'Données projet'!$E$11+1,1))</f>
        <v>395.21779046720553</v>
      </c>
      <c r="BJ89" s="59">
        <f t="shared" si="92"/>
        <v>360.05900046417361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1.5872325325890151</v>
      </c>
      <c r="BQ89" s="21">
        <f>EXP(-LN(2)/25)*BQ88+(1-EXP(-LN(2)/25))/(LN(2)/25)*Calculateur!BL89*Calculateur!BN89*VLOOKUP('Données projet'!$B$11,Paramètres!$A$1:$I$89,3,0)*0.475*44/12</f>
        <v>2.3878556622018543</v>
      </c>
      <c r="BR89" s="21">
        <f>EXP(-LN(2)/2)*BR88+(1-EXP(-LN(2)/2))/(LN(2)/2)*BL89*BO89*VLOOKUP('Données projet'!$B$11,Paramètres!$A$1:$I$89,3,0)*0.475*44/12</f>
        <v>2.6067740520462371E-8</v>
      </c>
      <c r="BS89" s="22">
        <f t="shared" si="63"/>
        <v>3.9750882208586096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6.4</v>
      </c>
      <c r="BY89" s="12">
        <f>IF('Données projet'!$A$114&gt;35,BY88+BX89-CG88,IF(A89&lt;'Données projet'!$A$114,$BV$205^A89,IF(A89='Données projet'!$A$114,'Données projet'!$B$114,BY88+BX89-CG88)))</f>
        <v>304.40000000000003</v>
      </c>
      <c r="BZ89" s="13">
        <f>BY89*VLOOKUP('Données projet'!$B$12,Paramètres!$A$1:$I$89,3,0)*VLOOKUP('Données projet'!$B$12,Paramètres!$A$1:$I$89,5,0)</f>
        <v>308.66160000000008</v>
      </c>
      <c r="CA89" s="13">
        <f t="shared" si="93"/>
        <v>72.98924863505313</v>
      </c>
      <c r="CB89" s="20">
        <f t="shared" si="64"/>
        <v>664.70856137271755</v>
      </c>
      <c r="CC89" s="59">
        <f t="shared" si="65"/>
        <v>958.04189470605093</v>
      </c>
      <c r="CD89" s="59">
        <f ca="1">AVERAGE(OFFSET($CC$3,0,0,'Données projet'!$E$12+1,1))-AVERAGE(OFFSET($H$3,0,0,'Données projet'!$E$12+1,1))</f>
        <v>449.84356201138451</v>
      </c>
      <c r="CE89" s="59">
        <f t="shared" si="94"/>
        <v>306.61893266146666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2.7018567922542887</v>
      </c>
      <c r="CL89" s="21">
        <f>EXP(-LN(2)/25)*CL88+(1-EXP(-LN(2)/25))/(LN(2)/25)*Calculateur!CG89*Calculateur!CI89*VLOOKUP('Données projet'!$B$12,Paramètres!$A$1:$I$89,3,0)*0.475*44/12</f>
        <v>2.2216472771101032</v>
      </c>
      <c r="CM89" s="21">
        <f>EXP(-LN(2)/2)*CM88+(1-EXP(-LN(2)/2))/(LN(2)/2)*CG89*CJ89*VLOOKUP('Données projet'!$B$12,Paramètres!$A$1:$I$89,3,0)*0.475*44/12</f>
        <v>3.5632023928683822E-8</v>
      </c>
      <c r="CN89" s="22">
        <f t="shared" si="66"/>
        <v>4.9235041049964154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6.4</v>
      </c>
      <c r="CT89" s="12">
        <f>IF('Données projet'!$A$140&gt;35,CT88+CS89-DB88,IF(A89&lt;'Données projet'!$A$140,$CQ$205^A89,IF(A89='Données projet'!$A$140,'Données projet'!$B$140,CT88+CS89-DB88)))</f>
        <v>304.40000000000003</v>
      </c>
      <c r="CU89" s="17">
        <f>CT89*VLOOKUP('Données projet'!$B$13,Paramètres!$A$1:$I$89,3,0)*VLOOKUP('Données projet'!$B$13,Paramètres!$A$1:$I$89,5,0)</f>
        <v>327.65616</v>
      </c>
      <c r="CV89" s="13">
        <f t="shared" si="95"/>
        <v>76.94416793638409</v>
      </c>
      <c r="CW89" s="20">
        <f t="shared" si="67"/>
        <v>704.67890448920218</v>
      </c>
      <c r="CX89" s="59">
        <f t="shared" si="68"/>
        <v>998.01223782253555</v>
      </c>
      <c r="CY89" s="59">
        <f ca="1">AVERAGE(OFFSET($CX$3,0,0,'Données projet'!$E$13+1,1))-AVERAGE(OFFSET($H$3,0,0,'Données projet'!$E$13+1,1))</f>
        <v>475.01366239340246</v>
      </c>
      <c r="CZ89" s="59">
        <f t="shared" si="96"/>
        <v>322.81767004794284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2.8681249025468554</v>
      </c>
      <c r="DG89" s="21">
        <f>EXP(-LN(2)/25)*DG88+(1-EXP(-LN(2)/25))/(LN(2)/25)*Calculateur!DB89*Calculateur!DD89*VLOOKUP('Données projet'!$B$13,Paramètres!$A$1:$I$89,3,0)*0.475*44/12</f>
        <v>2.3583640326245687</v>
      </c>
      <c r="DH89" s="21">
        <f>EXP(-LN(2)/2)*DH88+(1-EXP(-LN(2)/2))/(LN(2)/2)*DB89*DE89*VLOOKUP('Données projet'!$B$13,Paramètres!$A$1:$I$89,3,0)*0.475*44/12</f>
        <v>3.7824763862756681E-8</v>
      </c>
      <c r="DI89" s="22">
        <f t="shared" si="69"/>
        <v>5.2264889729961883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2.2737367544323206E-13</v>
      </c>
      <c r="DP89" s="17">
        <f>DO89*VLOOKUP('Données projet'!$B$14,Paramètres!$A$1:$I$89,3,0)*VLOOKUP('Données projet'!$B$14,Paramètres!$A$1:$I$89,5,0)</f>
        <v>2.0572770154103635E-13</v>
      </c>
      <c r="DQ89" s="13">
        <f t="shared" si="97"/>
        <v>2.8416956338469711E-12</v>
      </c>
      <c r="DR89" s="20">
        <f t="shared" si="70"/>
        <v>5.3075956424674458E-12</v>
      </c>
      <c r="DS89" s="59">
        <f t="shared" si="71"/>
        <v>293.3333333333386</v>
      </c>
      <c r="DT89" s="59">
        <f ca="1">AVERAGE(OFFSET($DS$3,0,0,'Données projet'!$E$14+1,1))-AVERAGE(OFFSET($H$3,0,0,'Données projet'!$E$14+1,1))</f>
        <v>436.23918637269577</v>
      </c>
      <c r="DU89" s="59">
        <f t="shared" si="98"/>
        <v>611.43967996341894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1.0866345150208774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1.7585179034651151E-8</v>
      </c>
      <c r="ED89" s="22">
        <f t="shared" si="72"/>
        <v>1.0866345326060565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300.60576000000003</v>
      </c>
      <c r="P90" s="13">
        <f t="shared" si="87"/>
        <v>71.303439126782422</v>
      </c>
      <c r="Q90" s="20">
        <f t="shared" si="54"/>
        <v>647.74185514581279</v>
      </c>
      <c r="R90" s="59">
        <f t="shared" si="55"/>
        <v>941.07518847914616</v>
      </c>
      <c r="S90" s="59">
        <f ca="1">AVERAGE(OFFSET($R$3,0,0,'Données projet'!$E$9+1,1))-AVERAGE(OFFSET($H$3,0,0,'Données projet'!$E$9+1,1))</f>
        <v>430.94515308997018</v>
      </c>
      <c r="T90" s="59">
        <f t="shared" si="88"/>
        <v>294.45557293177131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2.5266192579806503</v>
      </c>
      <c r="AA90" s="21">
        <f>EXP(-LN(2)/25)*AA89+(1-EXP(-LN(2)/25))/(LN(2)/25)*Calculateur!V90*Calculateur!X90*VLOOKUP('Données projet'!$B$9,Paramètres!$A$1:$I$89,3,0)*0.475*44/12</f>
        <v>2.0611625440021974</v>
      </c>
      <c r="AB90" s="21">
        <f>EXP(-LN(2)/2)*AB89+(1-EXP(-LN(2)/2))/(LN(2)/2)*V90*Y90*VLOOKUP('Données projet'!$B$9,Paramètres!$A$1:$I$89,3,0)*0.475*44/12</f>
        <v>2.4032769789802571E-8</v>
      </c>
      <c r="AC90" s="22">
        <f t="shared" si="57"/>
        <v>4.5877818260156173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17.5</v>
      </c>
      <c r="AI90" s="13">
        <f>IF('Données projet'!$A$62&gt;35,AI89+AH90-AQ89,IF(A90&lt;'Données projet'!$A$62,$AF$205^A90,IF(A90='Données projet'!$A$62,'Données projet'!$B$62,AI89+AH90-AQ89)))</f>
        <v>535.99999999999989</v>
      </c>
      <c r="AJ90" s="13">
        <f>AI90*VLOOKUP('Données projet'!$B$10,Paramètres!$A$1:$I$89,3,0)*VLOOKUP('Données projet'!$B$10,Paramètres!$A$1:$I$89,5,0)</f>
        <v>250.84799999999996</v>
      </c>
      <c r="AK90" s="13">
        <f t="shared" si="89"/>
        <v>60.767491486783541</v>
      </c>
      <c r="AL90" s="20">
        <f t="shared" si="58"/>
        <v>542.7303143394812</v>
      </c>
      <c r="AM90" s="59">
        <f t="shared" si="59"/>
        <v>836.06364767281457</v>
      </c>
      <c r="AN90" s="59">
        <f ca="1">AVERAGE(OFFSET($AM$3,0,0,'Données projet'!$E$10+1,1))-AVERAGE(OFFSET($H$3,0,0,'Données projet'!$E$10+1,1))</f>
        <v>319.22903094674564</v>
      </c>
      <c r="AO90" s="59">
        <f t="shared" si="90"/>
        <v>254.58690973142848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2.9353077052797847</v>
      </c>
      <c r="AV90" s="21">
        <f>EXP(-LN(2)/25)*AV89+(1-EXP(-LN(2)/25))/(LN(2)/25)*Calculateur!AQ90*Calculateur!AS90*VLOOKUP('Données projet'!$B$10,Paramètres!$A$1:$I$89,3,0)*0.475*44/12</f>
        <v>2.29603179028503</v>
      </c>
      <c r="AW90" s="21">
        <f>EXP(-LN(2)/2)*AW89+(1-EXP(-LN(2)/2))/(LN(2)/2)*AQ90*AT90*VLOOKUP('Données projet'!$B$10,Paramètres!$A$1:$I$89,3,0)*0.475*44/12</f>
        <v>2.9089566876753529E-8</v>
      </c>
      <c r="AX90" s="21">
        <f t="shared" si="60"/>
        <v>5.2313395246543815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3.4</v>
      </c>
      <c r="BD90" s="12">
        <f>IF('Données projet'!$A$88&gt;35,BD89+BC90-BL89,IF(A90&lt;'Données projet'!$A$88,$BA$205^A90,IF(A90='Données projet'!$A$88,'Données projet'!$B$88,BD89+BC90-BL89)))</f>
        <v>257.8</v>
      </c>
      <c r="BE90" s="13">
        <f>BD90*VLOOKUP('Données projet'!$B$11,Paramètres!$A$1:$I$89,3,0)*VLOOKUP('Données projet'!$B$11,Paramètres!$A$1:$I$89,5,0)</f>
        <v>225.21408000000005</v>
      </c>
      <c r="BF90" s="13">
        <f t="shared" si="91"/>
        <v>55.246590695846493</v>
      </c>
      <c r="BG90" s="20">
        <f t="shared" si="61"/>
        <v>488.46900146193275</v>
      </c>
      <c r="BH90" s="59">
        <f t="shared" si="62"/>
        <v>781.80233479526601</v>
      </c>
      <c r="BI90" s="59">
        <f ca="1">AVERAGE(OFFSET($BH$3,0,0,'Données projet'!$E$11+1,1))-AVERAGE(OFFSET($H$3,0,0,'Données projet'!$E$11+1,1))</f>
        <v>395.21779046720553</v>
      </c>
      <c r="BJ90" s="59">
        <f t="shared" si="92"/>
        <v>360.05900046417361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1.5561078707411959</v>
      </c>
      <c r="BQ90" s="21">
        <f>EXP(-LN(2)/25)*BQ89+(1-EXP(-LN(2)/25))/(LN(2)/25)*Calculateur!BL90*Calculateur!BN90*VLOOKUP('Données projet'!$B$11,Paramètres!$A$1:$I$89,3,0)*0.475*44/12</f>
        <v>2.3225596235470727</v>
      </c>
      <c r="BR90" s="21">
        <f>EXP(-LN(2)/2)*BR89+(1-EXP(-LN(2)/2))/(LN(2)/2)*BL90*BO90*VLOOKUP('Données projet'!$B$11,Paramètres!$A$1:$I$89,3,0)*0.475*44/12</f>
        <v>1.8432676092230284E-8</v>
      </c>
      <c r="BS90" s="22">
        <f t="shared" si="63"/>
        <v>3.8786675127209449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6.4</v>
      </c>
      <c r="BY90" s="12">
        <f>IF('Données projet'!$A$114&gt;35,BY89+BX90-CG89,IF(A90&lt;'Données projet'!$A$114,$BV$205^A90,IF(A90='Données projet'!$A$114,'Données projet'!$B$114,BY89+BX90-CG89)))</f>
        <v>310.8</v>
      </c>
      <c r="BZ90" s="13">
        <f>BY90*VLOOKUP('Données projet'!$B$12,Paramètres!$A$1:$I$89,3,0)*VLOOKUP('Données projet'!$B$12,Paramètres!$A$1:$I$89,5,0)</f>
        <v>315.15120000000002</v>
      </c>
      <c r="CA90" s="13">
        <f t="shared" si="93"/>
        <v>74.343571754005879</v>
      </c>
      <c r="CB90" s="20">
        <f t="shared" si="64"/>
        <v>678.37006080489357</v>
      </c>
      <c r="CC90" s="59">
        <f t="shared" si="65"/>
        <v>971.70339413822694</v>
      </c>
      <c r="CD90" s="59">
        <f ca="1">AVERAGE(OFFSET($CC$3,0,0,'Données projet'!$E$12+1,1))-AVERAGE(OFFSET($H$3,0,0,'Données projet'!$E$12+1,1))</f>
        <v>449.84356201138451</v>
      </c>
      <c r="CE90" s="59">
        <f t="shared" si="94"/>
        <v>306.61893266146666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2.648875028528102</v>
      </c>
      <c r="CL90" s="21">
        <f>EXP(-LN(2)/25)*CL89+(1-EXP(-LN(2)/25))/(LN(2)/25)*Calculateur!CG90*Calculateur!CI90*VLOOKUP('Données projet'!$B$12,Paramètres!$A$1:$I$89,3,0)*0.475*44/12</f>
        <v>2.1608962154861748</v>
      </c>
      <c r="CM90" s="21">
        <f>EXP(-LN(2)/2)*CM89+(1-EXP(-LN(2)/2))/(LN(2)/2)*CG90*CJ90*VLOOKUP('Données projet'!$B$12,Paramètres!$A$1:$I$89,3,0)*0.475*44/12</f>
        <v>2.5195645747373657E-8</v>
      </c>
      <c r="CN90" s="22">
        <f t="shared" si="66"/>
        <v>4.8097712692099224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6.4</v>
      </c>
      <c r="CT90" s="12">
        <f>IF('Données projet'!$A$140&gt;35,CT89+CS90-DB89,IF(A90&lt;'Données projet'!$A$140,$CQ$205^A90,IF(A90='Données projet'!$A$140,'Données projet'!$B$140,CT89+CS90-DB89)))</f>
        <v>310.8</v>
      </c>
      <c r="CU90" s="17">
        <f>CT90*VLOOKUP('Données projet'!$B$13,Paramètres!$A$1:$I$89,3,0)*VLOOKUP('Données projet'!$B$13,Paramètres!$A$1:$I$89,5,0)</f>
        <v>334.54512</v>
      </c>
      <c r="CV90" s="13">
        <f t="shared" si="95"/>
        <v>78.37187499534933</v>
      </c>
      <c r="CW90" s="20">
        <f t="shared" si="67"/>
        <v>719.16376628356682</v>
      </c>
      <c r="CX90" s="59">
        <f t="shared" si="68"/>
        <v>1012.4970996169002</v>
      </c>
      <c r="CY90" s="59">
        <f ca="1">AVERAGE(OFFSET($CX$3,0,0,'Données projet'!$E$13+1,1))-AVERAGE(OFFSET($H$3,0,0,'Données projet'!$E$13+1,1))</f>
        <v>475.01366239340246</v>
      </c>
      <c r="CZ90" s="59">
        <f t="shared" si="96"/>
        <v>322.81767004794284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2.8118827225913647</v>
      </c>
      <c r="DG90" s="21">
        <f>EXP(-LN(2)/25)*DG89+(1-EXP(-LN(2)/25))/(LN(2)/25)*Calculateur!DB90*Calculateur!DD90*VLOOKUP('Données projet'!$B$13,Paramètres!$A$1:$I$89,3,0)*0.475*44/12</f>
        <v>2.2938744441314753</v>
      </c>
      <c r="DH90" s="21">
        <f>EXP(-LN(2)/2)*DH89+(1-EXP(-LN(2)/2))/(LN(2)/2)*DB90*DE90*VLOOKUP('Données projet'!$B$13,Paramètres!$A$1:$I$89,3,0)*0.475*44/12</f>
        <v>2.6746147024135119E-8</v>
      </c>
      <c r="DI90" s="22">
        <f t="shared" si="69"/>
        <v>5.1057571934689872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2.2737367544323206E-13</v>
      </c>
      <c r="DP90" s="17">
        <f>DO90*VLOOKUP('Données projet'!$B$14,Paramètres!$A$1:$I$89,3,0)*VLOOKUP('Données projet'!$B$14,Paramètres!$A$1:$I$89,5,0)</f>
        <v>2.0572770154103635E-13</v>
      </c>
      <c r="DQ90" s="13">
        <f t="shared" si="97"/>
        <v>2.8416956338469711E-12</v>
      </c>
      <c r="DR90" s="20">
        <f t="shared" si="70"/>
        <v>5.3075956424674458E-12</v>
      </c>
      <c r="DS90" s="59">
        <f t="shared" si="71"/>
        <v>293.3333333333386</v>
      </c>
      <c r="DT90" s="59">
        <f ca="1">AVERAGE(OFFSET($DS$3,0,0,'Données projet'!$E$14+1,1))-AVERAGE(OFFSET($H$3,0,0,'Données projet'!$E$14+1,1))</f>
        <v>436.23918637269577</v>
      </c>
      <c r="DU90" s="59">
        <f t="shared" si="98"/>
        <v>611.43967996341894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1.065326274962928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1.2434599343781335E-8</v>
      </c>
      <c r="ED90" s="22">
        <f t="shared" si="72"/>
        <v>1.0653262873975273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306.79584</v>
      </c>
      <c r="P91" s="13">
        <f t="shared" si="87"/>
        <v>72.599269943528554</v>
      </c>
      <c r="Q91" s="20">
        <f t="shared" si="54"/>
        <v>660.77981648497882</v>
      </c>
      <c r="R91" s="59">
        <f t="shared" si="55"/>
        <v>954.11314981831219</v>
      </c>
      <c r="S91" s="59">
        <f ca="1">AVERAGE(OFFSET($R$3,0,0,'Données projet'!$E$9+1,1))-AVERAGE(OFFSET($H$3,0,0,'Données projet'!$E$9+1,1))</f>
        <v>430.94515308997018</v>
      </c>
      <c r="T91" s="59">
        <f t="shared" si="88"/>
        <v>294.45557293177131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2.4770737954172275</v>
      </c>
      <c r="AA91" s="21">
        <f>EXP(-LN(2)/25)*AA90+(1-EXP(-LN(2)/25))/(LN(2)/25)*Calculateur!V91*Calculateur!X91*VLOOKUP('Données projet'!$B$9,Paramètres!$A$1:$I$89,3,0)*0.475*44/12</f>
        <v>2.0047999458446299</v>
      </c>
      <c r="AB91" s="21">
        <f>EXP(-LN(2)/2)*AB90+(1-EXP(-LN(2)/2))/(LN(2)/2)*V91*Y91*VLOOKUP('Données projet'!$B$9,Paramètres!$A$1:$I$89,3,0)*0.475*44/12</f>
        <v>1.6993734489064596E-8</v>
      </c>
      <c r="AC91" s="22">
        <f t="shared" si="57"/>
        <v>4.4818737582555919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17.5</v>
      </c>
      <c r="AI91" s="13">
        <f>IF('Données projet'!$A$62&gt;35,AI90+AH91-AQ90,IF(A91&lt;'Données projet'!$A$62,$AF$205^A91,IF(A91='Données projet'!$A$62,'Données projet'!$B$62,AI90+AH91-AQ90)))</f>
        <v>553.49999999999989</v>
      </c>
      <c r="AJ91" s="13">
        <f>AI91*VLOOKUP('Données projet'!$B$10,Paramètres!$A$1:$I$89,3,0)*VLOOKUP('Données projet'!$B$10,Paramètres!$A$1:$I$89,5,0)</f>
        <v>259.03799999999995</v>
      </c>
      <c r="AK91" s="13">
        <f t="shared" si="89"/>
        <v>62.517274213025487</v>
      </c>
      <c r="AL91" s="20">
        <f t="shared" si="58"/>
        <v>560.04210258768592</v>
      </c>
      <c r="AM91" s="59">
        <f t="shared" si="59"/>
        <v>853.37543592101929</v>
      </c>
      <c r="AN91" s="59">
        <f ca="1">AVERAGE(OFFSET($AM$3,0,0,'Données projet'!$E$10+1,1))-AVERAGE(OFFSET($H$3,0,0,'Données projet'!$E$10+1,1))</f>
        <v>319.22903094674564</v>
      </c>
      <c r="AO91" s="59">
        <f t="shared" si="90"/>
        <v>254.58690973142848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2.8777481115401651</v>
      </c>
      <c r="AV91" s="21">
        <f>EXP(-LN(2)/25)*AV90+(1-EXP(-LN(2)/25))/(LN(2)/25)*Calculateur!AQ91*Calculateur!AS91*VLOOKUP('Données projet'!$B$10,Paramètres!$A$1:$I$89,3,0)*0.475*44/12</f>
        <v>2.2332466802366215</v>
      </c>
      <c r="AW91" s="21">
        <f>EXP(-LN(2)/2)*AW90+(1-EXP(-LN(2)/2))/(LN(2)/2)*AQ91*AT91*VLOOKUP('Données projet'!$B$10,Paramètres!$A$1:$I$89,3,0)*0.475*44/12</f>
        <v>2.0569430000331999E-8</v>
      </c>
      <c r="AX91" s="21">
        <f t="shared" si="60"/>
        <v>5.1109948123462159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3.4</v>
      </c>
      <c r="BD91" s="12">
        <f>IF('Données projet'!$A$88&gt;35,BD90+BC91-BL90,IF(A91&lt;'Données projet'!$A$88,$BA$205^A91,IF(A91='Données projet'!$A$88,'Données projet'!$B$88,BD90+BC91-BL90)))</f>
        <v>261.2</v>
      </c>
      <c r="BE91" s="13">
        <f>BD91*VLOOKUP('Données projet'!$B$11,Paramètres!$A$1:$I$89,3,0)*VLOOKUP('Données projet'!$B$11,Paramètres!$A$1:$I$89,5,0)</f>
        <v>228.18432000000004</v>
      </c>
      <c r="BF91" s="13">
        <f t="shared" si="91"/>
        <v>55.889908157388689</v>
      </c>
      <c r="BG91" s="20">
        <f t="shared" si="61"/>
        <v>494.76261404078542</v>
      </c>
      <c r="BH91" s="59">
        <f t="shared" si="62"/>
        <v>788.09594737411874</v>
      </c>
      <c r="BI91" s="59">
        <f ca="1">AVERAGE(OFFSET($BH$3,0,0,'Données projet'!$E$11+1,1))-AVERAGE(OFFSET($H$3,0,0,'Données projet'!$E$11+1,1))</f>
        <v>395.21779046720553</v>
      </c>
      <c r="BJ91" s="59">
        <f t="shared" si="92"/>
        <v>360.05900046417361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1.5255935445280433</v>
      </c>
      <c r="BQ91" s="21">
        <f>EXP(-LN(2)/25)*BQ90+(1-EXP(-LN(2)/25))/(LN(2)/25)*Calculateur!BL91*Calculateur!BN91*VLOOKUP('Données projet'!$B$11,Paramètres!$A$1:$I$89,3,0)*0.475*44/12</f>
        <v>2.2590491085030755</v>
      </c>
      <c r="BR91" s="21">
        <f>EXP(-LN(2)/2)*BR90+(1-EXP(-LN(2)/2))/(LN(2)/2)*BL91*BO91*VLOOKUP('Données projet'!$B$11,Paramètres!$A$1:$I$89,3,0)*0.475*44/12</f>
        <v>1.3033870260231186E-8</v>
      </c>
      <c r="BS91" s="22">
        <f t="shared" si="63"/>
        <v>3.7846426660649892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6.4</v>
      </c>
      <c r="BY91" s="12">
        <f>IF('Données projet'!$A$114&gt;35,BY90+BX91-CG90,IF(A91&lt;'Données projet'!$A$114,$BV$205^A91,IF(A91='Données projet'!$A$114,'Données projet'!$B$114,BY90+BX91-CG90)))</f>
        <v>317.2</v>
      </c>
      <c r="BZ91" s="13">
        <f>BY91*VLOOKUP('Données projet'!$B$12,Paramètres!$A$1:$I$89,3,0)*VLOOKUP('Données projet'!$B$12,Paramètres!$A$1:$I$89,5,0)</f>
        <v>321.64080000000001</v>
      </c>
      <c r="CA91" s="13">
        <f t="shared" si="93"/>
        <v>75.694652325793228</v>
      </c>
      <c r="CB91" s="20">
        <f t="shared" si="64"/>
        <v>692.0259128007566</v>
      </c>
      <c r="CC91" s="59">
        <f t="shared" si="65"/>
        <v>985.35924613408997</v>
      </c>
      <c r="CD91" s="59">
        <f ca="1">AVERAGE(OFFSET($CC$3,0,0,'Données projet'!$E$12+1,1))-AVERAGE(OFFSET($H$3,0,0,'Données projet'!$E$12+1,1))</f>
        <v>449.84356201138451</v>
      </c>
      <c r="CE91" s="59">
        <f t="shared" si="94"/>
        <v>306.61893266146666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2.5969322048729007</v>
      </c>
      <c r="CL91" s="21">
        <f>EXP(-LN(2)/25)*CL90+(1-EXP(-LN(2)/25))/(LN(2)/25)*Calculateur!CG91*Calculateur!CI91*VLOOKUP('Données projet'!$B$12,Paramètres!$A$1:$I$89,3,0)*0.475*44/12</f>
        <v>2.1018063948371122</v>
      </c>
      <c r="CM91" s="21">
        <f>EXP(-LN(2)/2)*CM90+(1-EXP(-LN(2)/2))/(LN(2)/2)*CG91*CJ91*VLOOKUP('Données projet'!$B$12,Paramètres!$A$1:$I$89,3,0)*0.475*44/12</f>
        <v>1.7816011964341911E-8</v>
      </c>
      <c r="CN91" s="22">
        <f t="shared" si="66"/>
        <v>4.6987386175260246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6.4</v>
      </c>
      <c r="CT91" s="12">
        <f>IF('Données projet'!$A$140&gt;35,CT90+CS91-DB90,IF(A91&lt;'Données projet'!$A$140,$CQ$205^A91,IF(A91='Données projet'!$A$140,'Données projet'!$B$140,CT90+CS91-DB90)))</f>
        <v>317.2</v>
      </c>
      <c r="CU91" s="17">
        <f>CT91*VLOOKUP('Données projet'!$B$13,Paramètres!$A$1:$I$89,3,0)*VLOOKUP('Données projet'!$B$13,Paramètres!$A$1:$I$89,5,0)</f>
        <v>341.43407999999994</v>
      </c>
      <c r="CV91" s="13">
        <f t="shared" si="95"/>
        <v>79.796163809870151</v>
      </c>
      <c r="CW91" s="20">
        <f t="shared" si="67"/>
        <v>733.64267463552369</v>
      </c>
      <c r="CX91" s="59">
        <f t="shared" si="68"/>
        <v>1026.9760079688569</v>
      </c>
      <c r="CY91" s="59">
        <f ca="1">AVERAGE(OFFSET($CX$3,0,0,'Données projet'!$E$13+1,1))-AVERAGE(OFFSET($H$3,0,0,'Données projet'!$E$13+1,1))</f>
        <v>475.01366239340246</v>
      </c>
      <c r="CZ91" s="59">
        <f t="shared" si="96"/>
        <v>322.81767004794284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2.7567434174804588</v>
      </c>
      <c r="DG91" s="21">
        <f>EXP(-LN(2)/25)*DG90+(1-EXP(-LN(2)/25))/(LN(2)/25)*Calculateur!DB91*Calculateur!DD91*VLOOKUP('Données projet'!$B$13,Paramètres!$A$1:$I$89,3,0)*0.475*44/12</f>
        <v>2.231148326827086</v>
      </c>
      <c r="DH91" s="21">
        <f>EXP(-LN(2)/2)*DH90+(1-EXP(-LN(2)/2))/(LN(2)/2)*DB91*DE91*VLOOKUP('Données projet'!$B$13,Paramètres!$A$1:$I$89,3,0)*0.475*44/12</f>
        <v>1.8912381931378341E-8</v>
      </c>
      <c r="DI91" s="22">
        <f t="shared" si="69"/>
        <v>4.9878917632199267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2.2737367544323206E-13</v>
      </c>
      <c r="DP91" s="17">
        <f>DO91*VLOOKUP('Données projet'!$B$14,Paramètres!$A$1:$I$89,3,0)*VLOOKUP('Données projet'!$B$14,Paramètres!$A$1:$I$89,5,0)</f>
        <v>2.0572770154103635E-13</v>
      </c>
      <c r="DQ91" s="13">
        <f t="shared" si="97"/>
        <v>2.8416956338469711E-12</v>
      </c>
      <c r="DR91" s="20">
        <f t="shared" si="70"/>
        <v>5.3075956424674458E-12</v>
      </c>
      <c r="DS91" s="59">
        <f t="shared" si="71"/>
        <v>293.3333333333386</v>
      </c>
      <c r="DT91" s="59">
        <f ca="1">AVERAGE(OFFSET($DS$3,0,0,'Données projet'!$E$14+1,1))-AVERAGE(OFFSET($H$3,0,0,'Données projet'!$E$14+1,1))</f>
        <v>436.23918637269577</v>
      </c>
      <c r="DU91" s="59">
        <f t="shared" si="98"/>
        <v>611.43967996341894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1.0444358764957717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8.7925895173255754E-9</v>
      </c>
      <c r="ED91" s="22">
        <f t="shared" si="72"/>
        <v>1.0444358852883613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312.98591999999996</v>
      </c>
      <c r="P92" s="13">
        <f t="shared" si="87"/>
        <v>73.892060789929147</v>
      </c>
      <c r="Q92" s="20">
        <f t="shared" si="54"/>
        <v>673.81248320912653</v>
      </c>
      <c r="R92" s="59">
        <f t="shared" si="55"/>
        <v>967.1458165424599</v>
      </c>
      <c r="S92" s="59">
        <f ca="1">AVERAGE(OFFSET($R$3,0,0,'Données projet'!$E$9+1,1))-AVERAGE(OFFSET($H$3,0,0,'Données projet'!$E$9+1,1))</f>
        <v>430.94515308997018</v>
      </c>
      <c r="T92" s="59">
        <f t="shared" si="88"/>
        <v>294.45557293177131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2.4284998891549252</v>
      </c>
      <c r="AA92" s="21">
        <f>EXP(-LN(2)/25)*AA91+(1-EXP(-LN(2)/25))/(LN(2)/25)*Calculateur!V92*Calculateur!X92*VLOOKUP('Données projet'!$B$9,Paramètres!$A$1:$I$89,3,0)*0.475*44/12</f>
        <v>1.9499785858976615</v>
      </c>
      <c r="AB92" s="21">
        <f>EXP(-LN(2)/2)*AB91+(1-EXP(-LN(2)/2))/(LN(2)/2)*V92*Y92*VLOOKUP('Données projet'!$B$9,Paramètres!$A$1:$I$89,3,0)*0.475*44/12</f>
        <v>1.2016384894901285E-8</v>
      </c>
      <c r="AC92" s="22">
        <f t="shared" si="57"/>
        <v>4.3784784870689721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17.5</v>
      </c>
      <c r="AI92" s="13">
        <f>IF('Données projet'!$A$62&gt;35,AI91+AH92-AQ91,IF(A92&lt;'Données projet'!$A$62,$AF$205^A92,IF(A92='Données projet'!$A$62,'Données projet'!$B$62,AI91+AH92-AQ91)))</f>
        <v>570.99999999999989</v>
      </c>
      <c r="AJ92" s="13">
        <f>AI92*VLOOKUP('Données projet'!$B$10,Paramètres!$A$1:$I$89,3,0)*VLOOKUP('Données projet'!$B$10,Paramètres!$A$1:$I$89,5,0)</f>
        <v>267.22799999999995</v>
      </c>
      <c r="AK92" s="13">
        <f t="shared" si="89"/>
        <v>64.260628062866161</v>
      </c>
      <c r="AL92" s="20">
        <f t="shared" si="58"/>
        <v>577.34269387615848</v>
      </c>
      <c r="AM92" s="59">
        <f t="shared" si="59"/>
        <v>870.67602720949185</v>
      </c>
      <c r="AN92" s="59">
        <f ca="1">AVERAGE(OFFSET($AM$3,0,0,'Données projet'!$E$10+1,1))-AVERAGE(OFFSET($H$3,0,0,'Données projet'!$E$10+1,1))</f>
        <v>319.22903094674564</v>
      </c>
      <c r="AO92" s="59">
        <f t="shared" si="90"/>
        <v>254.58690973142848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2.8213172263258937</v>
      </c>
      <c r="AV92" s="21">
        <f>EXP(-LN(2)/25)*AV91+(1-EXP(-LN(2)/25))/(LN(2)/25)*Calculateur!AQ92*Calculateur!AS92*VLOOKUP('Données projet'!$B$10,Paramètres!$A$1:$I$89,3,0)*0.475*44/12</f>
        <v>2.1721784323242121</v>
      </c>
      <c r="AW92" s="21">
        <f>EXP(-LN(2)/2)*AW91+(1-EXP(-LN(2)/2))/(LN(2)/2)*AQ92*AT92*VLOOKUP('Données projet'!$B$10,Paramètres!$A$1:$I$89,3,0)*0.475*44/12</f>
        <v>1.4544783438376766E-8</v>
      </c>
      <c r="AX92" s="21">
        <f t="shared" si="60"/>
        <v>4.9934956731948894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3.4</v>
      </c>
      <c r="BD92" s="12">
        <f>IF('Données projet'!$A$88&gt;35,BD91+BC92-BL91,IF(A92&lt;'Données projet'!$A$88,$BA$205^A92,IF(A92='Données projet'!$A$88,'Données projet'!$B$88,BD91+BC92-BL91)))</f>
        <v>264.59999999999997</v>
      </c>
      <c r="BE92" s="13">
        <f>BD92*VLOOKUP('Données projet'!$B$11,Paramètres!$A$1:$I$89,3,0)*VLOOKUP('Données projet'!$B$11,Paramètres!$A$1:$I$89,5,0)</f>
        <v>231.15455999999998</v>
      </c>
      <c r="BF92" s="13">
        <f t="shared" si="91"/>
        <v>56.532251598510484</v>
      </c>
      <c r="BG92" s="20">
        <f t="shared" si="61"/>
        <v>501.05453020073901</v>
      </c>
      <c r="BH92" s="59">
        <f t="shared" si="62"/>
        <v>794.38786353407227</v>
      </c>
      <c r="BI92" s="59">
        <f ca="1">AVERAGE(OFFSET($BH$3,0,0,'Données projet'!$E$11+1,1))-AVERAGE(OFFSET($H$3,0,0,'Données projet'!$E$11+1,1))</f>
        <v>395.21779046720553</v>
      </c>
      <c r="BJ92" s="59">
        <f t="shared" si="92"/>
        <v>360.05900046417361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1.4956775856400293</v>
      </c>
      <c r="BQ92" s="21">
        <f>EXP(-LN(2)/25)*BQ91+(1-EXP(-LN(2)/25))/(LN(2)/25)*Calculateur!BL92*Calculateur!BN92*VLOOKUP('Données projet'!$B$11,Paramètres!$A$1:$I$89,3,0)*0.475*44/12</f>
        <v>2.1972752918328293</v>
      </c>
      <c r="BR92" s="21">
        <f>EXP(-LN(2)/2)*BR91+(1-EXP(-LN(2)/2))/(LN(2)/2)*BL92*BO92*VLOOKUP('Données projet'!$B$11,Paramètres!$A$1:$I$89,3,0)*0.475*44/12</f>
        <v>9.216338046115142E-9</v>
      </c>
      <c r="BS92" s="22">
        <f t="shared" si="63"/>
        <v>3.6929528866891967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6.4</v>
      </c>
      <c r="BY92" s="12">
        <f>IF('Données projet'!$A$114&gt;35,BY91+BX92-CG91,IF(A92&lt;'Données projet'!$A$114,$BV$205^A92,IF(A92='Données projet'!$A$114,'Données projet'!$B$114,BY91+BX92-CG91)))</f>
        <v>323.59999999999997</v>
      </c>
      <c r="BZ92" s="13">
        <f>BY92*VLOOKUP('Données projet'!$B$12,Paramètres!$A$1:$I$89,3,0)*VLOOKUP('Données projet'!$B$12,Paramètres!$A$1:$I$89,5,0)</f>
        <v>328.13039999999995</v>
      </c>
      <c r="CA92" s="13">
        <f t="shared" si="93"/>
        <v>77.042563313388285</v>
      </c>
      <c r="CB92" s="20">
        <f t="shared" si="64"/>
        <v>705.67624443748446</v>
      </c>
      <c r="CC92" s="59">
        <f t="shared" si="65"/>
        <v>999.00957777081771</v>
      </c>
      <c r="CD92" s="59">
        <f ca="1">AVERAGE(OFFSET($CC$3,0,0,'Données projet'!$E$12+1,1))-AVERAGE(OFFSET($H$3,0,0,'Données projet'!$E$12+1,1))</f>
        <v>449.84356201138451</v>
      </c>
      <c r="CE92" s="59">
        <f t="shared" si="94"/>
        <v>306.61893266146666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2.5460079483075839</v>
      </c>
      <c r="CL92" s="21">
        <f>EXP(-LN(2)/25)*CL91+(1-EXP(-LN(2)/25))/(LN(2)/25)*Calculateur!CG92*Calculateur!CI92*VLOOKUP('Données projet'!$B$12,Paramètres!$A$1:$I$89,3,0)*0.475*44/12</f>
        <v>2.0443323884410969</v>
      </c>
      <c r="CM92" s="21">
        <f>EXP(-LN(2)/2)*CM91+(1-EXP(-LN(2)/2))/(LN(2)/2)*CG92*CJ92*VLOOKUP('Données projet'!$B$12,Paramètres!$A$1:$I$89,3,0)*0.475*44/12</f>
        <v>1.2597822873686828E-8</v>
      </c>
      <c r="CN92" s="22">
        <f t="shared" si="66"/>
        <v>4.590340349346504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6.4</v>
      </c>
      <c r="CT92" s="12">
        <f>IF('Données projet'!$A$140&gt;35,CT91+CS92-DB91,IF(A92&lt;'Données projet'!$A$140,$CQ$205^A92,IF(A92='Données projet'!$A$140,'Données projet'!$B$140,CT91+CS92-DB91)))</f>
        <v>323.59999999999997</v>
      </c>
      <c r="CU92" s="17">
        <f>CT92*VLOOKUP('Données projet'!$B$13,Paramètres!$A$1:$I$89,3,0)*VLOOKUP('Données projet'!$B$13,Paramètres!$A$1:$I$89,5,0)</f>
        <v>348.32303999999993</v>
      </c>
      <c r="CV92" s="13">
        <f t="shared" si="95"/>
        <v>81.217111296415496</v>
      </c>
      <c r="CW92" s="20">
        <f t="shared" si="67"/>
        <v>748.11576350792348</v>
      </c>
      <c r="CX92" s="59">
        <f t="shared" si="68"/>
        <v>1041.4490968412567</v>
      </c>
      <c r="CY92" s="59">
        <f ca="1">AVERAGE(OFFSET($CX$3,0,0,'Données projet'!$E$13+1,1))-AVERAGE(OFFSET($H$3,0,0,'Données projet'!$E$13+1,1))</f>
        <v>475.01366239340246</v>
      </c>
      <c r="CZ92" s="59">
        <f t="shared" si="96"/>
        <v>322.81767004794284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2.7026853605111225</v>
      </c>
      <c r="DG92" s="21">
        <f>EXP(-LN(2)/25)*DG91+(1-EXP(-LN(2)/25))/(LN(2)/25)*Calculateur!DB92*Calculateur!DD92*VLOOKUP('Données projet'!$B$13,Paramètres!$A$1:$I$89,3,0)*0.475*44/12</f>
        <v>2.1701374584990081</v>
      </c>
      <c r="DH92" s="21">
        <f>EXP(-LN(2)/2)*DH91+(1-EXP(-LN(2)/2))/(LN(2)/2)*DB92*DE92*VLOOKUP('Données projet'!$B$13,Paramètres!$A$1:$I$89,3,0)*0.475*44/12</f>
        <v>1.337307351206756E-8</v>
      </c>
      <c r="DI92" s="22">
        <f t="shared" si="69"/>
        <v>4.8728228323832035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2.2737367544323206E-13</v>
      </c>
      <c r="DP92" s="17">
        <f>DO92*VLOOKUP('Données projet'!$B$14,Paramètres!$A$1:$I$89,3,0)*VLOOKUP('Données projet'!$B$14,Paramètres!$A$1:$I$89,5,0)</f>
        <v>2.0572770154103635E-13</v>
      </c>
      <c r="DQ92" s="13">
        <f t="shared" si="97"/>
        <v>2.8416956338469711E-12</v>
      </c>
      <c r="DR92" s="20">
        <f t="shared" si="70"/>
        <v>5.3075956424674458E-12</v>
      </c>
      <c r="DS92" s="59">
        <f t="shared" si="71"/>
        <v>293.3333333333386</v>
      </c>
      <c r="DT92" s="59">
        <f ca="1">AVERAGE(OFFSET($DS$3,0,0,'Données projet'!$E$14+1,1))-AVERAGE(OFFSET($H$3,0,0,'Données projet'!$E$14+1,1))</f>
        <v>436.23918637269577</v>
      </c>
      <c r="DU92" s="59">
        <f t="shared" si="98"/>
        <v>611.43967996341894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1.0239551260006716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6.2172996718906673E-9</v>
      </c>
      <c r="ED92" s="22">
        <f t="shared" si="72"/>
        <v>1.0239551322179712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319.17599999999993</v>
      </c>
      <c r="P93" s="13">
        <f t="shared" si="87"/>
        <v>75.181878718947672</v>
      </c>
      <c r="Q93" s="20">
        <f t="shared" si="54"/>
        <v>686.83997210216705</v>
      </c>
      <c r="R93" s="59">
        <f t="shared" si="55"/>
        <v>980.17330543550042</v>
      </c>
      <c r="S93" s="59">
        <f ca="1">AVERAGE(OFFSET($R$3,0,0,'Données projet'!$E$9+1,1))-AVERAGE(OFFSET($H$3,0,0,'Données projet'!$E$9+1,1))</f>
        <v>430.94515308997018</v>
      </c>
      <c r="T93" s="59">
        <f t="shared" si="88"/>
        <v>294.45557293177131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2.3808784875672693</v>
      </c>
      <c r="AA93" s="21">
        <f>EXP(-LN(2)/25)*AA92+(1-EXP(-LN(2)/25))/(LN(2)/25)*Calculateur!V93*Calculateur!X93*VLOOKUP('Données projet'!$B$9,Paramètres!$A$1:$I$89,3,0)*0.475*44/12</f>
        <v>1.8966563189213728</v>
      </c>
      <c r="AB93" s="21">
        <f>EXP(-LN(2)/2)*AB92+(1-EXP(-LN(2)/2))/(LN(2)/2)*V93*Y93*VLOOKUP('Données projet'!$B$9,Paramètres!$A$1:$I$89,3,0)*0.475*44/12</f>
        <v>8.4968672445322979E-9</v>
      </c>
      <c r="AC93" s="22">
        <f t="shared" si="57"/>
        <v>4.2775348149855095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588.5</v>
      </c>
      <c r="AG93" s="12">
        <f>VLOOKUP(A93,'Données projet'!$A$61:$I$81,9,0)</f>
        <v>17.5</v>
      </c>
      <c r="AH93" s="12">
        <f t="array" ref="AH93">INDEX(AG:AG,MIN(IF(ISNUMBER(AG93:AG289),ROW(AG93:AG289),"")))</f>
        <v>17.5</v>
      </c>
      <c r="AI93" s="13">
        <f>IF('Données projet'!$A$62&gt;35,AI92+AH93-AQ92,IF(A93&lt;'Données projet'!$A$62,$AF$205^A93,IF(A93='Données projet'!$A$62,'Données projet'!$B$62,AI92+AH93-AQ92)))</f>
        <v>588.49999999999989</v>
      </c>
      <c r="AJ93" s="13">
        <f>AI93*VLOOKUP('Données projet'!$B$10,Paramètres!$A$1:$I$89,3,0)*VLOOKUP('Données projet'!$B$10,Paramètres!$A$1:$I$89,5,0)</f>
        <v>275.41799999999995</v>
      </c>
      <c r="AK93" s="13">
        <f t="shared" si="89"/>
        <v>65.997772680817278</v>
      </c>
      <c r="AL93" s="20">
        <f t="shared" si="58"/>
        <v>594.63247075242327</v>
      </c>
      <c r="AM93" s="59">
        <f t="shared" si="59"/>
        <v>887.96580408575664</v>
      </c>
      <c r="AN93" s="59">
        <f ca="1">AVERAGE(OFFSET($AM$3,0,0,'Données projet'!$E$10+1,1))-AVERAGE(OFFSET($H$3,0,0,'Données projet'!$E$10+1,1))</f>
        <v>319.22903094674564</v>
      </c>
      <c r="AO93" s="59">
        <f t="shared" si="90"/>
        <v>254.58690973142848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98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2.7659929163512329</v>
      </c>
      <c r="AV93" s="21">
        <f>EXP(-LN(2)/25)*AV92+(1-EXP(-LN(2)/25))/(LN(2)/25)*Calculateur!AQ93*Calculateur!AS93*VLOOKUP('Données projet'!$B$10,Paramètres!$A$1:$I$89,3,0)*0.475*44/12</f>
        <v>2.1127800988624075</v>
      </c>
      <c r="AW93" s="21">
        <f>EXP(-LN(2)/2)*AW92+(1-EXP(-LN(2)/2))/(LN(2)/2)*AQ93*AT93*VLOOKUP('Données projet'!$B$10,Paramètres!$A$1:$I$89,3,0)*0.475*44/12</f>
        <v>1.0284715000166001E-8</v>
      </c>
      <c r="AX93" s="21">
        <f t="shared" si="60"/>
        <v>4.8787730254983561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268</v>
      </c>
      <c r="BB93" s="12">
        <f>VLOOKUP(A93,'Données projet'!$A$87:$I$107,9,0)</f>
        <v>3.4</v>
      </c>
      <c r="BC93" s="12">
        <f t="array" ref="BC93">INDEX(BB:BB,MIN(IF(ISNUMBER(BB93:BB289),ROW(BB93:BB289),"")))</f>
        <v>3.4</v>
      </c>
      <c r="BD93" s="12">
        <f>IF('Données projet'!$A$88&gt;35,BD92+BC93-BL92,IF(A93&lt;'Données projet'!$A$88,$BA$205^A93,IF(A93='Données projet'!$A$88,'Données projet'!$B$88,BD92+BC93-BL92)))</f>
        <v>267.99999999999994</v>
      </c>
      <c r="BE93" s="13">
        <f>BD93*VLOOKUP('Données projet'!$B$11,Paramètres!$A$1:$I$89,3,0)*VLOOKUP('Données projet'!$B$11,Paramètres!$A$1:$I$89,5,0)</f>
        <v>234.12479999999999</v>
      </c>
      <c r="BF93" s="13">
        <f t="shared" si="91"/>
        <v>57.173634982132555</v>
      </c>
      <c r="BG93" s="20">
        <f t="shared" si="61"/>
        <v>507.34477426054747</v>
      </c>
      <c r="BH93" s="59">
        <f t="shared" si="62"/>
        <v>800.67810759388078</v>
      </c>
      <c r="BI93" s="59">
        <f ca="1">AVERAGE(OFFSET($BH$3,0,0,'Données projet'!$E$11+1,1))-AVERAGE(OFFSET($H$3,0,0,'Données projet'!$E$11+1,1))</f>
        <v>395.21779046720553</v>
      </c>
      <c r="BJ93" s="59">
        <f t="shared" si="92"/>
        <v>360.05900046417361</v>
      </c>
      <c r="BK93" s="15">
        <f>IF(ISNA(VLOOKUP(A93,'Données projet'!$A$87:$I$107,3,0)),0,VLOOKUP(A93,'Données projet'!$A$87:$I$107,3,0))</f>
        <v>17</v>
      </c>
      <c r="BL93" s="15">
        <f>IF(ISNA(VLOOKUP(A93,'Données projet'!$A$87:$I$107,4,0)),0,VLOOKUP(A93,'Données projet'!$A$87:$I$107,4,0))</f>
        <v>14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1.466348260458876</v>
      </c>
      <c r="BQ93" s="21">
        <f>EXP(-LN(2)/25)*BQ92+(1-EXP(-LN(2)/25))/(LN(2)/25)*Calculateur!BL93*Calculateur!BN93*VLOOKUP('Données projet'!$B$11,Paramètres!$A$1:$I$89,3,0)*0.475*44/12</f>
        <v>2.137190683427975</v>
      </c>
      <c r="BR93" s="21">
        <f>EXP(-LN(2)/2)*BR92+(1-EXP(-LN(2)/2))/(LN(2)/2)*BL93*BO93*VLOOKUP('Données projet'!$B$11,Paramètres!$A$1:$I$89,3,0)*0.475*44/12</f>
        <v>6.5169351301155928E-9</v>
      </c>
      <c r="BS93" s="22">
        <f t="shared" si="63"/>
        <v>3.6035389504037858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330</v>
      </c>
      <c r="BW93" s="12">
        <f>VLOOKUP(A93,'Données projet'!$A$113:$I$133,9,0)</f>
        <v>6.4</v>
      </c>
      <c r="BX93" s="12">
        <f t="array" ref="BX93">INDEX(BW:BW,MIN(IF(ISNUMBER(BW93:BW289),ROW(BW93:BW289),"")))</f>
        <v>6.4</v>
      </c>
      <c r="BY93" s="12">
        <f>IF('Données projet'!$A$114&gt;35,BY92+BX93-CG92,IF(A93&lt;'Données projet'!$A$114,$BV$205^A93,IF(A93='Données projet'!$A$114,'Données projet'!$B$114,BY92+BX93-CG92)))</f>
        <v>329.99999999999994</v>
      </c>
      <c r="BZ93" s="13">
        <f>BY93*VLOOKUP('Données projet'!$B$12,Paramètres!$A$1:$I$89,3,0)*VLOOKUP('Données projet'!$B$12,Paramètres!$A$1:$I$89,5,0)</f>
        <v>334.61999999999995</v>
      </c>
      <c r="CA93" s="13">
        <f t="shared" si="93"/>
        <v>78.387374628661505</v>
      </c>
      <c r="CB93" s="20">
        <f t="shared" si="64"/>
        <v>719.32117747825203</v>
      </c>
      <c r="CC93" s="59">
        <f t="shared" si="65"/>
        <v>1012.6545108115854</v>
      </c>
      <c r="CD93" s="59">
        <f ca="1">AVERAGE(OFFSET($CC$3,0,0,'Données projet'!$E$12+1,1))-AVERAGE(OFFSET($H$3,0,0,'Données projet'!$E$12+1,1))</f>
        <v>449.84356201138451</v>
      </c>
      <c r="CE93" s="59">
        <f t="shared" si="94"/>
        <v>306.61893266146666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2.4960822853527835</v>
      </c>
      <c r="CL93" s="21">
        <f>EXP(-LN(2)/25)*CL92+(1-EXP(-LN(2)/25))/(LN(2)/25)*Calculateur!CG93*Calculateur!CI93*VLOOKUP('Données projet'!$B$12,Paramètres!$A$1:$I$89,3,0)*0.475*44/12</f>
        <v>1.9884300117724072</v>
      </c>
      <c r="CM93" s="21">
        <f>EXP(-LN(2)/2)*CM92+(1-EXP(-LN(2)/2))/(LN(2)/2)*CG93*CJ93*VLOOKUP('Données projet'!$B$12,Paramètres!$A$1:$I$89,3,0)*0.475*44/12</f>
        <v>8.9080059821709554E-9</v>
      </c>
      <c r="CN93" s="22">
        <f t="shared" si="66"/>
        <v>4.4845123060331966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330</v>
      </c>
      <c r="CR93" s="12">
        <f>VLOOKUP(A93,'Données projet'!$A$139:$I$159,9,0)</f>
        <v>6.4</v>
      </c>
      <c r="CS93" s="12">
        <f t="array" ref="CS93">INDEX(CR:CR,MIN(IF(ISNUMBER(CR93:CR289),ROW(CR93:CR289),"")))</f>
        <v>6.4</v>
      </c>
      <c r="CT93" s="12">
        <f>IF('Données projet'!$A$140&gt;35,CT92+CS93-DB92,IF(A93&lt;'Données projet'!$A$140,$CQ$205^A93,IF(A93='Données projet'!$A$140,'Données projet'!$B$140,CT92+CS93-DB92)))</f>
        <v>329.99999999999994</v>
      </c>
      <c r="CU93" s="17">
        <f>CT93*VLOOKUP('Données projet'!$B$13,Paramètres!$A$1:$I$89,3,0)*VLOOKUP('Données projet'!$B$13,Paramètres!$A$1:$I$89,5,0)</f>
        <v>355.21199999999993</v>
      </c>
      <c r="CV93" s="13">
        <f t="shared" si="95"/>
        <v>82.634791155027401</v>
      </c>
      <c r="CW93" s="20">
        <f t="shared" si="67"/>
        <v>762.58316126167256</v>
      </c>
      <c r="CX93" s="59">
        <f t="shared" si="68"/>
        <v>1055.9164945950058</v>
      </c>
      <c r="CY93" s="59">
        <f ca="1">AVERAGE(OFFSET($CX$3,0,0,'Données projet'!$E$13+1,1))-AVERAGE(OFFSET($H$3,0,0,'Données projet'!$E$13+1,1))</f>
        <v>475.01366239340246</v>
      </c>
      <c r="CZ93" s="59">
        <f t="shared" si="96"/>
        <v>322.81767004794284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2.649687349066796</v>
      </c>
      <c r="DG93" s="21">
        <f>EXP(-LN(2)/25)*DG92+(1-EXP(-LN(2)/25))/(LN(2)/25)*Calculateur!DB93*Calculateur!DD93*VLOOKUP('Données projet'!$B$13,Paramètres!$A$1:$I$89,3,0)*0.475*44/12</f>
        <v>2.1107949355737836</v>
      </c>
      <c r="DH93" s="21">
        <f>EXP(-LN(2)/2)*DH92+(1-EXP(-LN(2)/2))/(LN(2)/2)*DB93*DE93*VLOOKUP('Données projet'!$B$13,Paramètres!$A$1:$I$89,3,0)*0.475*44/12</f>
        <v>9.4561909656891703E-9</v>
      </c>
      <c r="DI93" s="22">
        <f t="shared" si="69"/>
        <v>4.7604822940967706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2.2737367544323206E-13</v>
      </c>
      <c r="DP93" s="17">
        <f>DO93*VLOOKUP('Données projet'!$B$14,Paramètres!$A$1:$I$89,3,0)*VLOOKUP('Données projet'!$B$14,Paramètres!$A$1:$I$89,5,0)</f>
        <v>2.0572770154103635E-13</v>
      </c>
      <c r="DQ93" s="13">
        <f t="shared" si="97"/>
        <v>2.8416956338469711E-12</v>
      </c>
      <c r="DR93" s="20">
        <f t="shared" si="70"/>
        <v>5.3075956424674458E-12</v>
      </c>
      <c r="DS93" s="59">
        <f t="shared" si="71"/>
        <v>293.3333333333386</v>
      </c>
      <c r="DT93" s="59">
        <f ca="1">AVERAGE(OFFSET($DS$3,0,0,'Données projet'!$E$14+1,1))-AVERAGE(OFFSET($H$3,0,0,'Données projet'!$E$14+1,1))</f>
        <v>436.23918637269577</v>
      </c>
      <c r="DU93" s="59">
        <f t="shared" si="98"/>
        <v>611.43967996341894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1.0038759905307559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4.3962947586627877E-9</v>
      </c>
      <c r="ED93" s="22">
        <f t="shared" si="72"/>
        <v>1.0038759949270506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298.09103999999991</v>
      </c>
      <c r="P94" s="13">
        <f t="shared" si="87"/>
        <v>70.776123577436934</v>
      </c>
      <c r="Q94" s="20">
        <f t="shared" si="54"/>
        <v>642.44364323070249</v>
      </c>
      <c r="R94" s="59">
        <f t="shared" si="55"/>
        <v>935.77697656403575</v>
      </c>
      <c r="S94" s="59">
        <f ca="1">AVERAGE(OFFSET($R$3,0,0,'Données projet'!$E$9+1,1))-AVERAGE(OFFSET($H$3,0,0,'Données projet'!$E$9+1,1))</f>
        <v>430.94515308997018</v>
      </c>
      <c r="T94" s="59">
        <f t="shared" si="88"/>
        <v>294.45557293177131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2.3341909126185603</v>
      </c>
      <c r="AA94" s="21">
        <f>EXP(-LN(2)/25)*AA93+(1-EXP(-LN(2)/25))/(LN(2)/25)*Calculateur!V94*Calculateur!X94*VLOOKUP('Données projet'!$B$9,Paramètres!$A$1:$I$89,3,0)*0.475*44/12</f>
        <v>1.8447921521396469</v>
      </c>
      <c r="AB94" s="21">
        <f>EXP(-LN(2)/2)*AB93+(1-EXP(-LN(2)/2))/(LN(2)/2)*V94*Y94*VLOOKUP('Données projet'!$B$9,Paramètres!$A$1:$I$89,3,0)*0.475*44/12</f>
        <v>6.0081924474506427E-9</v>
      </c>
      <c r="AC94" s="22">
        <f t="shared" si="57"/>
        <v>4.1789830707663995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508.99999999999989</v>
      </c>
      <c r="AJ94" s="13">
        <f>AI94*VLOOKUP('Données projet'!$B$10,Paramètres!$A$1:$I$89,3,0)*VLOOKUP('Données projet'!$B$10,Paramètres!$A$1:$I$89,5,0)</f>
        <v>238.21199999999993</v>
      </c>
      <c r="AK94" s="13">
        <f t="shared" si="89"/>
        <v>58.054666307163771</v>
      </c>
      <c r="AL94" s="20">
        <f t="shared" si="58"/>
        <v>515.99777715164339</v>
      </c>
      <c r="AM94" s="59">
        <f t="shared" si="59"/>
        <v>809.33111048497676</v>
      </c>
      <c r="AN94" s="59">
        <f ca="1">AVERAGE(OFFSET($AM$3,0,0,'Données projet'!$E$10+1,1))-AVERAGE(OFFSET($H$3,0,0,'Données projet'!$E$10+1,1))</f>
        <v>319.22903094674564</v>
      </c>
      <c r="AO94" s="59">
        <f t="shared" si="90"/>
        <v>254.58690973142848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2.7117534823506779</v>
      </c>
      <c r="AV94" s="21">
        <f>EXP(-LN(2)/25)*AV93+(1-EXP(-LN(2)/25))/(LN(2)/25)*Calculateur!AQ94*Calculateur!AS94*VLOOKUP('Données projet'!$B$10,Paramètres!$A$1:$I$89,3,0)*0.475*44/12</f>
        <v>2.0550060159527384</v>
      </c>
      <c r="AW94" s="21">
        <f>EXP(-LN(2)/2)*AW93+(1-EXP(-LN(2)/2))/(LN(2)/2)*AQ94*AT94*VLOOKUP('Données projet'!$B$10,Paramètres!$A$1:$I$89,3,0)*0.475*44/12</f>
        <v>7.2723917191883838E-9</v>
      </c>
      <c r="AX94" s="21">
        <f t="shared" si="60"/>
        <v>4.7667595055758083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3.2</v>
      </c>
      <c r="BD94" s="12">
        <f>IF('Données projet'!$A$88&gt;35,BD93+BC94-BL93,IF(A94&lt;'Données projet'!$A$88,$BA$205^A94,IF(A94='Données projet'!$A$88,'Données projet'!$B$88,BD93+BC94-BL93)))</f>
        <v>257.19999999999993</v>
      </c>
      <c r="BE94" s="13">
        <f>BD94*VLOOKUP('Données projet'!$B$11,Paramètres!$A$1:$I$89,3,0)*VLOOKUP('Données projet'!$B$11,Paramètres!$A$1:$I$89,5,0)</f>
        <v>224.68991999999997</v>
      </c>
      <c r="BF94" s="13">
        <f t="shared" si="91"/>
        <v>55.132961900876232</v>
      </c>
      <c r="BG94" s="20">
        <f t="shared" si="61"/>
        <v>487.35818597735943</v>
      </c>
      <c r="BH94" s="59">
        <f t="shared" si="62"/>
        <v>780.69151931069268</v>
      </c>
      <c r="BI94" s="59">
        <f ca="1">AVERAGE(OFFSET($BH$3,0,0,'Données projet'!$E$11+1,1))-AVERAGE(OFFSET($H$3,0,0,'Données projet'!$E$11+1,1))</f>
        <v>395.21779046720553</v>
      </c>
      <c r="BJ94" s="59">
        <f t="shared" si="92"/>
        <v>360.05900046417361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1.4375940654554031</v>
      </c>
      <c r="BQ94" s="21">
        <f>EXP(-LN(2)/25)*BQ93+(1-EXP(-LN(2)/25))/(LN(2)/25)*Calculateur!BL94*Calculateur!BN94*VLOOKUP('Données projet'!$B$11,Paramètres!$A$1:$I$89,3,0)*0.475*44/12</f>
        <v>2.0787490917996636</v>
      </c>
      <c r="BR94" s="21">
        <f>EXP(-LN(2)/2)*BR93+(1-EXP(-LN(2)/2))/(LN(2)/2)*BL94*BO94*VLOOKUP('Données projet'!$B$11,Paramètres!$A$1:$I$89,3,0)*0.475*44/12</f>
        <v>4.608169023057571E-9</v>
      </c>
      <c r="BS94" s="22">
        <f t="shared" si="63"/>
        <v>3.5163431618632357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</v>
      </c>
      <c r="BY94" s="12">
        <f>IF('Données projet'!$A$114&gt;35,BY93+BX94-CG93,IF(A94&lt;'Données projet'!$A$114,$BV$205^A94,IF(A94='Données projet'!$A$114,'Données projet'!$B$114,BY93+BX94-CG93)))</f>
        <v>308.19999999999993</v>
      </c>
      <c r="BZ94" s="13">
        <f>BY94*VLOOKUP('Données projet'!$B$12,Paramètres!$A$1:$I$89,3,0)*VLOOKUP('Données projet'!$B$12,Paramètres!$A$1:$I$89,5,0)</f>
        <v>312.51479999999992</v>
      </c>
      <c r="CA94" s="13">
        <f t="shared" si="93"/>
        <v>73.793773289024969</v>
      </c>
      <c r="CB94" s="20">
        <f t="shared" si="64"/>
        <v>672.82076514505172</v>
      </c>
      <c r="CC94" s="59">
        <f t="shared" si="65"/>
        <v>966.15409847838509</v>
      </c>
      <c r="CD94" s="59">
        <f ca="1">AVERAGE(OFFSET($CC$3,0,0,'Données projet'!$E$12+1,1))-AVERAGE(OFFSET($H$3,0,0,'Données projet'!$E$12+1,1))</f>
        <v>449.84356201138451</v>
      </c>
      <c r="CE94" s="59">
        <f t="shared" si="94"/>
        <v>306.61893266146666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2.4471356341968793</v>
      </c>
      <c r="CL94" s="21">
        <f>EXP(-LN(2)/25)*CL93+(1-EXP(-LN(2)/25))/(LN(2)/25)*Calculateur!CG94*Calculateur!CI94*VLOOKUP('Données projet'!$B$12,Paramètres!$A$1:$I$89,3,0)*0.475*44/12</f>
        <v>1.9340562885335011</v>
      </c>
      <c r="CM94" s="21">
        <f>EXP(-LN(2)/2)*CM93+(1-EXP(-LN(2)/2))/(LN(2)/2)*CG94*CJ94*VLOOKUP('Données projet'!$B$12,Paramètres!$A$1:$I$89,3,0)*0.475*44/12</f>
        <v>6.2989114368434142E-9</v>
      </c>
      <c r="CN94" s="22">
        <f t="shared" si="66"/>
        <v>4.381191929029292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6.2</v>
      </c>
      <c r="CT94" s="12">
        <f>IF('Données projet'!$A$140&gt;35,CT93+CS94-DB93,IF(A94&lt;'Données projet'!$A$140,$CQ$205^A94,IF(A94='Données projet'!$A$140,'Données projet'!$B$140,CT93+CS94-DB93)))</f>
        <v>308.19999999999993</v>
      </c>
      <c r="CU94" s="17">
        <f>CT94*VLOOKUP('Données projet'!$B$13,Paramètres!$A$1:$I$89,3,0)*VLOOKUP('Données projet'!$B$13,Paramètres!$A$1:$I$89,5,0)</f>
        <v>331.74647999999991</v>
      </c>
      <c r="CV94" s="13">
        <f t="shared" si="95"/>
        <v>77.792285724165268</v>
      </c>
      <c r="CW94" s="20">
        <f t="shared" si="67"/>
        <v>713.28001696958756</v>
      </c>
      <c r="CX94" s="59">
        <f t="shared" si="68"/>
        <v>1006.6133503029209</v>
      </c>
      <c r="CY94" s="59">
        <f ca="1">AVERAGE(OFFSET($CX$3,0,0,'Données projet'!$E$13+1,1))-AVERAGE(OFFSET($H$3,0,0,'Données projet'!$E$13+1,1))</f>
        <v>475.01366239340246</v>
      </c>
      <c r="CZ94" s="59">
        <f t="shared" si="96"/>
        <v>322.81767004794284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2.5977285963012977</v>
      </c>
      <c r="DG94" s="21">
        <f>EXP(-LN(2)/25)*DG93+(1-EXP(-LN(2)/25))/(LN(2)/25)*Calculateur!DB94*Calculateur!DD94*VLOOKUP('Données projet'!$B$13,Paramètres!$A$1:$I$89,3,0)*0.475*44/12</f>
        <v>2.0530751370586371</v>
      </c>
      <c r="DH94" s="21">
        <f>EXP(-LN(2)/2)*DH93+(1-EXP(-LN(2)/2))/(LN(2)/2)*DB94*DE94*VLOOKUP('Données projet'!$B$13,Paramètres!$A$1:$I$89,3,0)*0.475*44/12</f>
        <v>6.6865367560337798E-9</v>
      </c>
      <c r="DI94" s="22">
        <f t="shared" si="69"/>
        <v>4.650803740046471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2.2737367544323206E-13</v>
      </c>
      <c r="DP94" s="17">
        <f>DO94*VLOOKUP('Données projet'!$B$14,Paramètres!$A$1:$I$89,3,0)*VLOOKUP('Données projet'!$B$14,Paramètres!$A$1:$I$89,5,0)</f>
        <v>2.0572770154103635E-13</v>
      </c>
      <c r="DQ94" s="13">
        <f t="shared" si="97"/>
        <v>2.8416956338469711E-12</v>
      </c>
      <c r="DR94" s="20">
        <f t="shared" si="70"/>
        <v>5.3075956424674458E-12</v>
      </c>
      <c r="DS94" s="59">
        <f t="shared" si="71"/>
        <v>293.3333333333386</v>
      </c>
      <c r="DT94" s="59">
        <f ca="1">AVERAGE(OFFSET($DS$3,0,0,'Données projet'!$E$14+1,1))-AVERAGE(OFFSET($H$3,0,0,'Données projet'!$E$14+1,1))</f>
        <v>436.23918637269577</v>
      </c>
      <c r="DU94" s="59">
        <f t="shared" si="98"/>
        <v>611.43967996341894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0.98419059466034209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3.1086498359453336E-9</v>
      </c>
      <c r="ED94" s="22">
        <f t="shared" si="72"/>
        <v>0.98419059776899187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304.08767999999992</v>
      </c>
      <c r="P95" s="13">
        <f t="shared" si="87"/>
        <v>72.032722076553981</v>
      </c>
      <c r="Q95" s="20">
        <f t="shared" si="54"/>
        <v>655.07636694999792</v>
      </c>
      <c r="R95" s="59">
        <f t="shared" si="55"/>
        <v>948.40970028333118</v>
      </c>
      <c r="S95" s="59">
        <f ca="1">AVERAGE(OFFSET($R$3,0,0,'Données projet'!$E$9+1,1))-AVERAGE(OFFSET($H$3,0,0,'Données projet'!$E$9+1,1))</f>
        <v>430.94515308997018</v>
      </c>
      <c r="T95" s="59">
        <f t="shared" si="88"/>
        <v>294.45557293177131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2.2884188525379869</v>
      </c>
      <c r="AA95" s="21">
        <f>EXP(-LN(2)/25)*AA94+(1-EXP(-LN(2)/25))/(LN(2)/25)*Calculateur!V95*Calculateur!X95*VLOOKUP('Données projet'!$B$9,Paramètres!$A$1:$I$89,3,0)*0.475*44/12</f>
        <v>1.7943462137259854</v>
      </c>
      <c r="AB95" s="21">
        <f>EXP(-LN(2)/2)*AB94+(1-EXP(-LN(2)/2))/(LN(2)/2)*V95*Y95*VLOOKUP('Données projet'!$B$9,Paramètres!$A$1:$I$89,3,0)*0.475*44/12</f>
        <v>4.2484336222661489E-9</v>
      </c>
      <c r="AC95" s="22">
        <f t="shared" si="57"/>
        <v>4.0827650705124059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527.49999999999989</v>
      </c>
      <c r="AJ95" s="13">
        <f>AI95*VLOOKUP('Données projet'!$B$10,Paramètres!$A$1:$I$89,3,0)*VLOOKUP('Données projet'!$B$10,Paramètres!$A$1:$I$89,5,0)</f>
        <v>246.86999999999995</v>
      </c>
      <c r="AK95" s="13">
        <f t="shared" si="89"/>
        <v>59.91520778876734</v>
      </c>
      <c r="AL95" s="20">
        <f t="shared" si="58"/>
        <v>534.31757023210309</v>
      </c>
      <c r="AM95" s="59">
        <f t="shared" si="59"/>
        <v>827.65090356543647</v>
      </c>
      <c r="AN95" s="59">
        <f ca="1">AVERAGE(OFFSET($AM$3,0,0,'Données projet'!$E$10+1,1))-AVERAGE(OFFSET($H$3,0,0,'Données projet'!$E$10+1,1))</f>
        <v>319.22903094674564</v>
      </c>
      <c r="AO95" s="59">
        <f t="shared" si="90"/>
        <v>254.58690973142848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2.6585776505680858</v>
      </c>
      <c r="AV95" s="21">
        <f>EXP(-LN(2)/25)*AV94+(1-EXP(-LN(2)/25))/(LN(2)/25)*Calculateur!AQ95*Calculateur!AS95*VLOOKUP('Données projet'!$B$10,Paramètres!$A$1:$I$89,3,0)*0.475*44/12</f>
        <v>1.9988117683784412</v>
      </c>
      <c r="AW95" s="21">
        <f>EXP(-LN(2)/2)*AW94+(1-EXP(-LN(2)/2))/(LN(2)/2)*AQ95*AT95*VLOOKUP('Données projet'!$B$10,Paramètres!$A$1:$I$89,3,0)*0.475*44/12</f>
        <v>5.1423575000830014E-9</v>
      </c>
      <c r="AX95" s="21">
        <f t="shared" si="60"/>
        <v>4.6573894240888851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3.2</v>
      </c>
      <c r="BD95" s="12">
        <f>IF('Données projet'!$A$88&gt;35,BD94+BC95-BL94,IF(A95&lt;'Données projet'!$A$88,$BA$205^A95,IF(A95='Données projet'!$A$88,'Données projet'!$B$88,BD94+BC95-BL94)))</f>
        <v>260.39999999999992</v>
      </c>
      <c r="BE95" s="13">
        <f>BD95*VLOOKUP('Données projet'!$B$11,Paramètres!$A$1:$I$89,3,0)*VLOOKUP('Données projet'!$B$11,Paramètres!$A$1:$I$89,5,0)</f>
        <v>227.48543999999993</v>
      </c>
      <c r="BF95" s="13">
        <f t="shared" si="91"/>
        <v>55.738627496252377</v>
      </c>
      <c r="BG95" s="20">
        <f t="shared" si="61"/>
        <v>493.28191755597277</v>
      </c>
      <c r="BH95" s="59">
        <f t="shared" si="62"/>
        <v>786.61525088930603</v>
      </c>
      <c r="BI95" s="59">
        <f ca="1">AVERAGE(OFFSET($BH$3,0,0,'Données projet'!$E$11+1,1))-AVERAGE(OFFSET($H$3,0,0,'Données projet'!$E$11+1,1))</f>
        <v>395.21779046720553</v>
      </c>
      <c r="BJ95" s="59">
        <f t="shared" si="92"/>
        <v>360.05900046417361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1.4094037226776213</v>
      </c>
      <c r="BQ95" s="21">
        <f>EXP(-LN(2)/25)*BQ94+(1-EXP(-LN(2)/25))/(LN(2)/25)*Calculateur!BL95*Calculateur!BN95*VLOOKUP('Données projet'!$B$11,Paramètres!$A$1:$I$89,3,0)*0.475*44/12</f>
        <v>2.0219055885677379</v>
      </c>
      <c r="BR95" s="21">
        <f>EXP(-LN(2)/2)*BR94+(1-EXP(-LN(2)/2))/(LN(2)/2)*BL95*BO95*VLOOKUP('Données projet'!$B$11,Paramètres!$A$1:$I$89,3,0)*0.475*44/12</f>
        <v>3.2584675650577964E-9</v>
      </c>
      <c r="BS95" s="22">
        <f t="shared" si="63"/>
        <v>3.4313093145038267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</v>
      </c>
      <c r="BY95" s="12">
        <f>IF('Données projet'!$A$114&gt;35,BY94+BX95-CG94,IF(A95&lt;'Données projet'!$A$114,$BV$205^A95,IF(A95='Données projet'!$A$114,'Données projet'!$B$114,BY94+BX95-CG94)))</f>
        <v>314.39999999999992</v>
      </c>
      <c r="BZ95" s="13">
        <f>BY95*VLOOKUP('Données projet'!$B$12,Paramètres!$A$1:$I$89,3,0)*VLOOKUP('Données projet'!$B$12,Paramètres!$A$1:$I$89,5,0)</f>
        <v>318.80159999999995</v>
      </c>
      <c r="CA95" s="13">
        <f t="shared" si="93"/>
        <v>75.103948812522063</v>
      </c>
      <c r="CB95" s="20">
        <f t="shared" si="64"/>
        <v>686.05216418180908</v>
      </c>
      <c r="CC95" s="59">
        <f t="shared" si="65"/>
        <v>979.38549751514233</v>
      </c>
      <c r="CD95" s="59">
        <f ca="1">AVERAGE(OFFSET($CC$3,0,0,'Données projet'!$E$12+1,1))-AVERAGE(OFFSET($H$3,0,0,'Données projet'!$E$12+1,1))</f>
        <v>449.84356201138451</v>
      </c>
      <c r="CE95" s="59">
        <f t="shared" si="94"/>
        <v>306.61893266146666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2.3991487970156329</v>
      </c>
      <c r="CL95" s="21">
        <f>EXP(-LN(2)/25)*CL94+(1-EXP(-LN(2)/25))/(LN(2)/25)*Calculateur!CG95*Calculateur!CI95*VLOOKUP('Données projet'!$B$12,Paramètres!$A$1:$I$89,3,0)*0.475*44/12</f>
        <v>1.8811694176159526</v>
      </c>
      <c r="CM95" s="21">
        <f>EXP(-LN(2)/2)*CM94+(1-EXP(-LN(2)/2))/(LN(2)/2)*CG95*CJ95*VLOOKUP('Données projet'!$B$12,Paramètres!$A$1:$I$89,3,0)*0.475*44/12</f>
        <v>4.4540029910854777E-9</v>
      </c>
      <c r="CN95" s="22">
        <f t="shared" si="66"/>
        <v>4.2803182190855891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6.2</v>
      </c>
      <c r="CT95" s="12">
        <f>IF('Données projet'!$A$140&gt;35,CT94+CS95-DB94,IF(A95&lt;'Données projet'!$A$140,$CQ$205^A95,IF(A95='Données projet'!$A$140,'Données projet'!$B$140,CT94+CS95-DB94)))</f>
        <v>314.39999999999992</v>
      </c>
      <c r="CU95" s="17">
        <f>CT95*VLOOKUP('Données projet'!$B$13,Paramètres!$A$1:$I$89,3,0)*VLOOKUP('Données projet'!$B$13,Paramètres!$A$1:$I$89,5,0)</f>
        <v>338.4201599999999</v>
      </c>
      <c r="CV95" s="13">
        <f t="shared" si="95"/>
        <v>79.173453052111782</v>
      </c>
      <c r="CW95" s="20">
        <f t="shared" si="67"/>
        <v>727.30887606576107</v>
      </c>
      <c r="CX95" s="59">
        <f t="shared" si="68"/>
        <v>1020.6422093990943</v>
      </c>
      <c r="CY95" s="59">
        <f ca="1">AVERAGE(OFFSET($CX$3,0,0,'Données projet'!$E$13+1,1))-AVERAGE(OFFSET($H$3,0,0,'Données projet'!$E$13+1,1))</f>
        <v>475.01366239340246</v>
      </c>
      <c r="CZ95" s="59">
        <f t="shared" si="96"/>
        <v>322.81767004794284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2.5467887229858208</v>
      </c>
      <c r="DG95" s="21">
        <f>EXP(-LN(2)/25)*DG94+(1-EXP(-LN(2)/25))/(LN(2)/25)*Calculateur!DB95*Calculateur!DD95*VLOOKUP('Données projet'!$B$13,Paramètres!$A$1:$I$89,3,0)*0.475*44/12</f>
        <v>1.9969336894692395</v>
      </c>
      <c r="DH95" s="21">
        <f>EXP(-LN(2)/2)*DH94+(1-EXP(-LN(2)/2))/(LN(2)/2)*DB95*DE95*VLOOKUP('Données projet'!$B$13,Paramètres!$A$1:$I$89,3,0)*0.475*44/12</f>
        <v>4.7280954828445852E-9</v>
      </c>
      <c r="DI95" s="22">
        <f t="shared" si="69"/>
        <v>4.5437224171831554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2.2737367544323206E-13</v>
      </c>
      <c r="DP95" s="17">
        <f>DO95*VLOOKUP('Données projet'!$B$14,Paramètres!$A$1:$I$89,3,0)*VLOOKUP('Données projet'!$B$14,Paramètres!$A$1:$I$89,5,0)</f>
        <v>2.0572770154103635E-13</v>
      </c>
      <c r="DQ95" s="13">
        <f t="shared" si="97"/>
        <v>2.8416956338469711E-12</v>
      </c>
      <c r="DR95" s="20">
        <f t="shared" si="70"/>
        <v>5.3075956424674458E-12</v>
      </c>
      <c r="DS95" s="59">
        <f t="shared" si="71"/>
        <v>293.3333333333386</v>
      </c>
      <c r="DT95" s="59">
        <f ca="1">AVERAGE(OFFSET($DS$3,0,0,'Données projet'!$E$14+1,1))-AVERAGE(OFFSET($H$3,0,0,'Données projet'!$E$14+1,1))</f>
        <v>436.23918637269577</v>
      </c>
      <c r="DU95" s="59">
        <f t="shared" si="98"/>
        <v>611.43967996341894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0.96489121739604111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2.1981473793313939E-9</v>
      </c>
      <c r="ED95" s="22">
        <f t="shared" si="72"/>
        <v>0.96489121959418844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310.08431999999993</v>
      </c>
      <c r="P96" s="13">
        <f t="shared" si="87"/>
        <v>73.286439265073966</v>
      </c>
      <c r="Q96" s="20">
        <f t="shared" si="54"/>
        <v>667.70407238667042</v>
      </c>
      <c r="R96" s="59">
        <f t="shared" si="55"/>
        <v>961.03740572000379</v>
      </c>
      <c r="S96" s="59">
        <f ca="1">AVERAGE(OFFSET($R$3,0,0,'Données projet'!$E$9+1,1))-AVERAGE(OFFSET($H$3,0,0,'Données projet'!$E$9+1,1))</f>
        <v>430.94515308997018</v>
      </c>
      <c r="T96" s="59">
        <f t="shared" si="88"/>
        <v>294.45557293177131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2.2435443546373937</v>
      </c>
      <c r="AA96" s="21">
        <f>EXP(-LN(2)/25)*AA95+(1-EXP(-LN(2)/25))/(LN(2)/25)*Calculateur!V96*Calculateur!X96*VLOOKUP('Données projet'!$B$9,Paramètres!$A$1:$I$89,3,0)*0.475*44/12</f>
        <v>1.7452797221510818</v>
      </c>
      <c r="AB96" s="21">
        <f>EXP(-LN(2)/2)*AB95+(1-EXP(-LN(2)/2))/(LN(2)/2)*V96*Y96*VLOOKUP('Données projet'!$B$9,Paramètres!$A$1:$I$89,3,0)*0.475*44/12</f>
        <v>3.0040962237253213E-9</v>
      </c>
      <c r="AC96" s="22">
        <f t="shared" si="57"/>
        <v>3.9888240797925714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545.99999999999989</v>
      </c>
      <c r="AJ96" s="13">
        <f>AI96*VLOOKUP('Données projet'!$B$10,Paramètres!$A$1:$I$89,3,0)*VLOOKUP('Données projet'!$B$10,Paramètres!$A$1:$I$89,5,0)</f>
        <v>255.52799999999993</v>
      </c>
      <c r="AK96" s="13">
        <f t="shared" si="89"/>
        <v>61.768167868721477</v>
      </c>
      <c r="AL96" s="20">
        <f t="shared" si="58"/>
        <v>552.62415903802309</v>
      </c>
      <c r="AM96" s="59">
        <f t="shared" si="59"/>
        <v>845.95749237135647</v>
      </c>
      <c r="AN96" s="59">
        <f ca="1">AVERAGE(OFFSET($AM$3,0,0,'Données projet'!$E$10+1,1))-AVERAGE(OFFSET($H$3,0,0,'Données projet'!$E$10+1,1))</f>
        <v>319.22903094674564</v>
      </c>
      <c r="AO96" s="59">
        <f t="shared" si="90"/>
        <v>254.58690973142848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2.6064445644126955</v>
      </c>
      <c r="AV96" s="21">
        <f>EXP(-LN(2)/25)*AV95+(1-EXP(-LN(2)/25))/(LN(2)/25)*Calculateur!AQ96*Calculateur!AS96*VLOOKUP('Données projet'!$B$10,Paramètres!$A$1:$I$89,3,0)*0.475*44/12</f>
        <v>1.9441541554591901</v>
      </c>
      <c r="AW96" s="21">
        <f>EXP(-LN(2)/2)*AW95+(1-EXP(-LN(2)/2))/(LN(2)/2)*AQ96*AT96*VLOOKUP('Données projet'!$B$10,Paramètres!$A$1:$I$89,3,0)*0.475*44/12</f>
        <v>3.6361958595941927E-9</v>
      </c>
      <c r="AX96" s="21">
        <f t="shared" si="60"/>
        <v>4.5505987235080818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3.2</v>
      </c>
      <c r="BD96" s="12">
        <f>IF('Données projet'!$A$88&gt;35,BD95+BC96-BL95,IF(A96&lt;'Données projet'!$A$88,$BA$205^A96,IF(A96='Données projet'!$A$88,'Données projet'!$B$88,BD95+BC96-BL95)))</f>
        <v>263.59999999999991</v>
      </c>
      <c r="BE96" s="13">
        <f>BD96*VLOOKUP('Données projet'!$B$11,Paramètres!$A$1:$I$89,3,0)*VLOOKUP('Données projet'!$B$11,Paramètres!$A$1:$I$89,5,0)</f>
        <v>230.28095999999994</v>
      </c>
      <c r="BF96" s="13">
        <f t="shared" si="91"/>
        <v>56.343427334913351</v>
      </c>
      <c r="BG96" s="20">
        <f t="shared" si="61"/>
        <v>499.20414127497389</v>
      </c>
      <c r="BH96" s="59">
        <f t="shared" si="62"/>
        <v>792.53747460830721</v>
      </c>
      <c r="BI96" s="59">
        <f ca="1">AVERAGE(OFFSET($BH$3,0,0,'Données projet'!$E$11+1,1))-AVERAGE(OFFSET($H$3,0,0,'Données projet'!$E$11+1,1))</f>
        <v>395.21779046720553</v>
      </c>
      <c r="BJ96" s="59">
        <f t="shared" si="92"/>
        <v>360.05900046417361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1.3817661753273005</v>
      </c>
      <c r="BQ96" s="21">
        <f>EXP(-LN(2)/25)*BQ95+(1-EXP(-LN(2)/25))/(LN(2)/25)*Calculateur!BL96*Calculateur!BN96*VLOOKUP('Données projet'!$B$11,Paramètres!$A$1:$I$89,3,0)*0.475*44/12</f>
        <v>1.9666164739209593</v>
      </c>
      <c r="BR96" s="21">
        <f>EXP(-LN(2)/2)*BR95+(1-EXP(-LN(2)/2))/(LN(2)/2)*BL96*BO96*VLOOKUP('Données projet'!$B$11,Paramètres!$A$1:$I$89,3,0)*0.475*44/12</f>
        <v>2.3040845115287855E-9</v>
      </c>
      <c r="BS96" s="22">
        <f t="shared" si="63"/>
        <v>3.348382651552344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</v>
      </c>
      <c r="BY96" s="12">
        <f>IF('Données projet'!$A$114&gt;35,BY95+BX96-CG95,IF(A96&lt;'Données projet'!$A$114,$BV$205^A96,IF(A96='Données projet'!$A$114,'Données projet'!$B$114,BY95+BX96-CG95)))</f>
        <v>320.59999999999991</v>
      </c>
      <c r="BZ96" s="13">
        <f>BY96*VLOOKUP('Données projet'!$B$12,Paramètres!$A$1:$I$89,3,0)*VLOOKUP('Données projet'!$B$12,Paramètres!$A$1:$I$89,5,0)</f>
        <v>325.08839999999992</v>
      </c>
      <c r="CA96" s="13">
        <f t="shared" si="93"/>
        <v>76.411120176279823</v>
      </c>
      <c r="CB96" s="20">
        <f t="shared" si="64"/>
        <v>699.27833097368728</v>
      </c>
      <c r="CC96" s="59">
        <f t="shared" si="65"/>
        <v>992.61166430702065</v>
      </c>
      <c r="CD96" s="59">
        <f ca="1">AVERAGE(OFFSET($CC$3,0,0,'Données projet'!$E$12+1,1))-AVERAGE(OFFSET($H$3,0,0,'Données projet'!$E$12+1,1))</f>
        <v>449.84356201138451</v>
      </c>
      <c r="CE96" s="59">
        <f t="shared" si="94"/>
        <v>306.61893266146666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2.3521029524424302</v>
      </c>
      <c r="CL96" s="21">
        <f>EXP(-LN(2)/25)*CL95+(1-EXP(-LN(2)/25))/(LN(2)/25)*Calculateur!CG96*Calculateur!CI96*VLOOKUP('Données projet'!$B$12,Paramètres!$A$1:$I$89,3,0)*0.475*44/12</f>
        <v>1.8297287409648442</v>
      </c>
      <c r="CM96" s="21">
        <f>EXP(-LN(2)/2)*CM95+(1-EXP(-LN(2)/2))/(LN(2)/2)*CG96*CJ96*VLOOKUP('Données projet'!$B$12,Paramètres!$A$1:$I$89,3,0)*0.475*44/12</f>
        <v>3.1494557184217071E-9</v>
      </c>
      <c r="CN96" s="22">
        <f t="shared" si="66"/>
        <v>4.1818316965567304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6.2</v>
      </c>
      <c r="CT96" s="12">
        <f>IF('Données projet'!$A$140&gt;35,CT95+CS96-DB95,IF(A96&lt;'Données projet'!$A$140,$CQ$205^A96,IF(A96='Données projet'!$A$140,'Données projet'!$B$140,CT95+CS96-DB95)))</f>
        <v>320.59999999999991</v>
      </c>
      <c r="CU96" s="17">
        <f>CT96*VLOOKUP('Données projet'!$B$13,Paramètres!$A$1:$I$89,3,0)*VLOOKUP('Données projet'!$B$13,Paramètres!$A$1:$I$89,5,0)</f>
        <v>345.09383999999989</v>
      </c>
      <c r="CV96" s="13">
        <f t="shared" si="95"/>
        <v>80.551453440052555</v>
      </c>
      <c r="CW96" s="20">
        <f t="shared" si="67"/>
        <v>741.33221940809119</v>
      </c>
      <c r="CX96" s="59">
        <f t="shared" si="68"/>
        <v>1034.6655527414246</v>
      </c>
      <c r="CY96" s="59">
        <f ca="1">AVERAGE(OFFSET($CX$3,0,0,'Données projet'!$E$13+1,1))-AVERAGE(OFFSET($H$3,0,0,'Données projet'!$E$13+1,1))</f>
        <v>475.01366239340246</v>
      </c>
      <c r="CZ96" s="59">
        <f t="shared" si="96"/>
        <v>322.81767004794284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2.4968477495158057</v>
      </c>
      <c r="DG96" s="21">
        <f>EXP(-LN(2)/25)*DG95+(1-EXP(-LN(2)/25))/(LN(2)/25)*Calculateur!DB96*Calculateur!DD96*VLOOKUP('Données projet'!$B$13,Paramètres!$A$1:$I$89,3,0)*0.475*44/12</f>
        <v>1.9423274327165245</v>
      </c>
      <c r="DH96" s="21">
        <f>EXP(-LN(2)/2)*DH95+(1-EXP(-LN(2)/2))/(LN(2)/2)*DB96*DE96*VLOOKUP('Données projet'!$B$13,Paramètres!$A$1:$I$89,3,0)*0.475*44/12</f>
        <v>3.3432683780168899E-9</v>
      </c>
      <c r="DI96" s="22">
        <f t="shared" si="69"/>
        <v>4.439175185575599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2.2737367544323206E-13</v>
      </c>
      <c r="DP96" s="17">
        <f>DO96*VLOOKUP('Données projet'!$B$14,Paramètres!$A$1:$I$89,3,0)*VLOOKUP('Données projet'!$B$14,Paramètres!$A$1:$I$89,5,0)</f>
        <v>2.0572770154103635E-13</v>
      </c>
      <c r="DQ96" s="13">
        <f t="shared" si="97"/>
        <v>2.8416956338469711E-12</v>
      </c>
      <c r="DR96" s="20">
        <f t="shared" si="70"/>
        <v>5.3075956424674458E-12</v>
      </c>
      <c r="DS96" s="59">
        <f t="shared" si="71"/>
        <v>293.3333333333386</v>
      </c>
      <c r="DT96" s="59">
        <f ca="1">AVERAGE(OFFSET($DS$3,0,0,'Données projet'!$E$14+1,1))-AVERAGE(OFFSET($H$3,0,0,'Données projet'!$E$14+1,1))</f>
        <v>436.23918637269577</v>
      </c>
      <c r="DU96" s="59">
        <f t="shared" si="98"/>
        <v>611.43967996341894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0.94597028914843528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1.5543249179726668E-9</v>
      </c>
      <c r="ED96" s="22">
        <f t="shared" si="72"/>
        <v>0.94597029070276017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316.08095999999989</v>
      </c>
      <c r="P97" s="13">
        <f t="shared" si="87"/>
        <v>74.537337287681041</v>
      </c>
      <c r="Q97" s="20">
        <f t="shared" si="54"/>
        <v>680.32686777604431</v>
      </c>
      <c r="R97" s="59">
        <f t="shared" si="55"/>
        <v>973.66020110937757</v>
      </c>
      <c r="S97" s="59">
        <f ca="1">AVERAGE(OFFSET($R$3,0,0,'Données projet'!$E$9+1,1))-AVERAGE(OFFSET($H$3,0,0,'Données projet'!$E$9+1,1))</f>
        <v>430.94515308997018</v>
      </c>
      <c r="T97" s="59">
        <f t="shared" si="88"/>
        <v>294.45557293177131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2.1995498182698898</v>
      </c>
      <c r="AA97" s="21">
        <f>EXP(-LN(2)/25)*AA96+(1-EXP(-LN(2)/25))/(LN(2)/25)*Calculateur!V97*Calculateur!X97*VLOOKUP('Données projet'!$B$9,Paramètres!$A$1:$I$89,3,0)*0.475*44/12</f>
        <v>1.6975549563685888</v>
      </c>
      <c r="AB97" s="21">
        <f>EXP(-LN(2)/2)*AB96+(1-EXP(-LN(2)/2))/(LN(2)/2)*V97*Y97*VLOOKUP('Données projet'!$B$9,Paramètres!$A$1:$I$89,3,0)*0.475*44/12</f>
        <v>2.1242168111330745E-9</v>
      </c>
      <c r="AC97" s="22">
        <f t="shared" si="57"/>
        <v>3.8971047767626952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564.49999999999989</v>
      </c>
      <c r="AJ97" s="13">
        <f>AI97*VLOOKUP('Données projet'!$B$10,Paramètres!$A$1:$I$89,3,0)*VLOOKUP('Données projet'!$B$10,Paramètres!$A$1:$I$89,5,0)</f>
        <v>264.18599999999992</v>
      </c>
      <c r="AK97" s="13">
        <f t="shared" si="89"/>
        <v>63.613832873262751</v>
      </c>
      <c r="AL97" s="20">
        <f t="shared" si="58"/>
        <v>570.91804225426574</v>
      </c>
      <c r="AM97" s="59">
        <f t="shared" si="59"/>
        <v>864.25137558759911</v>
      </c>
      <c r="AN97" s="59">
        <f ca="1">AVERAGE(OFFSET($AM$3,0,0,'Données projet'!$E$10+1,1))-AVERAGE(OFFSET($H$3,0,0,'Données projet'!$E$10+1,1))</f>
        <v>319.22903094674564</v>
      </c>
      <c r="AO97" s="59">
        <f t="shared" si="90"/>
        <v>254.58690973142848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2.5553337762787698</v>
      </c>
      <c r="AV97" s="21">
        <f>EXP(-LN(2)/25)*AV96+(1-EXP(-LN(2)/25))/(LN(2)/25)*Calculateur!AQ97*Calculateur!AS97*VLOOKUP('Données projet'!$B$10,Paramètres!$A$1:$I$89,3,0)*0.475*44/12</f>
        <v>1.8909911578395349</v>
      </c>
      <c r="AW97" s="21">
        <f>EXP(-LN(2)/2)*AW96+(1-EXP(-LN(2)/2))/(LN(2)/2)*AQ97*AT97*VLOOKUP('Données projet'!$B$10,Paramètres!$A$1:$I$89,3,0)*0.475*44/12</f>
        <v>2.5711787500415011E-9</v>
      </c>
      <c r="AX97" s="21">
        <f t="shared" si="60"/>
        <v>4.4463249366894839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3.2</v>
      </c>
      <c r="BD97" s="12">
        <f>IF('Données projet'!$A$88&gt;35,BD96+BC97-BL96,IF(A97&lt;'Données projet'!$A$88,$BA$205^A97,IF(A97='Données projet'!$A$88,'Données projet'!$B$88,BD96+BC97-BL96)))</f>
        <v>266.7999999999999</v>
      </c>
      <c r="BE97" s="13">
        <f>BD97*VLOOKUP('Données projet'!$B$11,Paramètres!$A$1:$I$89,3,0)*VLOOKUP('Données projet'!$B$11,Paramètres!$A$1:$I$89,5,0)</f>
        <v>233.07647999999995</v>
      </c>
      <c r="BF97" s="13">
        <f t="shared" si="91"/>
        <v>56.947373142454879</v>
      </c>
      <c r="BG97" s="20">
        <f t="shared" si="61"/>
        <v>505.12487755644207</v>
      </c>
      <c r="BH97" s="59">
        <f t="shared" si="62"/>
        <v>798.45821088977539</v>
      </c>
      <c r="BI97" s="59">
        <f ca="1">AVERAGE(OFFSET($BH$3,0,0,'Données projet'!$E$11+1,1))-AVERAGE(OFFSET($H$3,0,0,'Données projet'!$E$11+1,1))</f>
        <v>395.21779046720553</v>
      </c>
      <c r="BJ97" s="59">
        <f t="shared" si="92"/>
        <v>360.05900046417361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1.3546705834232802</v>
      </c>
      <c r="BQ97" s="21">
        <f>EXP(-LN(2)/25)*BQ96+(1-EXP(-LN(2)/25))/(LN(2)/25)*Calculateur!BL97*Calculateur!BN97*VLOOKUP('Données projet'!$B$11,Paramètres!$A$1:$I$89,3,0)*0.475*44/12</f>
        <v>1.9128392430217251</v>
      </c>
      <c r="BR97" s="21">
        <f>EXP(-LN(2)/2)*BR96+(1-EXP(-LN(2)/2))/(LN(2)/2)*BL97*BO97*VLOOKUP('Données projet'!$B$11,Paramètres!$A$1:$I$89,3,0)*0.475*44/12</f>
        <v>1.6292337825288982E-9</v>
      </c>
      <c r="BS97" s="22">
        <f t="shared" si="63"/>
        <v>3.267509828074239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6.2</v>
      </c>
      <c r="BY97" s="12">
        <f>IF('Données projet'!$A$114&gt;35,BY96+BX97-CG96,IF(A97&lt;'Données projet'!$A$114,$BV$205^A97,IF(A97='Données projet'!$A$114,'Données projet'!$B$114,BY96+BX97-CG96)))</f>
        <v>326.7999999999999</v>
      </c>
      <c r="BZ97" s="13">
        <f>BY97*VLOOKUP('Données projet'!$B$12,Paramètres!$A$1:$I$89,3,0)*VLOOKUP('Données projet'!$B$12,Paramètres!$A$1:$I$89,5,0)</f>
        <v>331.37519999999989</v>
      </c>
      <c r="CA97" s="13">
        <f t="shared" si="93"/>
        <v>77.715352174616896</v>
      </c>
      <c r="CB97" s="20">
        <f t="shared" si="64"/>
        <v>712.49937837079085</v>
      </c>
      <c r="CC97" s="59">
        <f t="shared" si="65"/>
        <v>1005.8327117041242</v>
      </c>
      <c r="CD97" s="59">
        <f ca="1">AVERAGE(OFFSET($CC$3,0,0,'Données projet'!$E$12+1,1))-AVERAGE(OFFSET($H$3,0,0,'Données projet'!$E$12+1,1))</f>
        <v>449.84356201138451</v>
      </c>
      <c r="CE97" s="59">
        <f t="shared" si="94"/>
        <v>306.61893266146666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2.3059796481861761</v>
      </c>
      <c r="CL97" s="21">
        <f>EXP(-LN(2)/25)*CL96+(1-EXP(-LN(2)/25))/(LN(2)/25)*Calculateur!CG97*Calculateur!CI97*VLOOKUP('Données projet'!$B$12,Paramètres!$A$1:$I$89,3,0)*0.475*44/12</f>
        <v>1.779694712321908</v>
      </c>
      <c r="CM97" s="21">
        <f>EXP(-LN(2)/2)*CM96+(1-EXP(-LN(2)/2))/(LN(2)/2)*CG97*CJ97*VLOOKUP('Données projet'!$B$12,Paramètres!$A$1:$I$89,3,0)*0.475*44/12</f>
        <v>2.2270014955427388E-9</v>
      </c>
      <c r="CN97" s="22">
        <f t="shared" si="66"/>
        <v>4.0856743627350856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6.2</v>
      </c>
      <c r="CT97" s="12">
        <f>IF('Données projet'!$A$140&gt;35,CT96+CS97-DB96,IF(A97&lt;'Données projet'!$A$140,$CQ$205^A97,IF(A97='Données projet'!$A$140,'Données projet'!$B$140,CT96+CS97-DB96)))</f>
        <v>326.7999999999999</v>
      </c>
      <c r="CU97" s="17">
        <f>CT97*VLOOKUP('Données projet'!$B$13,Paramètres!$A$1:$I$89,3,0)*VLOOKUP('Données projet'!$B$13,Paramètres!$A$1:$I$89,5,0)</f>
        <v>351.76751999999988</v>
      </c>
      <c r="CV97" s="13">
        <f t="shared" si="95"/>
        <v>81.926355193183625</v>
      </c>
      <c r="CW97" s="20">
        <f t="shared" si="67"/>
        <v>755.35016596146124</v>
      </c>
      <c r="CX97" s="59">
        <f t="shared" si="68"/>
        <v>1048.6834992947945</v>
      </c>
      <c r="CY97" s="59">
        <f ca="1">AVERAGE(OFFSET($CX$3,0,0,'Données projet'!$E$13+1,1))-AVERAGE(OFFSET($H$3,0,0,'Données projet'!$E$13+1,1))</f>
        <v>475.01366239340246</v>
      </c>
      <c r="CZ97" s="59">
        <f t="shared" si="96"/>
        <v>322.81767004794284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2.4478860880745512</v>
      </c>
      <c r="DG97" s="21">
        <f>EXP(-LN(2)/25)*DG96+(1-EXP(-LN(2)/25))/(LN(2)/25)*Calculateur!DB97*Calculateur!DD97*VLOOKUP('Données projet'!$B$13,Paramètres!$A$1:$I$89,3,0)*0.475*44/12</f>
        <v>1.8892143869263307</v>
      </c>
      <c r="DH97" s="21">
        <f>EXP(-LN(2)/2)*DH96+(1-EXP(-LN(2)/2))/(LN(2)/2)*DB97*DE97*VLOOKUP('Données projet'!$B$13,Paramètres!$A$1:$I$89,3,0)*0.475*44/12</f>
        <v>2.3640477414222926E-9</v>
      </c>
      <c r="DI97" s="22">
        <f t="shared" si="69"/>
        <v>4.3371004773649293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2.2737367544323206E-13</v>
      </c>
      <c r="DP97" s="17">
        <f>DO97*VLOOKUP('Données projet'!$B$14,Paramètres!$A$1:$I$89,3,0)*VLOOKUP('Données projet'!$B$14,Paramètres!$A$1:$I$89,5,0)</f>
        <v>2.0572770154103635E-13</v>
      </c>
      <c r="DQ97" s="13">
        <f t="shared" si="97"/>
        <v>2.8416956338469711E-12</v>
      </c>
      <c r="DR97" s="20">
        <f t="shared" si="70"/>
        <v>5.3075956424674458E-12</v>
      </c>
      <c r="DS97" s="59">
        <f t="shared" si="71"/>
        <v>293.3333333333386</v>
      </c>
      <c r="DT97" s="59">
        <f ca="1">AVERAGE(OFFSET($DS$3,0,0,'Données projet'!$E$14+1,1))-AVERAGE(OFFSET($H$3,0,0,'Données projet'!$E$14+1,1))</f>
        <v>436.23918637269577</v>
      </c>
      <c r="DU97" s="59">
        <f t="shared" si="98"/>
        <v>611.43967996341894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0.92742038876313837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1.0990736896656969E-9</v>
      </c>
      <c r="ED97" s="22">
        <f t="shared" si="72"/>
        <v>0.92742038986221209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322.0775999999999</v>
      </c>
      <c r="P98" s="13">
        <f t="shared" si="87"/>
        <v>75.785475796129404</v>
      </c>
      <c r="Q98" s="20">
        <f t="shared" si="54"/>
        <v>692.94485701159181</v>
      </c>
      <c r="R98" s="59">
        <f t="shared" si="55"/>
        <v>986.27819034492518</v>
      </c>
      <c r="S98" s="59">
        <f ca="1">AVERAGE(OFFSET($R$3,0,0,'Données projet'!$E$9+1,1))-AVERAGE(OFFSET($H$3,0,0,'Données projet'!$E$9+1,1))</f>
        <v>430.94515308997018</v>
      </c>
      <c r="T98" s="59">
        <f t="shared" si="88"/>
        <v>294.45557293177131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2.1564179879265351</v>
      </c>
      <c r="AA98" s="21">
        <f>EXP(-LN(2)/25)*AA97+(1-EXP(-LN(2)/25))/(LN(2)/25)*Calculateur!V98*Calculateur!X98*VLOOKUP('Données projet'!$B$9,Paramètres!$A$1:$I$89,3,0)*0.475*44/12</f>
        <v>1.6511352268161543</v>
      </c>
      <c r="AB98" s="21">
        <f>EXP(-LN(2)/2)*AB97+(1-EXP(-LN(2)/2))/(LN(2)/2)*V98*Y98*VLOOKUP('Données projet'!$B$9,Paramètres!$A$1:$I$89,3,0)*0.475*44/12</f>
        <v>1.5020481118626607E-9</v>
      </c>
      <c r="AC98" s="22">
        <f t="shared" si="57"/>
        <v>3.8075532162447376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582.99999999999989</v>
      </c>
      <c r="AJ98" s="13">
        <f>AI98*VLOOKUP('Données projet'!$B$10,Paramètres!$A$1:$I$89,3,0)*VLOOKUP('Données projet'!$B$10,Paramètres!$A$1:$I$89,5,0)</f>
        <v>272.84399999999994</v>
      </c>
      <c r="AK98" s="13">
        <f t="shared" si="89"/>
        <v>65.452469296244189</v>
      </c>
      <c r="AL98" s="20">
        <f t="shared" si="58"/>
        <v>589.19968402429186</v>
      </c>
      <c r="AM98" s="59">
        <f t="shared" si="59"/>
        <v>882.53301735762511</v>
      </c>
      <c r="AN98" s="59">
        <f ca="1">AVERAGE(OFFSET($AM$3,0,0,'Données projet'!$E$10+1,1))-AVERAGE(OFFSET($H$3,0,0,'Données projet'!$E$10+1,1))</f>
        <v>319.22903094674564</v>
      </c>
      <c r="AO98" s="59">
        <f t="shared" si="90"/>
        <v>254.58690973142848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2.5052252395256476</v>
      </c>
      <c r="AV98" s="21">
        <f>EXP(-LN(2)/25)*AV97+(1-EXP(-LN(2)/25))/(LN(2)/25)*Calculateur!AQ98*Calculateur!AS98*VLOOKUP('Données projet'!$B$10,Paramètres!$A$1:$I$89,3,0)*0.475*44/12</f>
        <v>1.8392819051855096</v>
      </c>
      <c r="AW98" s="21">
        <f>EXP(-LN(2)/2)*AW97+(1-EXP(-LN(2)/2))/(LN(2)/2)*AQ98*AT98*VLOOKUP('Données projet'!$B$10,Paramètres!$A$1:$I$89,3,0)*0.475*44/12</f>
        <v>1.8180979297970966E-9</v>
      </c>
      <c r="AX98" s="21">
        <f t="shared" si="60"/>
        <v>4.3445071465292546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270</v>
      </c>
      <c r="BB98" s="12">
        <f>VLOOKUP(A98,'Données projet'!$A$87:$I$107,9,0)</f>
        <v>3.2</v>
      </c>
      <c r="BC98" s="12">
        <f t="array" ref="BC98">INDEX(BB:BB,MIN(IF(ISNUMBER(BB98:BB294),ROW(BB98:BB294),"")))</f>
        <v>3.2</v>
      </c>
      <c r="BD98" s="12">
        <f>IF('Données projet'!$A$88&gt;35,BD97+BC98-BL97,IF(A98&lt;'Données projet'!$A$88,$BA$205^A98,IF(A98='Données projet'!$A$88,'Données projet'!$B$88,BD97+BC98-BL97)))</f>
        <v>269.99999999999989</v>
      </c>
      <c r="BE98" s="13">
        <f>BD98*VLOOKUP('Données projet'!$B$11,Paramètres!$A$1:$I$89,3,0)*VLOOKUP('Données projet'!$B$11,Paramètres!$A$1:$I$89,5,0)</f>
        <v>235.87199999999996</v>
      </c>
      <c r="BF98" s="13">
        <f t="shared" si="91"/>
        <v>57.550476347015277</v>
      </c>
      <c r="BG98" s="20">
        <f t="shared" si="61"/>
        <v>511.04414630438487</v>
      </c>
      <c r="BH98" s="59">
        <f t="shared" si="62"/>
        <v>804.37747963771812</v>
      </c>
      <c r="BI98" s="59">
        <f ca="1">AVERAGE(OFFSET($BH$3,0,0,'Données projet'!$E$11+1,1))-AVERAGE(OFFSET($H$3,0,0,'Données projet'!$E$11+1,1))</f>
        <v>395.21779046720553</v>
      </c>
      <c r="BJ98" s="59">
        <f t="shared" si="92"/>
        <v>360.05900046417361</v>
      </c>
      <c r="BK98" s="15">
        <f>IF(ISNA(VLOOKUP(A98,'Données projet'!$A$87:$I$107,3,0)),0,VLOOKUP(A98,'Données projet'!$A$87:$I$107,3,0))</f>
        <v>18</v>
      </c>
      <c r="BL98" s="15">
        <f>IF(ISNA(VLOOKUP(A98,'Données projet'!$A$87:$I$107,4,0)),0,VLOOKUP(A98,'Données projet'!$A$87:$I$107,4,0))</f>
        <v>13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1.3281063195498184</v>
      </c>
      <c r="BQ98" s="21">
        <f>EXP(-LN(2)/25)*BQ97+(1-EXP(-LN(2)/25))/(LN(2)/25)*Calculateur!BL98*Calculateur!BN98*VLOOKUP('Données projet'!$B$11,Paramètres!$A$1:$I$89,3,0)*0.475*44/12</f>
        <v>1.8605325533294521</v>
      </c>
      <c r="BR98" s="21">
        <f>EXP(-LN(2)/2)*BR97+(1-EXP(-LN(2)/2))/(LN(2)/2)*BL98*BO98*VLOOKUP('Données projet'!$B$11,Paramètres!$A$1:$I$89,3,0)*0.475*44/12</f>
        <v>1.1520422557643927E-9</v>
      </c>
      <c r="BS98" s="22">
        <f t="shared" si="63"/>
        <v>3.1886388740313127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333</v>
      </c>
      <c r="BW98" s="12">
        <f>VLOOKUP(A98,'Données projet'!$A$113:$I$133,9,0)</f>
        <v>6.2</v>
      </c>
      <c r="BX98" s="12">
        <f t="array" ref="BX98">INDEX(BW:BW,MIN(IF(ISNUMBER(BW98:BW294),ROW(BW98:BW294),"")))</f>
        <v>6.2</v>
      </c>
      <c r="BY98" s="12">
        <f>IF('Données projet'!$A$114&gt;35,BY97+BX98-CG97,IF(A98&lt;'Données projet'!$A$114,$BV$205^A98,IF(A98='Données projet'!$A$114,'Données projet'!$B$114,BY97+BX98-CG97)))</f>
        <v>332.99999999999989</v>
      </c>
      <c r="BZ98" s="13">
        <f>BY98*VLOOKUP('Données projet'!$B$12,Paramètres!$A$1:$I$89,3,0)*VLOOKUP('Données projet'!$B$12,Paramètres!$A$1:$I$89,5,0)</f>
        <v>337.66199999999992</v>
      </c>
      <c r="CA98" s="13">
        <f t="shared" si="93"/>
        <v>79.016707002632685</v>
      </c>
      <c r="CB98" s="20">
        <f t="shared" si="64"/>
        <v>725.71541469625174</v>
      </c>
      <c r="CC98" s="59">
        <f t="shared" si="65"/>
        <v>1019.0487480295851</v>
      </c>
      <c r="CD98" s="59">
        <f ca="1">AVERAGE(OFFSET($CC$3,0,0,'Données projet'!$E$12+1,1))-AVERAGE(OFFSET($H$3,0,0,'Données projet'!$E$12+1,1))</f>
        <v>449.84356201138451</v>
      </c>
      <c r="CE98" s="59">
        <f t="shared" si="94"/>
        <v>306.61893266146666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28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2.2607607937939496</v>
      </c>
      <c r="CL98" s="21">
        <f>EXP(-LN(2)/25)*CL97+(1-EXP(-LN(2)/25))/(LN(2)/25)*Calculateur!CG98*Calculateur!CI98*VLOOKUP('Données projet'!$B$12,Paramètres!$A$1:$I$89,3,0)*0.475*44/12</f>
        <v>1.731028866823388</v>
      </c>
      <c r="CM98" s="21">
        <f>EXP(-LN(2)/2)*CM97+(1-EXP(-LN(2)/2))/(LN(2)/2)*CG98*CJ98*VLOOKUP('Données projet'!$B$12,Paramètres!$A$1:$I$89,3,0)*0.475*44/12</f>
        <v>1.5747278592108535E-9</v>
      </c>
      <c r="CN98" s="22">
        <f t="shared" si="66"/>
        <v>3.9917896621920654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333</v>
      </c>
      <c r="CR98" s="12">
        <f>VLOOKUP(A98,'Données projet'!$A$139:$I$159,9,0)</f>
        <v>6.2</v>
      </c>
      <c r="CS98" s="12">
        <f t="array" ref="CS98">INDEX(CR:CR,MIN(IF(ISNUMBER(CR98:CR294),ROW(CR98:CR294),"")))</f>
        <v>6.2</v>
      </c>
      <c r="CT98" s="12">
        <f>IF('Données projet'!$A$140&gt;35,CT97+CS98-DB97,IF(A98&lt;'Données projet'!$A$140,$CQ$205^A98,IF(A98='Données projet'!$A$140,'Données projet'!$B$140,CT97+CS98-DB97)))</f>
        <v>332.99999999999989</v>
      </c>
      <c r="CU98" s="17">
        <f>CT98*VLOOKUP('Données projet'!$B$13,Paramètres!$A$1:$I$89,3,0)*VLOOKUP('Données projet'!$B$13,Paramètres!$A$1:$I$89,5,0)</f>
        <v>358.44119999999987</v>
      </c>
      <c r="CV98" s="13">
        <f t="shared" si="95"/>
        <v>83.298223876643164</v>
      </c>
      <c r="CW98" s="20">
        <f t="shared" si="67"/>
        <v>769.36282991848657</v>
      </c>
      <c r="CX98" s="59">
        <f t="shared" si="68"/>
        <v>1062.6961632518198</v>
      </c>
      <c r="CY98" s="59">
        <f ca="1">AVERAGE(OFFSET($CX$3,0,0,'Données projet'!$E$13+1,1))-AVERAGE(OFFSET($H$3,0,0,'Données projet'!$E$13+1,1))</f>
        <v>475.01366239340246</v>
      </c>
      <c r="CZ98" s="59">
        <f t="shared" si="96"/>
        <v>322.81767004794284</v>
      </c>
      <c r="DA98" s="15">
        <f>IF(ISNA(VLOOKUP(A98,'Données projet'!$A$139:$I$159,3,0)),0,VLOOKUP(A98,'Données projet'!$A$139:$I$159,3,0))</f>
        <v>16</v>
      </c>
      <c r="DB98" s="15">
        <f>IF(ISNA(VLOOKUP(A98,'Données projet'!$A$139:$I$159,4,0)),0,VLOOKUP(A98,'Données projet'!$A$139:$I$159,4,0))</f>
        <v>28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2.3998845349504951</v>
      </c>
      <c r="DG98" s="21">
        <f>EXP(-LN(2)/25)*DG97+(1-EXP(-LN(2)/25))/(LN(2)/25)*Calculateur!DB98*Calculateur!DD98*VLOOKUP('Données projet'!$B$13,Paramètres!$A$1:$I$89,3,0)*0.475*44/12</f>
        <v>1.8375537201663634</v>
      </c>
      <c r="DH98" s="21">
        <f>EXP(-LN(2)/2)*DH97+(1-EXP(-LN(2)/2))/(LN(2)/2)*DB98*DE98*VLOOKUP('Données projet'!$B$13,Paramètres!$A$1:$I$89,3,0)*0.475*44/12</f>
        <v>1.6716341890084449E-9</v>
      </c>
      <c r="DI98" s="22">
        <f t="shared" si="69"/>
        <v>4.2374382567884927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2.2737367544323206E-13</v>
      </c>
      <c r="DP98" s="17">
        <f>DO98*VLOOKUP('Données projet'!$B$14,Paramètres!$A$1:$I$89,3,0)*VLOOKUP('Données projet'!$B$14,Paramètres!$A$1:$I$89,5,0)</f>
        <v>2.0572770154103635E-13</v>
      </c>
      <c r="DQ98" s="13">
        <f t="shared" si="97"/>
        <v>2.8416956338469711E-12</v>
      </c>
      <c r="DR98" s="20">
        <f t="shared" si="70"/>
        <v>5.3075956424674458E-12</v>
      </c>
      <c r="DS98" s="59">
        <f t="shared" si="71"/>
        <v>293.3333333333386</v>
      </c>
      <c r="DT98" s="59">
        <f ca="1">AVERAGE(OFFSET($DS$3,0,0,'Données projet'!$E$14+1,1))-AVERAGE(OFFSET($H$3,0,0,'Données projet'!$E$14+1,1))</f>
        <v>436.23918637269577</v>
      </c>
      <c r="DU98" s="59">
        <f t="shared" si="98"/>
        <v>611.43967996341894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0.90923424061007507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7.7716245898633341E-10</v>
      </c>
      <c r="ED98" s="22">
        <f t="shared" si="72"/>
        <v>0.90923424138723752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300.41231999999991</v>
      </c>
      <c r="P99" s="13">
        <f t="shared" si="87"/>
        <v>71.262894674416671</v>
      </c>
      <c r="Q99" s="20">
        <f t="shared" ref="Q99:Q130" si="107">(O99+P99)*0.475*44/12</f>
        <v>647.33433222460883</v>
      </c>
      <c r="R99" s="59">
        <f t="shared" si="55"/>
        <v>940.6676655579422</v>
      </c>
      <c r="S99" s="59">
        <f ca="1">AVERAGE(OFFSET($R$3,0,0,'Données projet'!$E$9+1,1))-AVERAGE(OFFSET($H$3,0,0,'Données projet'!$E$9+1,1))</f>
        <v>430.94515308997018</v>
      </c>
      <c r="T99" s="59">
        <f t="shared" si="88"/>
        <v>294.45557293177131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2.1141319464683948</v>
      </c>
      <c r="AA99" s="21">
        <f>EXP(-LN(2)/25)*AA98+(1-EXP(-LN(2)/25))/(LN(2)/25)*Calculateur!V99*Calculateur!X99*VLOOKUP('Données projet'!$B$9,Paramètres!$A$1:$I$89,3,0)*0.475*44/12</f>
        <v>1.6059848472094387</v>
      </c>
      <c r="AB99" s="21">
        <f>EXP(-LN(2)/2)*AB98+(1-EXP(-LN(2)/2))/(LN(2)/2)*V99*Y99*VLOOKUP('Données projet'!$B$9,Paramètres!$A$1:$I$89,3,0)*0.475*44/12</f>
        <v>1.0621084055665372E-9</v>
      </c>
      <c r="AC99" s="22">
        <f t="shared" si="57"/>
        <v>3.7201167947399423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601.49999999999989</v>
      </c>
      <c r="AJ99" s="13">
        <f>AI99*VLOOKUP('Données projet'!$B$10,Paramètres!$A$1:$I$89,3,0)*VLOOKUP('Données projet'!$B$10,Paramètres!$A$1:$I$89,5,0)</f>
        <v>281.50199999999995</v>
      </c>
      <c r="AK99" s="13">
        <f t="shared" si="89"/>
        <v>67.28432575810065</v>
      </c>
      <c r="AL99" s="20">
        <f t="shared" si="58"/>
        <v>607.46951736202516</v>
      </c>
      <c r="AM99" s="59">
        <f t="shared" si="59"/>
        <v>900.80285069535853</v>
      </c>
      <c r="AN99" s="59">
        <f ca="1">AVERAGE(OFFSET($AM$3,0,0,'Données projet'!$E$10+1,1))-AVERAGE(OFFSET($H$3,0,0,'Données projet'!$E$10+1,1))</f>
        <v>319.22903094674564</v>
      </c>
      <c r="AO99" s="59">
        <f t="shared" si="90"/>
        <v>254.58690973142848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2.4560993006150649</v>
      </c>
      <c r="AV99" s="21">
        <f>EXP(-LN(2)/25)*AV98+(1-EXP(-LN(2)/25))/(LN(2)/25)*Calculateur!AQ99*Calculateur!AS99*VLOOKUP('Données projet'!$B$10,Paramètres!$A$1:$I$89,3,0)*0.475*44/12</f>
        <v>1.7889866447645801</v>
      </c>
      <c r="AW99" s="21">
        <f>EXP(-LN(2)/2)*AW98+(1-EXP(-LN(2)/2))/(LN(2)/2)*AQ99*AT99*VLOOKUP('Données projet'!$B$10,Paramètres!$A$1:$I$89,3,0)*0.475*44/12</f>
        <v>1.2855893750207508E-9</v>
      </c>
      <c r="AX99" s="21">
        <f t="shared" si="60"/>
        <v>4.2450859466652346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52.6</v>
      </c>
      <c r="BD99" s="12">
        <f>IF('Données projet'!$A$88&gt;35,BD98+BC99-BL98,IF(A99&lt;'Données projet'!$A$88,$BA$205^A99,IF(A99='Données projet'!$A$88,'Données projet'!$B$88,BD98+BC99-BL98)))</f>
        <v>309.59999999999991</v>
      </c>
      <c r="BE99" s="13">
        <f>BD99*VLOOKUP('Données projet'!$B$11,Paramètres!$A$1:$I$89,3,0)*VLOOKUP('Données projet'!$B$11,Paramètres!$A$1:$I$89,5,0)</f>
        <v>270.46655999999996</v>
      </c>
      <c r="BF99" s="13">
        <f t="shared" si="91"/>
        <v>64.948275143440426</v>
      </c>
      <c r="BG99" s="20">
        <f t="shared" si="61"/>
        <v>584.18083787482522</v>
      </c>
      <c r="BH99" s="59">
        <f t="shared" si="62"/>
        <v>877.51417120815859</v>
      </c>
      <c r="BI99" s="59">
        <f ca="1">AVERAGE(OFFSET($BH$3,0,0,'Données projet'!$E$11+1,1))-AVERAGE(OFFSET($H$3,0,0,'Données projet'!$E$11+1,1))</f>
        <v>395.21779046720553</v>
      </c>
      <c r="BJ99" s="59">
        <f t="shared" si="92"/>
        <v>360.05900046417361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1.3020629646883142</v>
      </c>
      <c r="BQ99" s="21">
        <f>EXP(-LN(2)/25)*BQ98+(1-EXP(-LN(2)/25))/(LN(2)/25)*Calculateur!BL99*Calculateur!BN99*VLOOKUP('Données projet'!$B$11,Paramètres!$A$1:$I$89,3,0)*0.475*44/12</f>
        <v>1.8096561928175037</v>
      </c>
      <c r="BR99" s="21">
        <f>EXP(-LN(2)/2)*BR98+(1-EXP(-LN(2)/2))/(LN(2)/2)*BL99*BO99*VLOOKUP('Données projet'!$B$11,Paramètres!$A$1:$I$89,3,0)*0.475*44/12</f>
        <v>8.1461689126444909E-10</v>
      </c>
      <c r="BS99" s="22">
        <f t="shared" si="63"/>
        <v>3.1117191583204349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5.6</v>
      </c>
      <c r="BY99" s="12">
        <f>IF('Données projet'!$A$114&gt;35,BY98+BX99-CG98,IF(A99&lt;'Données projet'!$A$114,$BV$205^A99,IF(A99='Données projet'!$A$114,'Données projet'!$B$114,BY98+BX99-CG98)))</f>
        <v>310.59999999999991</v>
      </c>
      <c r="BZ99" s="13">
        <f>BY99*VLOOKUP('Données projet'!$B$12,Paramètres!$A$1:$I$89,3,0)*VLOOKUP('Données projet'!$B$12,Paramètres!$A$1:$I$89,5,0)</f>
        <v>314.94839999999994</v>
      </c>
      <c r="CA99" s="13">
        <f t="shared" si="93"/>
        <v>74.301298626081149</v>
      </c>
      <c r="CB99" s="20">
        <f t="shared" si="64"/>
        <v>677.94322510709128</v>
      </c>
      <c r="CC99" s="59">
        <f t="shared" si="65"/>
        <v>971.27655844042465</v>
      </c>
      <c r="CD99" s="59">
        <f ca="1">AVERAGE(OFFSET($CC$3,0,0,'Données projet'!$E$12+1,1))-AVERAGE(OFFSET($H$3,0,0,'Données projet'!$E$12+1,1))</f>
        <v>449.84356201138451</v>
      </c>
      <c r="CE99" s="59">
        <f t="shared" si="94"/>
        <v>306.61893266146666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2.2164286535555764</v>
      </c>
      <c r="CL99" s="21">
        <f>EXP(-LN(2)/25)*CL98+(1-EXP(-LN(2)/25))/(LN(2)/25)*Calculateur!CG99*Calculateur!CI99*VLOOKUP('Données projet'!$B$12,Paramètres!$A$1:$I$89,3,0)*0.475*44/12</f>
        <v>1.6836937914292507</v>
      </c>
      <c r="CM99" s="21">
        <f>EXP(-LN(2)/2)*CM98+(1-EXP(-LN(2)/2))/(LN(2)/2)*CG99*CJ99*VLOOKUP('Données projet'!$B$12,Paramètres!$A$1:$I$89,3,0)*0.475*44/12</f>
        <v>1.1135007477713694E-9</v>
      </c>
      <c r="CN99" s="22">
        <f t="shared" si="66"/>
        <v>3.9001224460983281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5.6</v>
      </c>
      <c r="CT99" s="12">
        <f>IF('Données projet'!$A$140&gt;35,CT98+CS99-DB98,IF(A99&lt;'Données projet'!$A$140,$CQ$205^A99,IF(A99='Données projet'!$A$140,'Données projet'!$B$140,CT98+CS99-DB98)))</f>
        <v>310.59999999999991</v>
      </c>
      <c r="CU99" s="17">
        <f>CT99*VLOOKUP('Données projet'!$B$13,Paramètres!$A$1:$I$89,3,0)*VLOOKUP('Données projet'!$B$13,Paramètres!$A$1:$I$89,5,0)</f>
        <v>334.32983999999988</v>
      </c>
      <c r="CV99" s="13">
        <f t="shared" si="95"/>
        <v>78.327311299804165</v>
      </c>
      <c r="CW99" s="20">
        <f t="shared" si="67"/>
        <v>718.71120518049202</v>
      </c>
      <c r="CX99" s="59">
        <f t="shared" si="68"/>
        <v>1012.0445385138253</v>
      </c>
      <c r="CY99" s="59">
        <f ca="1">AVERAGE(OFFSET($CX$3,0,0,'Données projet'!$E$13+1,1))-AVERAGE(OFFSET($H$3,0,0,'Données projet'!$E$13+1,1))</f>
        <v>475.01366239340246</v>
      </c>
      <c r="CZ99" s="59">
        <f t="shared" si="96"/>
        <v>322.81767004794284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2.3528242630051457</v>
      </c>
      <c r="DG99" s="21">
        <f>EXP(-LN(2)/25)*DG98+(1-EXP(-LN(2)/25))/(LN(2)/25)*Calculateur!DB99*Calculateur!DD99*VLOOKUP('Données projet'!$B$13,Paramètres!$A$1:$I$89,3,0)*0.475*44/12</f>
        <v>1.7873057170556639</v>
      </c>
      <c r="DH99" s="21">
        <f>EXP(-LN(2)/2)*DH98+(1-EXP(-LN(2)/2))/(LN(2)/2)*DB99*DE99*VLOOKUP('Données projet'!$B$13,Paramètres!$A$1:$I$89,3,0)*0.475*44/12</f>
        <v>1.1820238707111463E-9</v>
      </c>
      <c r="DI99" s="22">
        <f t="shared" si="69"/>
        <v>4.1401299812428336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2.0572770154103635E-13</v>
      </c>
      <c r="DQ99" s="13">
        <f t="shared" si="97"/>
        <v>2.8416956338469711E-12</v>
      </c>
      <c r="DR99" s="20">
        <f t="shared" si="70"/>
        <v>5.3075956424674458E-12</v>
      </c>
      <c r="DS99" s="59">
        <f t="shared" si="71"/>
        <v>293.3333333333386</v>
      </c>
      <c r="DT99" s="59">
        <f ca="1">AVERAGE(OFFSET($DS$3,0,0,'Données projet'!$E$14+1,1))-AVERAGE(OFFSET($H$3,0,0,'Données projet'!$E$14+1,1))</f>
        <v>436.23918637269577</v>
      </c>
      <c r="DU99" s="59">
        <f t="shared" si="98"/>
        <v>611.43967996341894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0.89140471172983826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5.4953684483284846E-10</v>
      </c>
      <c r="ED99" s="22">
        <f t="shared" si="72"/>
        <v>0.89140471227937512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305.82863999999995</v>
      </c>
      <c r="P100" s="13">
        <f t="shared" si="87"/>
        <v>72.396998509767741</v>
      </c>
      <c r="Q100" s="20">
        <f t="shared" si="107"/>
        <v>658.74298707117862</v>
      </c>
      <c r="R100" s="59">
        <f t="shared" si="55"/>
        <v>952.07632040451199</v>
      </c>
      <c r="S100" s="59">
        <f ca="1">AVERAGE(OFFSET($R$3,0,0,'Données projet'!$E$9+1,1))-AVERAGE(OFFSET($H$3,0,0,'Données projet'!$E$9+1,1))</f>
        <v>430.94515308997018</v>
      </c>
      <c r="T100" s="59">
        <f t="shared" si="88"/>
        <v>294.45557293177131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2.07267510849131</v>
      </c>
      <c r="AA100" s="21">
        <f>EXP(-LN(2)/25)*AA99+(1-EXP(-LN(2)/25))/(LN(2)/25)*Calculateur!V100*Calculateur!X100*VLOOKUP('Données projet'!$B$9,Paramètres!$A$1:$I$89,3,0)*0.475*44/12</f>
        <v>1.562069107107424</v>
      </c>
      <c r="AB100" s="21">
        <f>EXP(-LN(2)/2)*AB99+(1-EXP(-LN(2)/2))/(LN(2)/2)*V100*Y100*VLOOKUP('Données projet'!$B$9,Paramètres!$A$1:$I$89,3,0)*0.475*44/12</f>
        <v>7.5102405593133033E-10</v>
      </c>
      <c r="AC100" s="22">
        <f t="shared" si="57"/>
        <v>3.6347442163497581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619.99999999999989</v>
      </c>
      <c r="AJ100" s="13">
        <f>AI100*VLOOKUP('Données projet'!$B$10,Paramètres!$A$1:$I$89,3,0)*VLOOKUP('Données projet'!$B$10,Paramètres!$A$1:$I$89,5,0)</f>
        <v>290.15999999999997</v>
      </c>
      <c r="AK100" s="13">
        <f t="shared" si="89"/>
        <v>69.109634717039938</v>
      </c>
      <c r="AL100" s="20">
        <f t="shared" si="58"/>
        <v>625.72794713217797</v>
      </c>
      <c r="AM100" s="59">
        <f t="shared" si="59"/>
        <v>919.06128046551135</v>
      </c>
      <c r="AN100" s="59">
        <f ca="1">AVERAGE(OFFSET($AM$3,0,0,'Données projet'!$E$10+1,1))-AVERAGE(OFFSET($H$3,0,0,'Données projet'!$E$10+1,1))</f>
        <v>319.22903094674564</v>
      </c>
      <c r="AO100" s="59">
        <f t="shared" si="90"/>
        <v>254.58690973142848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2.4079366914026545</v>
      </c>
      <c r="AV100" s="21">
        <f>EXP(-LN(2)/25)*AV99+(1-EXP(-LN(2)/25))/(LN(2)/25)*Calculateur!AQ100*Calculateur!AS100*VLOOKUP('Données projet'!$B$10,Paramètres!$A$1:$I$89,3,0)*0.475*44/12</f>
        <v>1.7400667108847738</v>
      </c>
      <c r="AW100" s="21">
        <f>EXP(-LN(2)/2)*AW99+(1-EXP(-LN(2)/2))/(LN(2)/2)*AQ100*AT100*VLOOKUP('Données projet'!$B$10,Paramètres!$A$1:$I$89,3,0)*0.475*44/12</f>
        <v>9.0904896489854849E-10</v>
      </c>
      <c r="AX100" s="21">
        <f t="shared" si="60"/>
        <v>4.1480034031964772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52.6</v>
      </c>
      <c r="BD100" s="12">
        <f>IF('Données projet'!$A$88&gt;35,BD99+BC100-BL99,IF(A100&lt;'Données projet'!$A$88,$BA$205^A100,IF(A100='Données projet'!$A$88,'Données projet'!$B$88,BD99+BC100-BL99)))</f>
        <v>362.19999999999993</v>
      </c>
      <c r="BE100" s="13">
        <f>BD100*VLOOKUP('Données projet'!$B$11,Paramètres!$A$1:$I$89,3,0)*VLOOKUP('Données projet'!$B$11,Paramètres!$A$1:$I$89,5,0)</f>
        <v>316.41791999999998</v>
      </c>
      <c r="BF100" s="13">
        <f t="shared" si="91"/>
        <v>74.607544650424046</v>
      </c>
      <c r="BG100" s="20">
        <f t="shared" si="61"/>
        <v>681.03601759948845</v>
      </c>
      <c r="BH100" s="59">
        <f t="shared" si="62"/>
        <v>974.36935093282182</v>
      </c>
      <c r="BI100" s="59">
        <f ca="1">AVERAGE(OFFSET($BH$3,0,0,'Données projet'!$E$11+1,1))-AVERAGE(OFFSET($H$3,0,0,'Données projet'!$E$11+1,1))</f>
        <v>395.21779046720553</v>
      </c>
      <c r="BJ100" s="59">
        <f t="shared" si="92"/>
        <v>360.05900046417361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1.2765303041307661</v>
      </c>
      <c r="BQ100" s="21">
        <f>EXP(-LN(2)/25)*BQ99+(1-EXP(-LN(2)/25))/(LN(2)/25)*Calculateur!BL100*Calculateur!BN100*VLOOKUP('Données projet'!$B$11,Paramètres!$A$1:$I$89,3,0)*0.475*44/12</f>
        <v>1.7601710490592259</v>
      </c>
      <c r="BR100" s="21">
        <f>EXP(-LN(2)/2)*BR99+(1-EXP(-LN(2)/2))/(LN(2)/2)*BL100*BO100*VLOOKUP('Données projet'!$B$11,Paramètres!$A$1:$I$89,3,0)*0.475*44/12</f>
        <v>5.7602112788219637E-10</v>
      </c>
      <c r="BS100" s="22">
        <f t="shared" si="63"/>
        <v>3.0367013537660128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5.6</v>
      </c>
      <c r="BY100" s="12">
        <f>IF('Données projet'!$A$114&gt;35,BY99+BX100-CG99,IF(A100&lt;'Données projet'!$A$114,$BV$205^A100,IF(A100='Données projet'!$A$114,'Données projet'!$B$114,BY99+BX100-CG99)))</f>
        <v>316.19999999999993</v>
      </c>
      <c r="BZ100" s="13">
        <f>BY100*VLOOKUP('Données projet'!$B$12,Paramètres!$A$1:$I$89,3,0)*VLOOKUP('Données projet'!$B$12,Paramètres!$A$1:$I$89,5,0)</f>
        <v>320.62679999999995</v>
      </c>
      <c r="CA100" s="13">
        <f t="shared" si="93"/>
        <v>75.483756735990909</v>
      </c>
      <c r="CB100" s="20">
        <f t="shared" si="64"/>
        <v>689.89255298185071</v>
      </c>
      <c r="CC100" s="59">
        <f t="shared" si="65"/>
        <v>983.22588631518397</v>
      </c>
      <c r="CD100" s="59">
        <f ca="1">AVERAGE(OFFSET($CC$3,0,0,'Données projet'!$E$12+1,1))-AVERAGE(OFFSET($H$3,0,0,'Données projet'!$E$12+1,1))</f>
        <v>449.84356201138451</v>
      </c>
      <c r="CE100" s="59">
        <f t="shared" si="94"/>
        <v>306.61893266146666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2.1729658395473423</v>
      </c>
      <c r="CL100" s="21">
        <f>EXP(-LN(2)/25)*CL99+(1-EXP(-LN(2)/25))/(LN(2)/25)*Calculateur!CG100*Calculateur!CI100*VLOOKUP('Données projet'!$B$12,Paramètres!$A$1:$I$89,3,0)*0.475*44/12</f>
        <v>1.6376530961610094</v>
      </c>
      <c r="CM100" s="21">
        <f>EXP(-LN(2)/2)*CM99+(1-EXP(-LN(2)/2))/(LN(2)/2)*CG100*CJ100*VLOOKUP('Données projet'!$B$12,Paramètres!$A$1:$I$89,3,0)*0.475*44/12</f>
        <v>7.8736392960542677E-10</v>
      </c>
      <c r="CN100" s="22">
        <f t="shared" si="66"/>
        <v>3.8106189364957155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5.6</v>
      </c>
      <c r="CT100" s="12">
        <f>IF('Données projet'!$A$140&gt;35,CT99+CS100-DB99,IF(A100&lt;'Données projet'!$A$140,$CQ$205^A100,IF(A100='Données projet'!$A$140,'Données projet'!$B$140,CT99+CS100-DB99)))</f>
        <v>316.19999999999993</v>
      </c>
      <c r="CU100" s="17">
        <f>CT100*VLOOKUP('Données projet'!$B$13,Paramètres!$A$1:$I$89,3,0)*VLOOKUP('Données projet'!$B$13,Paramètres!$A$1:$I$89,5,0)</f>
        <v>340.3576799999999</v>
      </c>
      <c r="CV100" s="13">
        <f t="shared" si="95"/>
        <v>79.573840851595449</v>
      </c>
      <c r="CW100" s="20">
        <f t="shared" si="67"/>
        <v>731.38073214986196</v>
      </c>
      <c r="CX100" s="59">
        <f t="shared" si="68"/>
        <v>1024.7140654831953</v>
      </c>
      <c r="CY100" s="59">
        <f ca="1">AVERAGE(OFFSET($CX$3,0,0,'Données projet'!$E$13+1,1))-AVERAGE(OFFSET($H$3,0,0,'Données projet'!$E$13+1,1))</f>
        <v>475.01366239340246</v>
      </c>
      <c r="CZ100" s="59">
        <f t="shared" si="96"/>
        <v>322.81767004794284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2.3066868142887129</v>
      </c>
      <c r="DG100" s="21">
        <f>EXP(-LN(2)/25)*DG99+(1-EXP(-LN(2)/25))/(LN(2)/25)*Calculateur!DB100*Calculateur!DD100*VLOOKUP('Données projet'!$B$13,Paramètres!$A$1:$I$89,3,0)*0.475*44/12</f>
        <v>1.7384317482324541</v>
      </c>
      <c r="DH100" s="21">
        <f>EXP(-LN(2)/2)*DH99+(1-EXP(-LN(2)/2))/(LN(2)/2)*DB100*DE100*VLOOKUP('Données projet'!$B$13,Paramètres!$A$1:$I$89,3,0)*0.475*44/12</f>
        <v>8.3581709450422247E-10</v>
      </c>
      <c r="DI100" s="22">
        <f t="shared" si="69"/>
        <v>4.0451185633569837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2.0572770154103635E-13</v>
      </c>
      <c r="DQ100" s="13">
        <f t="shared" si="97"/>
        <v>2.8416956338469711E-12</v>
      </c>
      <c r="DR100" s="20">
        <f t="shared" si="70"/>
        <v>5.3075956424674458E-12</v>
      </c>
      <c r="DS100" s="59">
        <f t="shared" si="71"/>
        <v>293.3333333333386</v>
      </c>
      <c r="DT100" s="59">
        <f ca="1">AVERAGE(OFFSET($DS$3,0,0,'Données projet'!$E$14+1,1))-AVERAGE(OFFSET($H$3,0,0,'Données projet'!$E$14+1,1))</f>
        <v>436.23918637269577</v>
      </c>
      <c r="DU100" s="59">
        <f t="shared" si="98"/>
        <v>611.43967996341894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0.87392480903600411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3.8858122949316671E-10</v>
      </c>
      <c r="ED100" s="22">
        <f t="shared" si="72"/>
        <v>0.87392480942458539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311.24495999999994</v>
      </c>
      <c r="P101" s="13">
        <f t="shared" si="87"/>
        <v>73.528766691722723</v>
      </c>
      <c r="Q101" s="20">
        <f t="shared" si="107"/>
        <v>670.14757398808365</v>
      </c>
      <c r="R101" s="59">
        <f t="shared" si="55"/>
        <v>963.48090732141691</v>
      </c>
      <c r="S101" s="59">
        <f ca="1">AVERAGE(OFFSET($R$3,0,0,'Données projet'!$E$9+1,1))-AVERAGE(OFFSET($H$3,0,0,'Données projet'!$E$9+1,1))</f>
        <v>430.94515308997018</v>
      </c>
      <c r="T101" s="59">
        <f t="shared" si="88"/>
        <v>294.45557293177131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2.0320312138207814</v>
      </c>
      <c r="AA101" s="21">
        <f>EXP(-LN(2)/25)*AA100+(1-EXP(-LN(2)/25))/(LN(2)/25)*Calculateur!V101*Calculateur!X101*VLOOKUP('Données projet'!$B$9,Paramètres!$A$1:$I$89,3,0)*0.475*44/12</f>
        <v>1.5193542452279272</v>
      </c>
      <c r="AB101" s="21">
        <f>EXP(-LN(2)/2)*AB100+(1-EXP(-LN(2)/2))/(LN(2)/2)*V101*Y101*VLOOKUP('Données projet'!$B$9,Paramètres!$A$1:$I$89,3,0)*0.475*44/12</f>
        <v>5.3105420278326862E-10</v>
      </c>
      <c r="AC101" s="22">
        <f t="shared" si="57"/>
        <v>3.5513854595797629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638.49999999999989</v>
      </c>
      <c r="AJ101" s="13">
        <f>AI101*VLOOKUP('Données projet'!$B$10,Paramètres!$A$1:$I$89,3,0)*VLOOKUP('Données projet'!$B$10,Paramètres!$A$1:$I$89,5,0)</f>
        <v>298.81799999999993</v>
      </c>
      <c r="AK101" s="13">
        <f t="shared" si="89"/>
        <v>70.928613970256563</v>
      </c>
      <c r="AL101" s="20">
        <f t="shared" si="58"/>
        <v>643.97535266486341</v>
      </c>
      <c r="AM101" s="59">
        <f t="shared" si="59"/>
        <v>937.30868599819678</v>
      </c>
      <c r="AN101" s="59">
        <f ca="1">AVERAGE(OFFSET($AM$3,0,0,'Données projet'!$E$10+1,1))-AVERAGE(OFFSET($H$3,0,0,'Données projet'!$E$10+1,1))</f>
        <v>319.22903094674564</v>
      </c>
      <c r="AO101" s="59">
        <f t="shared" si="90"/>
        <v>254.58690973142848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2.3607185215806084</v>
      </c>
      <c r="AV101" s="21">
        <f>EXP(-LN(2)/25)*AV100+(1-EXP(-LN(2)/25))/(LN(2)/25)*Calculateur!AQ101*Calculateur!AS101*VLOOKUP('Données projet'!$B$10,Paramètres!$A$1:$I$89,3,0)*0.475*44/12</f>
        <v>1.6924844951694984</v>
      </c>
      <c r="AW101" s="21">
        <f>EXP(-LN(2)/2)*AW100+(1-EXP(-LN(2)/2))/(LN(2)/2)*AQ101*AT101*VLOOKUP('Données projet'!$B$10,Paramètres!$A$1:$I$89,3,0)*0.475*44/12</f>
        <v>6.4279468751037549E-10</v>
      </c>
      <c r="AX101" s="21">
        <f t="shared" si="60"/>
        <v>4.0532030173929012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52.6</v>
      </c>
      <c r="BD101" s="12">
        <f>IF('Données projet'!$A$88&gt;35,BD100+BC101-BL100,IF(A101&lt;'Données projet'!$A$88,$BA$205^A101,IF(A101='Données projet'!$A$88,'Données projet'!$B$88,BD100+BC101-BL100)))</f>
        <v>414.79999999999995</v>
      </c>
      <c r="BE101" s="13">
        <f>BD101*VLOOKUP('Données projet'!$B$11,Paramètres!$A$1:$I$89,3,0)*VLOOKUP('Données projet'!$B$11,Paramètres!$A$1:$I$89,5,0)</f>
        <v>362.36928</v>
      </c>
      <c r="BF101" s="13">
        <f t="shared" si="91"/>
        <v>84.104303405322824</v>
      </c>
      <c r="BG101" s="20">
        <f t="shared" si="61"/>
        <v>777.60815776427069</v>
      </c>
      <c r="BH101" s="59">
        <f t="shared" si="62"/>
        <v>1070.9414910976041</v>
      </c>
      <c r="BI101" s="59">
        <f ca="1">AVERAGE(OFFSET($BH$3,0,0,'Données projet'!$E$11+1,1))-AVERAGE(OFFSET($H$3,0,0,'Données projet'!$E$11+1,1))</f>
        <v>395.21779046720553</v>
      </c>
      <c r="BJ101" s="59">
        <f t="shared" si="92"/>
        <v>360.05900046417361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1.2514983234733663</v>
      </c>
      <c r="BQ101" s="21">
        <f>EXP(-LN(2)/25)*BQ100+(1-EXP(-LN(2)/25))/(LN(2)/25)*Calculateur!BL101*Calculateur!BN101*VLOOKUP('Données projet'!$B$11,Paramètres!$A$1:$I$89,3,0)*0.475*44/12</f>
        <v>1.712039079159329</v>
      </c>
      <c r="BR101" s="21">
        <f>EXP(-LN(2)/2)*BR100+(1-EXP(-LN(2)/2))/(LN(2)/2)*BL101*BO101*VLOOKUP('Données projet'!$B$11,Paramètres!$A$1:$I$89,3,0)*0.475*44/12</f>
        <v>4.0730844563222455E-10</v>
      </c>
      <c r="BS101" s="22">
        <f t="shared" si="63"/>
        <v>2.9635374030400037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5.6</v>
      </c>
      <c r="BY101" s="12">
        <f>IF('Données projet'!$A$114&gt;35,BY100+BX101-CG100,IF(A101&lt;'Données projet'!$A$114,$BV$205^A101,IF(A101='Données projet'!$A$114,'Données projet'!$B$114,BY100+BX101-CG100)))</f>
        <v>321.79999999999995</v>
      </c>
      <c r="BZ101" s="13">
        <f>BY101*VLOOKUP('Données projet'!$B$12,Paramètres!$A$1:$I$89,3,0)*VLOOKUP('Données projet'!$B$12,Paramètres!$A$1:$I$89,5,0)</f>
        <v>326.30520000000001</v>
      </c>
      <c r="CA101" s="13">
        <f t="shared" si="93"/>
        <v>76.663779608302349</v>
      </c>
      <c r="CB101" s="20">
        <f t="shared" si="64"/>
        <v>701.83763948445983</v>
      </c>
      <c r="CC101" s="59">
        <f t="shared" si="65"/>
        <v>995.1709728177932</v>
      </c>
      <c r="CD101" s="59">
        <f ca="1">AVERAGE(OFFSET($CC$3,0,0,'Données projet'!$E$12+1,1))-AVERAGE(OFFSET($H$3,0,0,'Données projet'!$E$12+1,1))</f>
        <v>449.84356201138451</v>
      </c>
      <c r="CE101" s="59">
        <f t="shared" si="94"/>
        <v>306.61893266146666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2.1303553048121109</v>
      </c>
      <c r="CL101" s="21">
        <f>EXP(-LN(2)/25)*CL100+(1-EXP(-LN(2)/25))/(LN(2)/25)*Calculateur!CG101*Calculateur!CI101*VLOOKUP('Données projet'!$B$12,Paramètres!$A$1:$I$89,3,0)*0.475*44/12</f>
        <v>1.5928713861260533</v>
      </c>
      <c r="CM101" s="21">
        <f>EXP(-LN(2)/2)*CM100+(1-EXP(-LN(2)/2))/(LN(2)/2)*CG101*CJ101*VLOOKUP('Données projet'!$B$12,Paramètres!$A$1:$I$89,3,0)*0.475*44/12</f>
        <v>5.5675037388568471E-10</v>
      </c>
      <c r="CN101" s="22">
        <f t="shared" si="66"/>
        <v>3.7232266914949141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5.6</v>
      </c>
      <c r="CT101" s="12">
        <f>IF('Données projet'!$A$140&gt;35,CT100+CS101-DB100,IF(A101&lt;'Données projet'!$A$140,$CQ$205^A101,IF(A101='Données projet'!$A$140,'Données projet'!$B$140,CT100+CS101-DB100)))</f>
        <v>321.79999999999995</v>
      </c>
      <c r="CU101" s="17">
        <f>CT101*VLOOKUP('Données projet'!$B$13,Paramètres!$A$1:$I$89,3,0)*VLOOKUP('Données projet'!$B$13,Paramètres!$A$1:$I$89,5,0)</f>
        <v>346.38551999999993</v>
      </c>
      <c r="CV101" s="13">
        <f t="shared" si="95"/>
        <v>80.817803212543794</v>
      </c>
      <c r="CW101" s="20">
        <f t="shared" si="67"/>
        <v>744.04578792851362</v>
      </c>
      <c r="CX101" s="59">
        <f t="shared" si="68"/>
        <v>1037.3791212618469</v>
      </c>
      <c r="CY101" s="59">
        <f ca="1">AVERAGE(OFFSET($CX$3,0,0,'Données projet'!$E$13+1,1))-AVERAGE(OFFSET($H$3,0,0,'Données projet'!$E$13+1,1))</f>
        <v>475.01366239340246</v>
      </c>
      <c r="CZ101" s="59">
        <f t="shared" si="96"/>
        <v>322.81767004794284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2.2614540928005442</v>
      </c>
      <c r="DG101" s="21">
        <f>EXP(-LN(2)/25)*DG100+(1-EXP(-LN(2)/25))/(LN(2)/25)*Calculateur!DB101*Calculateur!DD101*VLOOKUP('Données projet'!$B$13,Paramètres!$A$1:$I$89,3,0)*0.475*44/12</f>
        <v>1.6908942406568852</v>
      </c>
      <c r="DH101" s="21">
        <f>EXP(-LN(2)/2)*DH100+(1-EXP(-LN(2)/2))/(LN(2)/2)*DB101*DE101*VLOOKUP('Données projet'!$B$13,Paramètres!$A$1:$I$89,3,0)*0.475*44/12</f>
        <v>5.9101193535557315E-10</v>
      </c>
      <c r="DI101" s="22">
        <f t="shared" si="69"/>
        <v>3.9523483340484415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2.0572770154103635E-13</v>
      </c>
      <c r="DQ101" s="13">
        <f t="shared" si="97"/>
        <v>2.8416956338469711E-12</v>
      </c>
      <c r="DR101" s="20">
        <f t="shared" si="70"/>
        <v>5.3075956424674458E-12</v>
      </c>
      <c r="DS101" s="59">
        <f t="shared" si="71"/>
        <v>293.3333333333386</v>
      </c>
      <c r="DT101" s="59">
        <f ca="1">AVERAGE(OFFSET($DS$3,0,0,'Données projet'!$E$14+1,1))-AVERAGE(OFFSET($H$3,0,0,'Données projet'!$E$14+1,1))</f>
        <v>436.23918637269577</v>
      </c>
      <c r="DU101" s="59">
        <f t="shared" si="98"/>
        <v>611.43967996341894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0.85678767657230814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2.7476842241642423E-10</v>
      </c>
      <c r="ED101" s="22">
        <f t="shared" si="72"/>
        <v>0.85678767684707657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316.66127999999998</v>
      </c>
      <c r="P102" s="13">
        <f t="shared" si="87"/>
        <v>74.658244555385821</v>
      </c>
      <c r="Q102" s="20">
        <f t="shared" si="107"/>
        <v>681.54817193396354</v>
      </c>
      <c r="R102" s="59">
        <f t="shared" si="55"/>
        <v>974.88150526729692</v>
      </c>
      <c r="S102" s="59">
        <f ca="1">AVERAGE(OFFSET($R$3,0,0,'Données projet'!$E$9+1,1))-AVERAGE(OFFSET($H$3,0,0,'Données projet'!$E$9+1,1))</f>
        <v>430.94515308997018</v>
      </c>
      <c r="T102" s="59">
        <f t="shared" si="88"/>
        <v>294.45557293177131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1.9921843211344141</v>
      </c>
      <c r="AA102" s="21">
        <f>EXP(-LN(2)/25)*AA101+(1-EXP(-LN(2)/25))/(LN(2)/25)*Calculateur!V102*Calculateur!X102*VLOOKUP('Données projet'!$B$9,Paramètres!$A$1:$I$89,3,0)*0.475*44/12</f>
        <v>1.4778074234928023</v>
      </c>
      <c r="AB102" s="21">
        <f>EXP(-LN(2)/2)*AB101+(1-EXP(-LN(2)/2))/(LN(2)/2)*V102*Y102*VLOOKUP('Données projet'!$B$9,Paramètres!$A$1:$I$89,3,0)*0.475*44/12</f>
        <v>3.7551202796566517E-10</v>
      </c>
      <c r="AC102" s="22">
        <f t="shared" si="57"/>
        <v>3.4699917450027282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656.99999999999989</v>
      </c>
      <c r="AJ102" s="13">
        <f>AI102*VLOOKUP('Données projet'!$B$10,Paramètres!$A$1:$I$89,3,0)*VLOOKUP('Données projet'!$B$10,Paramètres!$A$1:$I$89,5,0)</f>
        <v>307.47599999999994</v>
      </c>
      <c r="AK102" s="13">
        <f t="shared" si="89"/>
        <v>72.741467976269988</v>
      </c>
      <c r="AL102" s="20">
        <f t="shared" si="58"/>
        <v>662.21209005867013</v>
      </c>
      <c r="AM102" s="59">
        <f t="shared" si="59"/>
        <v>955.54542339200339</v>
      </c>
      <c r="AN102" s="59">
        <f ca="1">AVERAGE(OFFSET($AM$3,0,0,'Données projet'!$E$10+1,1))-AVERAGE(OFFSET($H$3,0,0,'Données projet'!$E$10+1,1))</f>
        <v>319.22903094674564</v>
      </c>
      <c r="AO102" s="59">
        <f t="shared" si="90"/>
        <v>254.58690973142848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2.3144262712685331</v>
      </c>
      <c r="AV102" s="21">
        <f>EXP(-LN(2)/25)*AV101+(1-EXP(-LN(2)/25))/(LN(2)/25)*Calculateur!AQ102*Calculateur!AS102*VLOOKUP('Données projet'!$B$10,Paramètres!$A$1:$I$89,3,0)*0.475*44/12</f>
        <v>1.6462034176451972</v>
      </c>
      <c r="AW102" s="21">
        <f>EXP(-LN(2)/2)*AW101+(1-EXP(-LN(2)/2))/(LN(2)/2)*AQ102*AT102*VLOOKUP('Données projet'!$B$10,Paramètres!$A$1:$I$89,3,0)*0.475*44/12</f>
        <v>4.545244824492743E-10</v>
      </c>
      <c r="AX102" s="21">
        <f t="shared" si="60"/>
        <v>3.9606296893682549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52.6</v>
      </c>
      <c r="BD102" s="12">
        <f>IF('Données projet'!$A$88&gt;35,BD101+BC102-BL101,IF(A102&lt;'Données projet'!$A$88,$BA$205^A102,IF(A102='Données projet'!$A$88,'Données projet'!$B$88,BD101+BC102-BL101)))</f>
        <v>467.4</v>
      </c>
      <c r="BE102" s="13">
        <f>BD102*VLOOKUP('Données projet'!$B$11,Paramètres!$A$1:$I$89,3,0)*VLOOKUP('Données projet'!$B$11,Paramètres!$A$1:$I$89,5,0)</f>
        <v>408.32064000000008</v>
      </c>
      <c r="BF102" s="13">
        <f t="shared" si="91"/>
        <v>93.461520696349069</v>
      </c>
      <c r="BG102" s="20">
        <f t="shared" si="61"/>
        <v>873.93726321280803</v>
      </c>
      <c r="BH102" s="59">
        <f t="shared" si="62"/>
        <v>1167.2705965461414</v>
      </c>
      <c r="BI102" s="59">
        <f ca="1">AVERAGE(OFFSET($BH$3,0,0,'Données projet'!$E$11+1,1))-AVERAGE(OFFSET($H$3,0,0,'Données projet'!$E$11+1,1))</f>
        <v>395.21779046720553</v>
      </c>
      <c r="BJ102" s="59">
        <f t="shared" si="92"/>
        <v>360.05900046417361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1.2269572046886574</v>
      </c>
      <c r="BQ102" s="21">
        <f>EXP(-LN(2)/25)*BQ101+(1-EXP(-LN(2)/25))/(LN(2)/25)*Calculateur!BL102*Calculateur!BN102*VLOOKUP('Données projet'!$B$11,Paramètres!$A$1:$I$89,3,0)*0.475*44/12</f>
        <v>1.6652232805074949</v>
      </c>
      <c r="BR102" s="21">
        <f>EXP(-LN(2)/2)*BR101+(1-EXP(-LN(2)/2))/(LN(2)/2)*BL102*BO102*VLOOKUP('Données projet'!$B$11,Paramètres!$A$1:$I$89,3,0)*0.475*44/12</f>
        <v>2.8801056394109819E-10</v>
      </c>
      <c r="BS102" s="22">
        <f t="shared" si="63"/>
        <v>2.8921804854841628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5.6</v>
      </c>
      <c r="BY102" s="12">
        <f>IF('Données projet'!$A$114&gt;35,BY101+BX102-CG101,IF(A102&lt;'Données projet'!$A$114,$BV$205^A102,IF(A102='Données projet'!$A$114,'Données projet'!$B$114,BY101+BX102-CG101)))</f>
        <v>327.39999999999998</v>
      </c>
      <c r="BZ102" s="13">
        <f>BY102*VLOOKUP('Données projet'!$B$12,Paramètres!$A$1:$I$89,3,0)*VLOOKUP('Données projet'!$B$12,Paramètres!$A$1:$I$89,5,0)</f>
        <v>331.98360000000002</v>
      </c>
      <c r="CA102" s="13">
        <f t="shared" si="93"/>
        <v>77.841414511052207</v>
      </c>
      <c r="CB102" s="20">
        <f t="shared" si="64"/>
        <v>713.77856694008267</v>
      </c>
      <c r="CC102" s="59">
        <f t="shared" si="65"/>
        <v>1007.111900273416</v>
      </c>
      <c r="CD102" s="59">
        <f ca="1">AVERAGE(OFFSET($CC$3,0,0,'Données projet'!$E$12+1,1))-AVERAGE(OFFSET($H$3,0,0,'Données projet'!$E$12+1,1))</f>
        <v>449.84356201138451</v>
      </c>
      <c r="CE102" s="59">
        <f t="shared" si="94"/>
        <v>306.61893266146666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2.0885803366731772</v>
      </c>
      <c r="CL102" s="21">
        <f>EXP(-LN(2)/25)*CL101+(1-EXP(-LN(2)/25))/(LN(2)/25)*Calculateur!CG102*Calculateur!CI102*VLOOKUP('Données projet'!$B$12,Paramètres!$A$1:$I$89,3,0)*0.475*44/12</f>
        <v>1.5493142343069708</v>
      </c>
      <c r="CM102" s="21">
        <f>EXP(-LN(2)/2)*CM101+(1-EXP(-LN(2)/2))/(LN(2)/2)*CG102*CJ102*VLOOKUP('Données projet'!$B$12,Paramètres!$A$1:$I$89,3,0)*0.475*44/12</f>
        <v>3.9368196480271339E-10</v>
      </c>
      <c r="CN102" s="22">
        <f t="shared" si="66"/>
        <v>3.6378945713738298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5.6</v>
      </c>
      <c r="CT102" s="12">
        <f>IF('Données projet'!$A$140&gt;35,CT101+CS102-DB101,IF(A102&lt;'Données projet'!$A$140,$CQ$205^A102,IF(A102='Données projet'!$A$140,'Données projet'!$B$140,CT101+CS102-DB101)))</f>
        <v>327.39999999999998</v>
      </c>
      <c r="CU102" s="17">
        <f>CT102*VLOOKUP('Données projet'!$B$13,Paramètres!$A$1:$I$89,3,0)*VLOOKUP('Données projet'!$B$13,Paramètres!$A$1:$I$89,5,0)</f>
        <v>352.41335999999995</v>
      </c>
      <c r="CV102" s="13">
        <f t="shared" si="95"/>
        <v>82.059248211902457</v>
      </c>
      <c r="CW102" s="20">
        <f t="shared" si="67"/>
        <v>756.70645930239664</v>
      </c>
      <c r="CX102" s="59">
        <f t="shared" si="68"/>
        <v>1050.03979263573</v>
      </c>
      <c r="CY102" s="59">
        <f ca="1">AVERAGE(OFFSET($CX$3,0,0,'Données projet'!$E$13+1,1))-AVERAGE(OFFSET($H$3,0,0,'Données projet'!$E$13+1,1))</f>
        <v>475.01366239340246</v>
      </c>
      <c r="CZ102" s="59">
        <f t="shared" si="96"/>
        <v>322.81767004794284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2.2171083573915227</v>
      </c>
      <c r="DG102" s="21">
        <f>EXP(-LN(2)/25)*DG101+(1-EXP(-LN(2)/25))/(LN(2)/25)*Calculateur!DB102*Calculateur!DD102*VLOOKUP('Données projet'!$B$13,Paramètres!$A$1:$I$89,3,0)*0.475*44/12</f>
        <v>1.6446566487258591</v>
      </c>
      <c r="DH102" s="21">
        <f>EXP(-LN(2)/2)*DH101+(1-EXP(-LN(2)/2))/(LN(2)/2)*DB102*DE102*VLOOKUP('Données projet'!$B$13,Paramètres!$A$1:$I$89,3,0)*0.475*44/12</f>
        <v>4.1790854725211124E-10</v>
      </c>
      <c r="DI102" s="22">
        <f t="shared" si="69"/>
        <v>3.8617650065352902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2.0572770154103635E-13</v>
      </c>
      <c r="DQ102" s="13">
        <f t="shared" si="97"/>
        <v>2.8416956338469711E-12</v>
      </c>
      <c r="DR102" s="20">
        <f t="shared" si="70"/>
        <v>5.3075956424674458E-12</v>
      </c>
      <c r="DS102" s="59">
        <f t="shared" si="71"/>
        <v>293.3333333333386</v>
      </c>
      <c r="DT102" s="59">
        <f ca="1">AVERAGE(OFFSET($DS$3,0,0,'Données projet'!$E$14+1,1))-AVERAGE(OFFSET($H$3,0,0,'Données projet'!$E$14+1,1))</f>
        <v>436.23918637269577</v>
      </c>
      <c r="DU102" s="59">
        <f t="shared" si="98"/>
        <v>611.43967996341894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0.83998659282360655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1.9429061474658335E-10</v>
      </c>
      <c r="ED102" s="22">
        <f t="shared" si="72"/>
        <v>0.83998659301789713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322.07760000000002</v>
      </c>
      <c r="P103" s="13">
        <f t="shared" si="87"/>
        <v>75.785475796129461</v>
      </c>
      <c r="Q103" s="20">
        <f t="shared" si="107"/>
        <v>692.94485701159203</v>
      </c>
      <c r="R103" s="59">
        <f t="shared" si="55"/>
        <v>986.27819034492541</v>
      </c>
      <c r="S103" s="59">
        <f ca="1">AVERAGE(OFFSET($R$3,0,0,'Données projet'!$E$9+1,1))-AVERAGE(OFFSET($H$3,0,0,'Données projet'!$E$9+1,1))</f>
        <v>430.94515308997018</v>
      </c>
      <c r="T103" s="59">
        <f t="shared" si="88"/>
        <v>294.45557293177131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333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1.9531188017094219</v>
      </c>
      <c r="AA103" s="21">
        <f>EXP(-LN(2)/25)*AA102+(1-EXP(-LN(2)/25))/(LN(2)/25)*Calculateur!V103*Calculateur!X103*VLOOKUP('Données projet'!$B$9,Paramètres!$A$1:$I$89,3,0)*0.475*44/12</f>
        <v>1.4373967017828768</v>
      </c>
      <c r="AB103" s="21">
        <f>EXP(-LN(2)/2)*AB102+(1-EXP(-LN(2)/2))/(LN(2)/2)*V103*Y103*VLOOKUP('Données projet'!$B$9,Paramètres!$A$1:$I$89,3,0)*0.475*44/12</f>
        <v>2.6552710139163431E-10</v>
      </c>
      <c r="AC103" s="22">
        <f t="shared" si="57"/>
        <v>3.3905155037578258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675.5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675.49999999999989</v>
      </c>
      <c r="AJ103" s="13">
        <f>AI103*VLOOKUP('Données projet'!$B$10,Paramètres!$A$1:$I$89,3,0)*VLOOKUP('Données projet'!$B$10,Paramètres!$A$1:$I$89,5,0)</f>
        <v>316.13399999999996</v>
      </c>
      <c r="AK103" s="13">
        <f t="shared" si="89"/>
        <v>74.548389024136753</v>
      </c>
      <c r="AL103" s="20">
        <f t="shared" si="58"/>
        <v>680.43849421703806</v>
      </c>
      <c r="AM103" s="59">
        <f t="shared" si="59"/>
        <v>973.77182755037143</v>
      </c>
      <c r="AN103" s="59">
        <f ca="1">AVERAGE(OFFSET($AM$3,0,0,'Données projet'!$E$10+1,1))-AVERAGE(OFFSET($H$3,0,0,'Données projet'!$E$10+1,1))</f>
        <v>319.22903094674564</v>
      </c>
      <c r="AO103" s="59">
        <f t="shared" si="90"/>
        <v>254.58690973142848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675.5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2.2690417837495929</v>
      </c>
      <c r="AV103" s="21">
        <f>EXP(-LN(2)/25)*AV102+(1-EXP(-LN(2)/25))/(LN(2)/25)*Calculateur!AQ103*Calculateur!AS103*VLOOKUP('Données projet'!$B$10,Paramètres!$A$1:$I$89,3,0)*0.475*44/12</f>
        <v>1.601187898619614</v>
      </c>
      <c r="AW103" s="21">
        <f>EXP(-LN(2)/2)*AW102+(1-EXP(-LN(2)/2))/(LN(2)/2)*AQ103*AT103*VLOOKUP('Données projet'!$B$10,Paramètres!$A$1:$I$89,3,0)*0.475*44/12</f>
        <v>3.213973437551878E-10</v>
      </c>
      <c r="AX103" s="21">
        <f t="shared" si="60"/>
        <v>3.8702296826906037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520</v>
      </c>
      <c r="BB103" s="12">
        <f>VLOOKUP(A103,'Données projet'!$A$87:$I$107,9,0)</f>
        <v>52.6</v>
      </c>
      <c r="BC103" s="12">
        <f t="array" ref="BC103">INDEX(BB:BB,MIN(IF(ISNUMBER(BB103:BB299),ROW(BB103:BB299),"")))</f>
        <v>52.6</v>
      </c>
      <c r="BD103" s="12">
        <f>IF('Données projet'!$A$88&gt;35,BD102+BC103-BL102,IF(A103&lt;'Données projet'!$A$88,$BA$205^A103,IF(A103='Données projet'!$A$88,'Données projet'!$B$88,BD102+BC103-BL102)))</f>
        <v>520</v>
      </c>
      <c r="BE103" s="13">
        <f>BD103*VLOOKUP('Données projet'!$B$11,Paramètres!$A$1:$I$89,3,0)*VLOOKUP('Données projet'!$B$11,Paramètres!$A$1:$I$89,5,0)</f>
        <v>454.27200000000011</v>
      </c>
      <c r="BF103" s="13">
        <f t="shared" si="91"/>
        <v>102.69669211037605</v>
      </c>
      <c r="BG103" s="20">
        <f t="shared" si="61"/>
        <v>970.0538054255718</v>
      </c>
      <c r="BH103" s="59">
        <f t="shared" si="62"/>
        <v>1263.3871387589052</v>
      </c>
      <c r="BI103" s="59">
        <f ca="1">AVERAGE(OFFSET($BH$3,0,0,'Données projet'!$E$11+1,1))-AVERAGE(OFFSET($H$3,0,0,'Données projet'!$E$11+1,1))</f>
        <v>395.21779046720553</v>
      </c>
      <c r="BJ103" s="59">
        <f t="shared" si="92"/>
        <v>360.05900046417361</v>
      </c>
      <c r="BK103" s="15">
        <f>IF(ISNA(VLOOKUP(A103,'Données projet'!$A$87:$I$107,3,0)),0,VLOOKUP(A103,'Données projet'!$A$87:$I$107,3,0))</f>
        <v>19</v>
      </c>
      <c r="BL103" s="15">
        <f>IF(ISNA(VLOOKUP(A103,'Données projet'!$A$87:$I$107,4,0)),0,VLOOKUP(A103,'Données projet'!$A$87:$I$107,4,0))</f>
        <v>520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1.2028973222747124</v>
      </c>
      <c r="BQ103" s="21">
        <f>EXP(-LN(2)/25)*BQ102+(1-EXP(-LN(2)/25))/(LN(2)/25)*Calculateur!BL103*Calculateur!BN103*VLOOKUP('Données projet'!$B$11,Paramètres!$A$1:$I$89,3,0)*0.475*44/12</f>
        <v>1.6196876623317311</v>
      </c>
      <c r="BR103" s="21">
        <f>EXP(-LN(2)/2)*BR102+(1-EXP(-LN(2)/2))/(LN(2)/2)*BL103*BO103*VLOOKUP('Données projet'!$B$11,Paramètres!$A$1:$I$89,3,0)*0.475*44/12</f>
        <v>2.0365422281611227E-10</v>
      </c>
      <c r="BS103" s="22">
        <f t="shared" si="63"/>
        <v>2.8225849848100979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333</v>
      </c>
      <c r="BW103" s="12">
        <f>VLOOKUP(A103,'Données projet'!$A$113:$I$133,9,0)</f>
        <v>5.6</v>
      </c>
      <c r="BX103" s="12">
        <f t="array" ref="BX103">INDEX(BW:BW,MIN(IF(ISNUMBER(BW103:BW299),ROW(BW103:BW299),"")))</f>
        <v>5.6</v>
      </c>
      <c r="BY103" s="12">
        <f>IF('Données projet'!$A$114&gt;35,BY102+BX103-CG102,IF(A103&lt;'Données projet'!$A$114,$BV$205^A103,IF(A103='Données projet'!$A$114,'Données projet'!$B$114,BY102+BX103-CG102)))</f>
        <v>333</v>
      </c>
      <c r="BZ103" s="13">
        <f>BY103*VLOOKUP('Données projet'!$B$12,Paramètres!$A$1:$I$89,3,0)*VLOOKUP('Données projet'!$B$12,Paramètres!$A$1:$I$89,5,0)</f>
        <v>337.66200000000003</v>
      </c>
      <c r="CA103" s="13">
        <f t="shared" si="93"/>
        <v>79.016707002632685</v>
      </c>
      <c r="CB103" s="20">
        <f t="shared" si="64"/>
        <v>725.71541469625208</v>
      </c>
      <c r="CC103" s="59">
        <f t="shared" si="65"/>
        <v>1019.0487480295853</v>
      </c>
      <c r="CD103" s="59">
        <f ca="1">AVERAGE(OFFSET($CC$3,0,0,'Données projet'!$E$12+1,1))-AVERAGE(OFFSET($H$3,0,0,'Données projet'!$E$12+1,1))</f>
        <v>449.84356201138451</v>
      </c>
      <c r="CE103" s="59">
        <f t="shared" si="94"/>
        <v>306.61893266146666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333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2.0476245501792336</v>
      </c>
      <c r="CL103" s="21">
        <f>EXP(-LN(2)/25)*CL102+(1-EXP(-LN(2)/25))/(LN(2)/25)*Calculateur!CG103*Calculateur!CI103*VLOOKUP('Données projet'!$B$12,Paramètres!$A$1:$I$89,3,0)*0.475*44/12</f>
        <v>1.5069481550949522</v>
      </c>
      <c r="CM103" s="21">
        <f>EXP(-LN(2)/2)*CM102+(1-EXP(-LN(2)/2))/(LN(2)/2)*CG103*CJ103*VLOOKUP('Données projet'!$B$12,Paramètres!$A$1:$I$89,3,0)*0.475*44/12</f>
        <v>2.7837518694284236E-10</v>
      </c>
      <c r="CN103" s="22">
        <f t="shared" si="66"/>
        <v>3.5545727055525611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333</v>
      </c>
      <c r="CR103" s="12">
        <f>VLOOKUP(A103,'Données projet'!$A$139:$I$159,9,0)</f>
        <v>5.6</v>
      </c>
      <c r="CS103" s="12">
        <f t="array" ref="CS103">INDEX(CR:CR,MIN(IF(ISNUMBER(CR103:CR299),ROW(CR103:CR299),"")))</f>
        <v>5.6</v>
      </c>
      <c r="CT103" s="12">
        <f>IF('Données projet'!$A$140&gt;35,CT102+CS103-DB102,IF(A103&lt;'Données projet'!$A$140,$CQ$205^A103,IF(A103='Données projet'!$A$140,'Données projet'!$B$140,CT102+CS103-DB102)))</f>
        <v>333</v>
      </c>
      <c r="CU103" s="17">
        <f>CT103*VLOOKUP('Données projet'!$B$13,Paramètres!$A$1:$I$89,3,0)*VLOOKUP('Données projet'!$B$13,Paramètres!$A$1:$I$89,5,0)</f>
        <v>358.44119999999998</v>
      </c>
      <c r="CV103" s="13">
        <f t="shared" si="95"/>
        <v>83.298223876643164</v>
      </c>
      <c r="CW103" s="20">
        <f t="shared" si="67"/>
        <v>769.36282991848668</v>
      </c>
      <c r="CX103" s="59">
        <f t="shared" si="68"/>
        <v>1062.6961632518201</v>
      </c>
      <c r="CY103" s="59">
        <f ca="1">AVERAGE(OFFSET($CX$3,0,0,'Données projet'!$E$13+1,1))-AVERAGE(OFFSET($H$3,0,0,'Données projet'!$E$13+1,1))</f>
        <v>475.01366239340246</v>
      </c>
      <c r="CZ103" s="59">
        <f t="shared" si="96"/>
        <v>322.81767004794284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333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2.1736322148056439</v>
      </c>
      <c r="DG103" s="21">
        <f>EXP(-LN(2)/25)*DG102+(1-EXP(-LN(2)/25))/(LN(2)/25)*Calculateur!DB103*Calculateur!DD103*VLOOKUP('Données projet'!$B$13,Paramètres!$A$1:$I$89,3,0)*0.475*44/12</f>
        <v>1.5996834261777162</v>
      </c>
      <c r="DH103" s="21">
        <f>EXP(-LN(2)/2)*DH102+(1-EXP(-LN(2)/2))/(LN(2)/2)*DB103*DE103*VLOOKUP('Données projet'!$B$13,Paramètres!$A$1:$I$89,3,0)*0.475*44/12</f>
        <v>2.9550596767778657E-10</v>
      </c>
      <c r="DI103" s="22">
        <f t="shared" si="69"/>
        <v>3.7733156412788658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2.0572770154103635E-13</v>
      </c>
      <c r="DQ103" s="13">
        <f t="shared" si="97"/>
        <v>2.8416956338469711E-12</v>
      </c>
      <c r="DR103" s="20">
        <f t="shared" si="70"/>
        <v>5.3075956424674458E-12</v>
      </c>
      <c r="DS103" s="59">
        <f t="shared" si="71"/>
        <v>293.3333333333386</v>
      </c>
      <c r="DT103" s="59">
        <f ca="1">AVERAGE(OFFSET($DS$3,0,0,'Données projet'!$E$14+1,1))-AVERAGE(OFFSET($H$3,0,0,'Données projet'!$E$14+1,1))</f>
        <v>436.23918637269577</v>
      </c>
      <c r="DU103" s="59">
        <f t="shared" si="98"/>
        <v>611.43967996341894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0.8235149680795677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1.3738421120821212E-10</v>
      </c>
      <c r="ED103" s="22">
        <f t="shared" si="72"/>
        <v>0.82351496821695191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430.94515308997018</v>
      </c>
      <c r="T104" s="59">
        <f t="shared" si="88"/>
        <v>294.45557293177131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1.9148193332927395</v>
      </c>
      <c r="AA104" s="21">
        <f>EXP(-LN(2)/25)*AA103+(1-EXP(-LN(2)/25))/(LN(2)/25)*Calculateur!V104*Calculateur!X104*VLOOKUP('Données projet'!$B$9,Paramètres!$A$1:$I$89,3,0)*0.475*44/12</f>
        <v>1.3980910133832167</v>
      </c>
      <c r="AB104" s="21">
        <f>EXP(-LN(2)/2)*AB103+(1-EXP(-LN(2)/2))/(LN(2)/2)*V104*Y104*VLOOKUP('Données projet'!$B$9,Paramètres!$A$1:$I$89,3,0)*0.475*44/12</f>
        <v>1.8775601398283258E-10</v>
      </c>
      <c r="AC104" s="22">
        <f t="shared" si="57"/>
        <v>3.312910346863712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319.22903094674564</v>
      </c>
      <c r="AO104" s="59">
        <f t="shared" si="90"/>
        <v>254.58690973142848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2.2245472583490948</v>
      </c>
      <c r="AV104" s="21">
        <f>EXP(-LN(2)/25)*AV103+(1-EXP(-LN(2)/25))/(LN(2)/25)*Calculateur!AQ104*Calculateur!AS104*VLOOKUP('Données projet'!$B$10,Paramètres!$A$1:$I$89,3,0)*0.475*44/12</f>
        <v>1.5574033313290485</v>
      </c>
      <c r="AW104" s="21">
        <f>EXP(-LN(2)/2)*AW103+(1-EXP(-LN(2)/2))/(LN(2)/2)*AQ104*AT104*VLOOKUP('Données projet'!$B$10,Paramètres!$A$1:$I$89,3,0)*0.475*44/12</f>
        <v>2.272622412246372E-10</v>
      </c>
      <c r="AX104" s="21">
        <f t="shared" si="60"/>
        <v>3.7819505899054056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395.21779046720553</v>
      </c>
      <c r="BJ104" s="59">
        <f t="shared" si="92"/>
        <v>360.05900046417361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1.1793092394798255</v>
      </c>
      <c r="BQ104" s="21">
        <f>EXP(-LN(2)/25)*BQ103+(1-EXP(-LN(2)/25))/(LN(2)/25)*Calculateur!BL104*Calculateur!BN104*VLOOKUP('Données projet'!$B$11,Paramètres!$A$1:$I$89,3,0)*0.475*44/12</f>
        <v>1.5753972180295976</v>
      </c>
      <c r="BR104" s="21">
        <f>EXP(-LN(2)/2)*BR103+(1-EXP(-LN(2)/2))/(LN(2)/2)*BL104*BO104*VLOOKUP('Données projet'!$B$11,Paramètres!$A$1:$I$89,3,0)*0.475*44/12</f>
        <v>1.4400528197054909E-10</v>
      </c>
      <c r="BS104" s="22">
        <f t="shared" si="63"/>
        <v>2.7547064576534281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449.84356201138451</v>
      </c>
      <c r="CE104" s="59">
        <f t="shared" si="94"/>
        <v>306.61893266146666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2.0074718816778732</v>
      </c>
      <c r="CL104" s="21">
        <f>EXP(-LN(2)/25)*CL103+(1-EXP(-LN(2)/25))/(LN(2)/25)*Calculateur!CG104*Calculateur!CI104*VLOOKUP('Données projet'!$B$12,Paramètres!$A$1:$I$89,3,0)*0.475*44/12</f>
        <v>1.4657405785469213</v>
      </c>
      <c r="CM104" s="21">
        <f>EXP(-LN(2)/2)*CM103+(1-EXP(-LN(2)/2))/(LN(2)/2)*CG104*CJ104*VLOOKUP('Données projet'!$B$12,Paramètres!$A$1:$I$89,3,0)*0.475*44/12</f>
        <v>1.9684098240135669E-10</v>
      </c>
      <c r="CN104" s="22">
        <f t="shared" si="66"/>
        <v>3.4732124604216352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475.01366239340246</v>
      </c>
      <c r="CZ104" s="59">
        <f t="shared" si="96"/>
        <v>322.81767004794284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2.1310086128580461</v>
      </c>
      <c r="DG104" s="21">
        <f>EXP(-LN(2)/25)*DG103+(1-EXP(-LN(2)/25))/(LN(2)/25)*Calculateur!DB104*Calculateur!DD104*VLOOKUP('Données projet'!$B$13,Paramètres!$A$1:$I$89,3,0)*0.475*44/12</f>
        <v>1.5559399987651912</v>
      </c>
      <c r="DH104" s="21">
        <f>EXP(-LN(2)/2)*DH103+(1-EXP(-LN(2)/2))/(LN(2)/2)*DB104*DE104*VLOOKUP('Données projet'!$B$13,Paramètres!$A$1:$I$89,3,0)*0.475*44/12</f>
        <v>2.0895427362605562E-10</v>
      </c>
      <c r="DI104" s="22">
        <f t="shared" si="69"/>
        <v>3.6869486118321917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2.0572770154103635E-13</v>
      </c>
      <c r="DQ104" s="13">
        <f t="shared" si="97"/>
        <v>2.8416956338469711E-12</v>
      </c>
      <c r="DR104" s="20">
        <f t="shared" si="70"/>
        <v>5.3075956424674458E-12</v>
      </c>
      <c r="DS104" s="59">
        <f t="shared" si="71"/>
        <v>293.3333333333386</v>
      </c>
      <c r="DT104" s="59">
        <f ca="1">AVERAGE(OFFSET($DS$3,0,0,'Données projet'!$E$14+1,1))-AVERAGE(OFFSET($H$3,0,0,'Données projet'!$E$14+1,1))</f>
        <v>436.23918637269577</v>
      </c>
      <c r="DU104" s="59">
        <f t="shared" si="98"/>
        <v>611.43967996341894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0.8073663418500604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9.7145307373291676E-11</v>
      </c>
      <c r="ED104" s="22">
        <f t="shared" si="72"/>
        <v>0.80736634194720569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430.94515308997018</v>
      </c>
      <c r="T105" s="59">
        <f t="shared" si="88"/>
        <v>294.45557293177131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1.8772708940913392</v>
      </c>
      <c r="AA105" s="21">
        <f>EXP(-LN(2)/25)*AA104+(1-EXP(-LN(2)/25))/(LN(2)/25)*Calculateur!V105*Calculateur!X105*VLOOKUP('Données projet'!$B$9,Paramètres!$A$1:$I$89,3,0)*0.475*44/12</f>
        <v>1.3598601410998417</v>
      </c>
      <c r="AB105" s="21">
        <f>EXP(-LN(2)/2)*AB104+(1-EXP(-LN(2)/2))/(LN(2)/2)*V105*Y105*VLOOKUP('Données projet'!$B$9,Paramètres!$A$1:$I$89,3,0)*0.475*44/12</f>
        <v>1.3276355069581715E-10</v>
      </c>
      <c r="AC105" s="22">
        <f t="shared" si="57"/>
        <v>3.2371310353239444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319.22903094674564</v>
      </c>
      <c r="AO105" s="59">
        <f t="shared" si="90"/>
        <v>254.58690973142848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2.18092524345272</v>
      </c>
      <c r="AV105" s="21">
        <f>EXP(-LN(2)/25)*AV104+(1-EXP(-LN(2)/25))/(LN(2)/25)*Calculateur!AQ105*Calculateur!AS105*VLOOKUP('Données projet'!$B$10,Paramètres!$A$1:$I$89,3,0)*0.475*44/12</f>
        <v>1.5148160553335739</v>
      </c>
      <c r="AW105" s="21">
        <f>EXP(-LN(2)/2)*AW104+(1-EXP(-LN(2)/2))/(LN(2)/2)*AQ105*AT105*VLOOKUP('Données projet'!$B$10,Paramètres!$A$1:$I$89,3,0)*0.475*44/12</f>
        <v>1.6069867187759392E-10</v>
      </c>
      <c r="AX105" s="21">
        <f t="shared" si="60"/>
        <v>3.6957412989469924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395.21779046720553</v>
      </c>
      <c r="BJ105" s="59">
        <f t="shared" si="92"/>
        <v>360.05900046417361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1.1561837046012364</v>
      </c>
      <c r="BQ105" s="21">
        <f>EXP(-LN(2)/25)*BQ104+(1-EXP(-LN(2)/25))/(LN(2)/25)*Calculateur!BL105*Calculateur!BN105*VLOOKUP('Données projet'!$B$11,Paramètres!$A$1:$I$89,3,0)*0.475*44/12</f>
        <v>1.5323178982560393</v>
      </c>
      <c r="BR105" s="21">
        <f>EXP(-LN(2)/2)*BR104+(1-EXP(-LN(2)/2))/(LN(2)/2)*BL105*BO105*VLOOKUP('Données projet'!$B$11,Paramètres!$A$1:$I$89,3,0)*0.475*44/12</f>
        <v>1.0182711140805614E-10</v>
      </c>
      <c r="BS105" s="22">
        <f t="shared" si="63"/>
        <v>2.6885016029591027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449.84356201138451</v>
      </c>
      <c r="CE105" s="59">
        <f t="shared" si="94"/>
        <v>306.61893266146666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1.9681065825151147</v>
      </c>
      <c r="CL105" s="21">
        <f>EXP(-LN(2)/25)*CL104+(1-EXP(-LN(2)/25))/(LN(2)/25)*Calculateur!CG105*Calculateur!CI105*VLOOKUP('Données projet'!$B$12,Paramètres!$A$1:$I$89,3,0)*0.475*44/12</f>
        <v>1.4256598253466086</v>
      </c>
      <c r="CM105" s="21">
        <f>EXP(-LN(2)/2)*CM104+(1-EXP(-LN(2)/2))/(LN(2)/2)*CG105*CJ105*VLOOKUP('Données projet'!$B$12,Paramètres!$A$1:$I$89,3,0)*0.475*44/12</f>
        <v>1.3918759347142118E-10</v>
      </c>
      <c r="CN105" s="22">
        <f t="shared" si="66"/>
        <v>3.3937664080009111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475.01366239340246</v>
      </c>
      <c r="CZ105" s="59">
        <f t="shared" si="96"/>
        <v>322.81767004794284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2.0892208337468103</v>
      </c>
      <c r="DG105" s="21">
        <f>EXP(-LN(2)/25)*DG104+(1-EXP(-LN(2)/25))/(LN(2)/25)*Calculateur!DB105*Calculateur!DD105*VLOOKUP('Données projet'!$B$13,Paramètres!$A$1:$I$89,3,0)*0.475*44/12</f>
        <v>1.5133927376756287</v>
      </c>
      <c r="DH105" s="21">
        <f>EXP(-LN(2)/2)*DH104+(1-EXP(-LN(2)/2))/(LN(2)/2)*DB105*DE105*VLOOKUP('Données projet'!$B$13,Paramètres!$A$1:$I$89,3,0)*0.475*44/12</f>
        <v>1.4775298383889329E-10</v>
      </c>
      <c r="DI105" s="22">
        <f t="shared" si="69"/>
        <v>3.6026135715701919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2.0572770154103635E-13</v>
      </c>
      <c r="DQ105" s="13">
        <f t="shared" si="97"/>
        <v>2.8416956338469711E-12</v>
      </c>
      <c r="DR105" s="20">
        <f t="shared" si="70"/>
        <v>5.3075956424674458E-12</v>
      </c>
      <c r="DS105" s="59">
        <f t="shared" si="71"/>
        <v>293.3333333333386</v>
      </c>
      <c r="DT105" s="59">
        <f ca="1">AVERAGE(OFFSET($DS$3,0,0,'Données projet'!$E$14+1,1))-AVERAGE(OFFSET($H$3,0,0,'Données projet'!$E$14+1,1))</f>
        <v>436.23918637269577</v>
      </c>
      <c r="DU105" s="59">
        <f t="shared" si="98"/>
        <v>611.43967996341894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0.79153438033122436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6.8692105604106058E-11</v>
      </c>
      <c r="ED105" s="22">
        <f t="shared" si="72"/>
        <v>0.79153438039991642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430.94515308997018</v>
      </c>
      <c r="T106" s="59">
        <f t="shared" si="88"/>
        <v>294.45557293177131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1.8404587568803918</v>
      </c>
      <c r="AA106" s="21">
        <f>EXP(-LN(2)/25)*AA105+(1-EXP(-LN(2)/25))/(LN(2)/25)*Calculateur!V106*Calculateur!X106*VLOOKUP('Données projet'!$B$9,Paramètres!$A$1:$I$89,3,0)*0.475*44/12</f>
        <v>1.3226746940295298</v>
      </c>
      <c r="AB106" s="21">
        <f>EXP(-LN(2)/2)*AB105+(1-EXP(-LN(2)/2))/(LN(2)/2)*V106*Y106*VLOOKUP('Données projet'!$B$9,Paramètres!$A$1:$I$89,3,0)*0.475*44/12</f>
        <v>9.3878006991416291E-11</v>
      </c>
      <c r="AC106" s="22">
        <f t="shared" si="57"/>
        <v>3.1631334510037994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319.22903094674564</v>
      </c>
      <c r="AO106" s="59">
        <f t="shared" si="90"/>
        <v>254.58690973142848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2.1381586296616613</v>
      </c>
      <c r="AV106" s="21">
        <f>EXP(-LN(2)/25)*AV105+(1-EXP(-LN(2)/25))/(LN(2)/25)*Calculateur!AQ106*Calculateur!AS106*VLOOKUP('Données projet'!$B$10,Paramètres!$A$1:$I$89,3,0)*0.475*44/12</f>
        <v>1.4733933306397631</v>
      </c>
      <c r="AW106" s="21">
        <f>EXP(-LN(2)/2)*AW105+(1-EXP(-LN(2)/2))/(LN(2)/2)*AQ106*AT106*VLOOKUP('Données projet'!$B$10,Paramètres!$A$1:$I$89,3,0)*0.475*44/12</f>
        <v>1.1363112061231861E-10</v>
      </c>
      <c r="AX106" s="21">
        <f t="shared" si="60"/>
        <v>3.6115519604150559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395.21779046720553</v>
      </c>
      <c r="BJ106" s="59">
        <f t="shared" si="92"/>
        <v>360.05900046417361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1.1335116473564331</v>
      </c>
      <c r="BQ106" s="21">
        <f>EXP(-LN(2)/25)*BQ105+(1-EXP(-LN(2)/25))/(LN(2)/25)*Calculateur!BL106*Calculateur!BN106*VLOOKUP('Données projet'!$B$11,Paramètres!$A$1:$I$89,3,0)*0.475*44/12</f>
        <v>1.4904165847471318</v>
      </c>
      <c r="BR106" s="21">
        <f>EXP(-LN(2)/2)*BR105+(1-EXP(-LN(2)/2))/(LN(2)/2)*BL106*BO106*VLOOKUP('Données projet'!$B$11,Paramètres!$A$1:$I$89,3,0)*0.475*44/12</f>
        <v>7.2002640985274547E-11</v>
      </c>
      <c r="BS106" s="22">
        <f t="shared" si="63"/>
        <v>2.6239282321755679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449.84356201138451</v>
      </c>
      <c r="CE106" s="59">
        <f t="shared" si="94"/>
        <v>306.61893266146666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1.9295132128584764</v>
      </c>
      <c r="CL106" s="21">
        <f>EXP(-LN(2)/25)*CL105+(1-EXP(-LN(2)/25))/(LN(2)/25)*Calculateur!CG106*Calculateur!CI106*VLOOKUP('Données projet'!$B$12,Paramètres!$A$1:$I$89,3,0)*0.475*44/12</f>
        <v>1.3866750824503138</v>
      </c>
      <c r="CM106" s="21">
        <f>EXP(-LN(2)/2)*CM105+(1-EXP(-LN(2)/2))/(LN(2)/2)*CG106*CJ106*VLOOKUP('Données projet'!$B$12,Paramètres!$A$1:$I$89,3,0)*0.475*44/12</f>
        <v>9.8420491200678347E-11</v>
      </c>
      <c r="CN106" s="22">
        <f t="shared" si="66"/>
        <v>3.3161882954072106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475.01366239340246</v>
      </c>
      <c r="CZ106" s="59">
        <f t="shared" si="96"/>
        <v>322.81767004794284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2.0482524874959176</v>
      </c>
      <c r="DG106" s="21">
        <f>EXP(-LN(2)/25)*DG105+(1-EXP(-LN(2)/25))/(LN(2)/25)*Calculateur!DB106*Calculateur!DD106*VLOOKUP('Données projet'!$B$13,Paramètres!$A$1:$I$89,3,0)*0.475*44/12</f>
        <v>1.4720089336780233</v>
      </c>
      <c r="DH106" s="21">
        <f>EXP(-LN(2)/2)*DH105+(1-EXP(-LN(2)/2))/(LN(2)/2)*DB106*DE106*VLOOKUP('Données projet'!$B$13,Paramètres!$A$1:$I$89,3,0)*0.475*44/12</f>
        <v>1.0447713681302781E-10</v>
      </c>
      <c r="DI106" s="22">
        <f t="shared" si="69"/>
        <v>3.520261421278418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2.0572770154103635E-13</v>
      </c>
      <c r="DQ106" s="13">
        <f t="shared" si="97"/>
        <v>2.8416956338469711E-12</v>
      </c>
      <c r="DR106" s="20">
        <f t="shared" si="70"/>
        <v>5.3075956424674458E-12</v>
      </c>
      <c r="DS106" s="59">
        <f t="shared" si="71"/>
        <v>293.3333333333386</v>
      </c>
      <c r="DT106" s="59">
        <f ca="1">AVERAGE(OFFSET($DS$3,0,0,'Données projet'!$E$14+1,1))-AVERAGE(OFFSET($H$3,0,0,'Données projet'!$E$14+1,1))</f>
        <v>436.23918637269577</v>
      </c>
      <c r="DU106" s="59">
        <f t="shared" si="98"/>
        <v>611.43967996341894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0.77601287392122964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4.8572653686645838E-11</v>
      </c>
      <c r="ED106" s="22">
        <f t="shared" si="72"/>
        <v>0.77601287396980234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430.94515308997018</v>
      </c>
      <c r="T107" s="59">
        <f t="shared" si="88"/>
        <v>294.45557293177131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1.8043684832269646</v>
      </c>
      <c r="AA107" s="21">
        <f>EXP(-LN(2)/25)*AA106+(1-EXP(-LN(2)/25))/(LN(2)/25)*Calculateur!V107*Calculateur!X107*VLOOKUP('Données projet'!$B$9,Paramètres!$A$1:$I$89,3,0)*0.475*44/12</f>
        <v>1.2865060849648531</v>
      </c>
      <c r="AB107" s="21">
        <f>EXP(-LN(2)/2)*AB106+(1-EXP(-LN(2)/2))/(LN(2)/2)*V107*Y107*VLOOKUP('Données projet'!$B$9,Paramètres!$A$1:$I$89,3,0)*0.475*44/12</f>
        <v>6.6381775347908577E-11</v>
      </c>
      <c r="AC107" s="22">
        <f t="shared" si="57"/>
        <v>3.0908745682581991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319.22903094674564</v>
      </c>
      <c r="AO107" s="59">
        <f t="shared" si="90"/>
        <v>254.58690973142848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2.0962306430819861</v>
      </c>
      <c r="AV107" s="21">
        <f>EXP(-LN(2)/25)*AV106+(1-EXP(-LN(2)/25))/(LN(2)/25)*Calculateur!AQ107*Calculateur!AS107*VLOOKUP('Données projet'!$B$10,Paramètres!$A$1:$I$89,3,0)*0.475*44/12</f>
        <v>1.4331033125310311</v>
      </c>
      <c r="AW107" s="21">
        <f>EXP(-LN(2)/2)*AW106+(1-EXP(-LN(2)/2))/(LN(2)/2)*AQ107*AT107*VLOOKUP('Données projet'!$B$10,Paramètres!$A$1:$I$89,3,0)*0.475*44/12</f>
        <v>8.0349335938796975E-11</v>
      </c>
      <c r="AX107" s="21">
        <f t="shared" si="60"/>
        <v>3.5293339556933669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395.21779046720553</v>
      </c>
      <c r="BJ107" s="59">
        <f t="shared" si="92"/>
        <v>360.05900046417361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1.1112841753256109</v>
      </c>
      <c r="BQ107" s="21">
        <f>EXP(-LN(2)/25)*BQ106+(1-EXP(-LN(2)/25))/(LN(2)/25)*Calculateur!BL107*Calculateur!BN107*VLOOKUP('Données projet'!$B$11,Paramètres!$A$1:$I$89,3,0)*0.475*44/12</f>
        <v>1.4496610648596198</v>
      </c>
      <c r="BR107" s="21">
        <f>EXP(-LN(2)/2)*BR106+(1-EXP(-LN(2)/2))/(LN(2)/2)*BL107*BO107*VLOOKUP('Données projet'!$B$11,Paramètres!$A$1:$I$89,3,0)*0.475*44/12</f>
        <v>5.0913555704028068E-11</v>
      </c>
      <c r="BS107" s="22">
        <f t="shared" si="63"/>
        <v>2.5609452402361441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449.84356201138451</v>
      </c>
      <c r="CE107" s="59">
        <f t="shared" si="94"/>
        <v>306.61893266146666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1.8916766356411736</v>
      </c>
      <c r="CL107" s="21">
        <f>EXP(-LN(2)/25)*CL106+(1-EXP(-LN(2)/25))/(LN(2)/25)*Calculateur!CG107*Calculateur!CI107*VLOOKUP('Données projet'!$B$12,Paramètres!$A$1:$I$89,3,0)*0.475*44/12</f>
        <v>1.3487563793986366</v>
      </c>
      <c r="CM107" s="21">
        <f>EXP(-LN(2)/2)*CM106+(1-EXP(-LN(2)/2))/(LN(2)/2)*CG107*CJ107*VLOOKUP('Données projet'!$B$12,Paramètres!$A$1:$I$89,3,0)*0.475*44/12</f>
        <v>6.9593796735710589E-11</v>
      </c>
      <c r="CN107" s="22">
        <f t="shared" si="66"/>
        <v>3.2404330151094038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475.01366239340246</v>
      </c>
      <c r="CZ107" s="59">
        <f t="shared" si="96"/>
        <v>322.81767004794284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2.0080875055267811</v>
      </c>
      <c r="DG107" s="21">
        <f>EXP(-LN(2)/25)*DG106+(1-EXP(-LN(2)/25))/(LN(2)/25)*Calculateur!DB107*Calculateur!DD107*VLOOKUP('Données projet'!$B$13,Paramètres!$A$1:$I$89,3,0)*0.475*44/12</f>
        <v>1.4317567719770123</v>
      </c>
      <c r="DH107" s="21">
        <f>EXP(-LN(2)/2)*DH106+(1-EXP(-LN(2)/2))/(LN(2)/2)*DB107*DE107*VLOOKUP('Données projet'!$B$13,Paramètres!$A$1:$I$89,3,0)*0.475*44/12</f>
        <v>7.3876491919446643E-11</v>
      </c>
      <c r="DI107" s="22">
        <f t="shared" si="69"/>
        <v>3.4398442775776696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2.0572770154103635E-13</v>
      </c>
      <c r="DQ107" s="13">
        <f t="shared" si="97"/>
        <v>2.8416956338469711E-12</v>
      </c>
      <c r="DR107" s="20">
        <f t="shared" si="70"/>
        <v>5.3075956424674458E-12</v>
      </c>
      <c r="DS107" s="59">
        <f t="shared" si="71"/>
        <v>293.3333333333386</v>
      </c>
      <c r="DT107" s="59">
        <f ca="1">AVERAGE(OFFSET($DS$3,0,0,'Données projet'!$E$14+1,1))-AVERAGE(OFFSET($H$3,0,0,'Données projet'!$E$14+1,1))</f>
        <v>436.23918637269577</v>
      </c>
      <c r="DU107" s="59">
        <f t="shared" si="98"/>
        <v>611.43967996341894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0.76079573478475082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3.4346052802053029E-11</v>
      </c>
      <c r="ED107" s="22">
        <f t="shared" si="72"/>
        <v>0.7607957348190969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430.94515308997018</v>
      </c>
      <c r="T108" s="59">
        <f t="shared" si="88"/>
        <v>294.45557293177131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1.7689859178269878</v>
      </c>
      <c r="AA108" s="21">
        <f>EXP(-LN(2)/25)*AA107+(1-EXP(-LN(2)/25))/(LN(2)/25)*Calculateur!V108*Calculateur!X108*VLOOKUP('Données projet'!$B$9,Paramètres!$A$1:$I$89,3,0)*0.475*44/12</f>
        <v>1.2513265084170746</v>
      </c>
      <c r="AB108" s="21">
        <f>EXP(-LN(2)/2)*AB107+(1-EXP(-LN(2)/2))/(LN(2)/2)*V108*Y108*VLOOKUP('Données projet'!$B$9,Paramètres!$A$1:$I$89,3,0)*0.475*44/12</f>
        <v>4.6939003495708146E-11</v>
      </c>
      <c r="AC108" s="22">
        <f t="shared" si="57"/>
        <v>3.0203124262910013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319.22903094674564</v>
      </c>
      <c r="AO108" s="59">
        <f t="shared" si="90"/>
        <v>254.58690973142848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2.0551248387455918</v>
      </c>
      <c r="AV108" s="21">
        <f>EXP(-LN(2)/25)*AV107+(1-EXP(-LN(2)/25))/(LN(2)/25)*Calculateur!AQ108*Calculateur!AS108*VLOOKUP('Données projet'!$B$10,Paramètres!$A$1:$I$89,3,0)*0.475*44/12</f>
        <v>1.3939150270862422</v>
      </c>
      <c r="AW108" s="21">
        <f>EXP(-LN(2)/2)*AW107+(1-EXP(-LN(2)/2))/(LN(2)/2)*AQ108*AT108*VLOOKUP('Données projet'!$B$10,Paramètres!$A$1:$I$89,3,0)*0.475*44/12</f>
        <v>5.6815560306159313E-11</v>
      </c>
      <c r="AX108" s="21">
        <f t="shared" si="60"/>
        <v>3.4490398658886492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395.21779046720553</v>
      </c>
      <c r="BJ108" s="59">
        <f t="shared" si="92"/>
        <v>360.05900046417361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1.0894925704638938</v>
      </c>
      <c r="BQ108" s="21">
        <f>EXP(-LN(2)/25)*BQ107+(1-EXP(-LN(2)/25))/(LN(2)/25)*Calculateur!BL108*Calculateur!BN108*VLOOKUP('Données projet'!$B$11,Paramètres!$A$1:$I$89,3,0)*0.475*44/12</f>
        <v>1.4100200068066713</v>
      </c>
      <c r="BR108" s="21">
        <f>EXP(-LN(2)/2)*BR107+(1-EXP(-LN(2)/2))/(LN(2)/2)*BL108*BO108*VLOOKUP('Données projet'!$B$11,Paramètres!$A$1:$I$89,3,0)*0.475*44/12</f>
        <v>3.6001320492637273E-11</v>
      </c>
      <c r="BS108" s="22">
        <f t="shared" si="63"/>
        <v>2.4995125773065663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449.84356201138451</v>
      </c>
      <c r="CE108" s="59">
        <f t="shared" si="94"/>
        <v>306.61893266146666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1.8545820106250688</v>
      </c>
      <c r="CL108" s="21">
        <f>EXP(-LN(2)/25)*CL107+(1-EXP(-LN(2)/25))/(LN(2)/25)*Calculateur!CG108*Calculateur!CI108*VLOOKUP('Données projet'!$B$12,Paramètres!$A$1:$I$89,3,0)*0.475*44/12</f>
        <v>1.3118745652759656</v>
      </c>
      <c r="CM108" s="21">
        <f>EXP(-LN(2)/2)*CM107+(1-EXP(-LN(2)/2))/(LN(2)/2)*CG108*CJ108*VLOOKUP('Données projet'!$B$12,Paramètres!$A$1:$I$89,3,0)*0.475*44/12</f>
        <v>4.9210245600339173E-11</v>
      </c>
      <c r="CN108" s="22">
        <f t="shared" si="66"/>
        <v>3.166456575950245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475.01366239340246</v>
      </c>
      <c r="CZ108" s="59">
        <f t="shared" si="96"/>
        <v>322.81767004794284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1.9687101343558391</v>
      </c>
      <c r="DG108" s="21">
        <f>EXP(-LN(2)/25)*DG107+(1-EXP(-LN(2)/25))/(LN(2)/25)*Calculateur!DB108*Calculateur!DD108*VLOOKUP('Données projet'!$B$13,Paramètres!$A$1:$I$89,3,0)*0.475*44/12</f>
        <v>1.3926053077544847</v>
      </c>
      <c r="DH108" s="21">
        <f>EXP(-LN(2)/2)*DH107+(1-EXP(-LN(2)/2))/(LN(2)/2)*DB108*DE108*VLOOKUP('Données projet'!$B$13,Paramètres!$A$1:$I$89,3,0)*0.475*44/12</f>
        <v>5.2238568406513905E-11</v>
      </c>
      <c r="DI108" s="22">
        <f t="shared" si="69"/>
        <v>3.3613154421625624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2.0572770154103635E-13</v>
      </c>
      <c r="DQ108" s="13">
        <f t="shared" si="97"/>
        <v>2.8416956338469711E-12</v>
      </c>
      <c r="DR108" s="20">
        <f t="shared" si="70"/>
        <v>5.3075956424674458E-12</v>
      </c>
      <c r="DS108" s="59">
        <f t="shared" si="71"/>
        <v>293.3333333333386</v>
      </c>
      <c r="DT108" s="59">
        <f ca="1">AVERAGE(OFFSET($DS$3,0,0,'Données projet'!$E$14+1,1))-AVERAGE(OFFSET($H$3,0,0,'Données projet'!$E$14+1,1))</f>
        <v>436.23918637269577</v>
      </c>
      <c r="DU108" s="59">
        <f t="shared" si="98"/>
        <v>611.43967996341894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0.74587699446519995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2.4286326843322919E-11</v>
      </c>
      <c r="ED108" s="22">
        <f t="shared" si="72"/>
        <v>0.7458769944894863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430.94515308997018</v>
      </c>
      <c r="T109" s="59">
        <f t="shared" si="88"/>
        <v>294.45557293177131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1.7342971829532705</v>
      </c>
      <c r="AA109" s="21">
        <f>EXP(-LN(2)/25)*AA108+(1-EXP(-LN(2)/25))/(LN(2)/25)*Calculateur!V109*Calculateur!X109*VLOOKUP('Données projet'!$B$9,Paramètres!$A$1:$I$89,3,0)*0.475*44/12</f>
        <v>1.2171089192400086</v>
      </c>
      <c r="AB109" s="21">
        <f>EXP(-LN(2)/2)*AB108+(1-EXP(-LN(2)/2))/(LN(2)/2)*V109*Y109*VLOOKUP('Données projet'!$B$9,Paramètres!$A$1:$I$89,3,0)*0.475*44/12</f>
        <v>3.3190887673954289E-11</v>
      </c>
      <c r="AC109" s="22">
        <f t="shared" si="57"/>
        <v>2.9514061022264699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319.22903094674564</v>
      </c>
      <c r="AO109" s="59">
        <f t="shared" si="90"/>
        <v>254.58690973142848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2.0148250941601695</v>
      </c>
      <c r="AV109" s="21">
        <f>EXP(-LN(2)/25)*AV108+(1-EXP(-LN(2)/25))/(LN(2)/25)*Calculateur!AQ109*Calculateur!AS109*VLOOKUP('Données projet'!$B$10,Paramètres!$A$1:$I$89,3,0)*0.475*44/12</f>
        <v>1.3557983473677635</v>
      </c>
      <c r="AW109" s="21">
        <f>EXP(-LN(2)/2)*AW108+(1-EXP(-LN(2)/2))/(LN(2)/2)*AQ109*AT109*VLOOKUP('Données projet'!$B$10,Paramètres!$A$1:$I$89,3,0)*0.475*44/12</f>
        <v>4.0174667969398494E-11</v>
      </c>
      <c r="AX109" s="21">
        <f t="shared" si="60"/>
        <v>3.3706234415681076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395.21779046720553</v>
      </c>
      <c r="BJ109" s="59">
        <f t="shared" si="92"/>
        <v>360.05900046417361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1.0681282856819485</v>
      </c>
      <c r="BQ109" s="21">
        <f>EXP(-LN(2)/25)*BQ108+(1-EXP(-LN(2)/25))/(LN(2)/25)*Calculateur!BL109*Calculateur!BN109*VLOOKUP('Données projet'!$B$11,Paramètres!$A$1:$I$89,3,0)*0.475*44/12</f>
        <v>1.3714629355708134</v>
      </c>
      <c r="BR109" s="21">
        <f>EXP(-LN(2)/2)*BR108+(1-EXP(-LN(2)/2))/(LN(2)/2)*BL109*BO109*VLOOKUP('Données projet'!$B$11,Paramètres!$A$1:$I$89,3,0)*0.475*44/12</f>
        <v>2.5456777852014034E-11</v>
      </c>
      <c r="BS109" s="22">
        <f t="shared" si="63"/>
        <v>2.4395912212782189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449.84356201138451</v>
      </c>
      <c r="CE109" s="59">
        <f t="shared" si="94"/>
        <v>306.61893266146666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1.8182147885800426</v>
      </c>
      <c r="CL109" s="21">
        <f>EXP(-LN(2)/25)*CL108+(1-EXP(-LN(2)/25))/(LN(2)/25)*Calculateur!CG109*Calculateur!CI109*VLOOKUP('Données projet'!$B$12,Paramètres!$A$1:$I$89,3,0)*0.475*44/12</f>
        <v>1.2760012863000092</v>
      </c>
      <c r="CM109" s="21">
        <f>EXP(-LN(2)/2)*CM108+(1-EXP(-LN(2)/2))/(LN(2)/2)*CG109*CJ109*VLOOKUP('Données projet'!$B$12,Paramètres!$A$1:$I$89,3,0)*0.475*44/12</f>
        <v>3.4796898367855294E-11</v>
      </c>
      <c r="CN109" s="22">
        <f t="shared" si="66"/>
        <v>3.0942160749148488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475.01366239340246</v>
      </c>
      <c r="CZ109" s="59">
        <f t="shared" si="96"/>
        <v>322.81767004794284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1.9301049294157344</v>
      </c>
      <c r="DG109" s="21">
        <f>EXP(-LN(2)/25)*DG108+(1-EXP(-LN(2)/25))/(LN(2)/25)*Calculateur!DB109*Calculateur!DD109*VLOOKUP('Données projet'!$B$13,Paramètres!$A$1:$I$89,3,0)*0.475*44/12</f>
        <v>1.354524442380008</v>
      </c>
      <c r="DH109" s="21">
        <f>EXP(-LN(2)/2)*DH108+(1-EXP(-LN(2)/2))/(LN(2)/2)*DB109*DE109*VLOOKUP('Données projet'!$B$13,Paramètres!$A$1:$I$89,3,0)*0.475*44/12</f>
        <v>3.6938245959723322E-11</v>
      </c>
      <c r="DI109" s="22">
        <f t="shared" si="69"/>
        <v>3.2846293718326809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2.0572770154103635E-13</v>
      </c>
      <c r="DQ109" s="13">
        <f t="shared" si="97"/>
        <v>2.8416956338469711E-12</v>
      </c>
      <c r="DR109" s="20">
        <f t="shared" si="70"/>
        <v>5.3075956424674458E-12</v>
      </c>
      <c r="DS109" s="59">
        <f t="shared" si="71"/>
        <v>293.3333333333386</v>
      </c>
      <c r="DT109" s="59">
        <f ca="1">AVERAGE(OFFSET($DS$3,0,0,'Données projet'!$E$14+1,1))-AVERAGE(OFFSET($H$3,0,0,'Données projet'!$E$14+1,1))</f>
        <v>436.23918637269577</v>
      </c>
      <c r="DU109" s="59">
        <f t="shared" si="98"/>
        <v>611.43967996341894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0.73125080154378241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1.7173026401026515E-11</v>
      </c>
      <c r="ED109" s="22">
        <f t="shared" si="72"/>
        <v>0.73125080156095545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430.94515308997018</v>
      </c>
      <c r="T110" s="59">
        <f t="shared" si="88"/>
        <v>294.45557293177131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1.7002886730123878</v>
      </c>
      <c r="AA110" s="21">
        <f>EXP(-LN(2)/25)*AA109+(1-EXP(-LN(2)/25))/(LN(2)/25)*Calculateur!V110*Calculateur!X110*VLOOKUP('Données projet'!$B$9,Paramètres!$A$1:$I$89,3,0)*0.475*44/12</f>
        <v>1.1838270118384142</v>
      </c>
      <c r="AB110" s="21">
        <f>EXP(-LN(2)/2)*AB109+(1-EXP(-LN(2)/2))/(LN(2)/2)*V110*Y110*VLOOKUP('Données projet'!$B$9,Paramètres!$A$1:$I$89,3,0)*0.475*44/12</f>
        <v>2.3469501747854073E-11</v>
      </c>
      <c r="AC110" s="22">
        <f t="shared" si="57"/>
        <v>2.8841156848742719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319.22903094674564</v>
      </c>
      <c r="AO110" s="59">
        <f t="shared" si="90"/>
        <v>254.58690973142848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1.97531560298565</v>
      </c>
      <c r="AV110" s="21">
        <f>EXP(-LN(2)/25)*AV109+(1-EXP(-LN(2)/25))/(LN(2)/25)*Calculateur!AQ110*Calculateur!AS110*VLOOKUP('Données projet'!$B$10,Paramètres!$A$1:$I$89,3,0)*0.475*44/12</f>
        <v>1.3187239702606557</v>
      </c>
      <c r="AW110" s="21">
        <f>EXP(-LN(2)/2)*AW109+(1-EXP(-LN(2)/2))/(LN(2)/2)*AQ110*AT110*VLOOKUP('Données projet'!$B$10,Paramètres!$A$1:$I$89,3,0)*0.475*44/12</f>
        <v>2.8407780153079663E-11</v>
      </c>
      <c r="AX110" s="21">
        <f t="shared" si="60"/>
        <v>3.2940395732747136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395.21779046720553</v>
      </c>
      <c r="BJ110" s="59">
        <f t="shared" si="92"/>
        <v>360.05900046417361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1.04718294149365</v>
      </c>
      <c r="BQ110" s="21">
        <f>EXP(-LN(2)/25)*BQ109+(1-EXP(-LN(2)/25))/(LN(2)/25)*Calculateur!BL110*Calculateur!BN110*VLOOKUP('Données projet'!$B$11,Paramètres!$A$1:$I$89,3,0)*0.475*44/12</f>
        <v>1.3339602094755283</v>
      </c>
      <c r="BR110" s="21">
        <f>EXP(-LN(2)/2)*BR109+(1-EXP(-LN(2)/2))/(LN(2)/2)*BL110*BO110*VLOOKUP('Données projet'!$B$11,Paramètres!$A$1:$I$89,3,0)*0.475*44/12</f>
        <v>1.8000660246318637E-11</v>
      </c>
      <c r="BS110" s="22">
        <f t="shared" si="63"/>
        <v>2.381143150987179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449.84356201138451</v>
      </c>
      <c r="CE110" s="59">
        <f t="shared" si="94"/>
        <v>306.61893266146666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1.7825607055775041</v>
      </c>
      <c r="CL110" s="21">
        <f>EXP(-LN(2)/25)*CL109+(1-EXP(-LN(2)/25))/(LN(2)/25)*Calculateur!CG110*Calculateur!CI110*VLOOKUP('Données projet'!$B$12,Paramètres!$A$1:$I$89,3,0)*0.475*44/12</f>
        <v>1.2411089640241442</v>
      </c>
      <c r="CM110" s="21">
        <f>EXP(-LN(2)/2)*CM109+(1-EXP(-LN(2)/2))/(LN(2)/2)*CG110*CJ110*VLOOKUP('Données projet'!$B$12,Paramètres!$A$1:$I$89,3,0)*0.475*44/12</f>
        <v>2.4605122800169587E-11</v>
      </c>
      <c r="CN110" s="22">
        <f t="shared" si="66"/>
        <v>3.0236696696262535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475.01366239340246</v>
      </c>
      <c r="CZ110" s="59">
        <f t="shared" si="96"/>
        <v>322.81767004794284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1.8922567489976552</v>
      </c>
      <c r="DG110" s="21">
        <f>EXP(-LN(2)/25)*DG109+(1-EXP(-LN(2)/25))/(LN(2)/25)*Calculateur!DB110*Calculateur!DD110*VLOOKUP('Données projet'!$B$13,Paramètres!$A$1:$I$89,3,0)*0.475*44/12</f>
        <v>1.3174849002717821</v>
      </c>
      <c r="DH110" s="21">
        <f>EXP(-LN(2)/2)*DH109+(1-EXP(-LN(2)/2))/(LN(2)/2)*DB110*DE110*VLOOKUP('Données projet'!$B$13,Paramètres!$A$1:$I$89,3,0)*0.475*44/12</f>
        <v>2.6119284203256952E-11</v>
      </c>
      <c r="DI110" s="22">
        <f t="shared" si="69"/>
        <v>3.2097416492955566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2.0572770154103635E-13</v>
      </c>
      <c r="DQ110" s="13">
        <f t="shared" si="97"/>
        <v>2.8416956338469711E-12</v>
      </c>
      <c r="DR110" s="20">
        <f t="shared" si="70"/>
        <v>5.3075956424674458E-12</v>
      </c>
      <c r="DS110" s="59">
        <f t="shared" si="71"/>
        <v>293.3333333333386</v>
      </c>
      <c r="DT110" s="59">
        <f ca="1">AVERAGE(OFFSET($DS$3,0,0,'Données projet'!$E$14+1,1))-AVERAGE(OFFSET($H$3,0,0,'Données projet'!$E$14+1,1))</f>
        <v>436.23918637269577</v>
      </c>
      <c r="DU110" s="59">
        <f t="shared" si="98"/>
        <v>611.43967996341894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0.71691141934445712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1.214316342166146E-11</v>
      </c>
      <c r="ED110" s="22">
        <f t="shared" si="72"/>
        <v>0.7169114193566003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430.94515308997018</v>
      </c>
      <c r="T111" s="59">
        <f t="shared" si="88"/>
        <v>294.45557293177131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1.6669470492083029</v>
      </c>
      <c r="AA111" s="21">
        <f>EXP(-LN(2)/25)*AA110+(1-EXP(-LN(2)/25))/(LN(2)/25)*Calculateur!V111*Calculateur!X111*VLOOKUP('Données projet'!$B$9,Paramètres!$A$1:$I$89,3,0)*0.475*44/12</f>
        <v>1.1514551999449358</v>
      </c>
      <c r="AB111" s="21">
        <f>EXP(-LN(2)/2)*AB110+(1-EXP(-LN(2)/2))/(LN(2)/2)*V111*Y111*VLOOKUP('Données projet'!$B$9,Paramètres!$A$1:$I$89,3,0)*0.475*44/12</f>
        <v>1.6595443836977144E-11</v>
      </c>
      <c r="AC111" s="22">
        <f t="shared" si="57"/>
        <v>2.8184022491698344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319.22903094674564</v>
      </c>
      <c r="AO111" s="59">
        <f t="shared" si="90"/>
        <v>254.58690973142848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1.9365808688346529</v>
      </c>
      <c r="AV111" s="21">
        <f>EXP(-LN(2)/25)*AV110+(1-EXP(-LN(2)/25))/(LN(2)/25)*Calculateur!AQ111*Calculateur!AS111*VLOOKUP('Données projet'!$B$10,Paramètres!$A$1:$I$89,3,0)*0.475*44/12</f>
        <v>1.2826633939451983</v>
      </c>
      <c r="AW111" s="21">
        <f>EXP(-LN(2)/2)*AW110+(1-EXP(-LN(2)/2))/(LN(2)/2)*AQ111*AT111*VLOOKUP('Données projet'!$B$10,Paramètres!$A$1:$I$89,3,0)*0.475*44/12</f>
        <v>2.008733398469925E-11</v>
      </c>
      <c r="AX111" s="21">
        <f t="shared" si="60"/>
        <v>3.2192442627999385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395.21779046720553</v>
      </c>
      <c r="BJ111" s="59">
        <f t="shared" si="92"/>
        <v>360.05900046417361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1.0266483227294856</v>
      </c>
      <c r="BQ111" s="21">
        <f>EXP(-LN(2)/25)*BQ110+(1-EXP(-LN(2)/25))/(LN(2)/25)*Calculateur!BL111*Calculateur!BN111*VLOOKUP('Données projet'!$B$11,Paramètres!$A$1:$I$89,3,0)*0.475*44/12</f>
        <v>1.2974829973975013</v>
      </c>
      <c r="BR111" s="21">
        <f>EXP(-LN(2)/2)*BR110+(1-EXP(-LN(2)/2))/(LN(2)/2)*BL111*BO111*VLOOKUP('Données projet'!$B$11,Paramètres!$A$1:$I$89,3,0)*0.475*44/12</f>
        <v>1.2728388926007017E-11</v>
      </c>
      <c r="BS111" s="22">
        <f t="shared" si="63"/>
        <v>2.3241313201397151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449.84356201138451</v>
      </c>
      <c r="CE111" s="59">
        <f t="shared" si="94"/>
        <v>306.61893266146666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1.7476057773958023</v>
      </c>
      <c r="CL111" s="21">
        <f>EXP(-LN(2)/25)*CL110+(1-EXP(-LN(2)/25))/(LN(2)/25)*Calculateur!CG111*Calculateur!CI111*VLOOKUP('Données projet'!$B$12,Paramètres!$A$1:$I$89,3,0)*0.475*44/12</f>
        <v>1.2071707741358202</v>
      </c>
      <c r="CM111" s="21">
        <f>EXP(-LN(2)/2)*CM110+(1-EXP(-LN(2)/2))/(LN(2)/2)*CG111*CJ111*VLOOKUP('Données projet'!$B$12,Paramètres!$A$1:$I$89,3,0)*0.475*44/12</f>
        <v>1.7398449183927647E-11</v>
      </c>
      <c r="CN111" s="22">
        <f t="shared" si="66"/>
        <v>2.954776551549021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475.01366239340246</v>
      </c>
      <c r="CZ111" s="59">
        <f t="shared" si="96"/>
        <v>322.81767004794284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1.8551507483124638</v>
      </c>
      <c r="DG111" s="21">
        <f>EXP(-LN(2)/25)*DG110+(1-EXP(-LN(2)/25))/(LN(2)/25)*Calculateur!DB111*Calculateur!DD111*VLOOKUP('Données projet'!$B$13,Paramètres!$A$1:$I$89,3,0)*0.475*44/12</f>
        <v>1.2814582063903304</v>
      </c>
      <c r="DH111" s="21">
        <f>EXP(-LN(2)/2)*DH110+(1-EXP(-LN(2)/2))/(LN(2)/2)*DB111*DE111*VLOOKUP('Données projet'!$B$13,Paramètres!$A$1:$I$89,3,0)*0.475*44/12</f>
        <v>1.8469122979861661E-11</v>
      </c>
      <c r="DI111" s="22">
        <f t="shared" si="69"/>
        <v>3.1366089547212632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2.0572770154103635E-13</v>
      </c>
      <c r="DQ111" s="13">
        <f t="shared" si="97"/>
        <v>2.8416956338469711E-12</v>
      </c>
      <c r="DR111" s="20">
        <f t="shared" si="70"/>
        <v>5.3075956424674458E-12</v>
      </c>
      <c r="DS111" s="59">
        <f t="shared" si="71"/>
        <v>293.3333333333386</v>
      </c>
      <c r="DT111" s="59">
        <f ca="1">AVERAGE(OFFSET($DS$3,0,0,'Données projet'!$E$14+1,1))-AVERAGE(OFFSET($H$3,0,0,'Données projet'!$E$14+1,1))</f>
        <v>436.23918637269577</v>
      </c>
      <c r="DU111" s="59">
        <f t="shared" si="98"/>
        <v>611.43967996341894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0.70285322368390102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8.5865132005132573E-12</v>
      </c>
      <c r="ED111" s="22">
        <f t="shared" si="72"/>
        <v>0.70285322369248748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430.94515308997018</v>
      </c>
      <c r="T112" s="59">
        <f t="shared" si="88"/>
        <v>294.45557293177131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1.6342592343106337</v>
      </c>
      <c r="AA112" s="21">
        <f>EXP(-LN(2)/25)*AA111+(1-EXP(-LN(2)/25))/(LN(2)/25)*Calculateur!V112*Calculateur!X112*VLOOKUP('Données projet'!$B$9,Paramètres!$A$1:$I$89,3,0)*0.475*44/12</f>
        <v>1.1199685969500444</v>
      </c>
      <c r="AB112" s="21">
        <f>EXP(-LN(2)/2)*AB111+(1-EXP(-LN(2)/2))/(LN(2)/2)*V112*Y112*VLOOKUP('Données projet'!$B$9,Paramètres!$A$1:$I$89,3,0)*0.475*44/12</f>
        <v>1.1734750873927036E-11</v>
      </c>
      <c r="AC112" s="22">
        <f t="shared" si="57"/>
        <v>2.7542278312724129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319.22903094674564</v>
      </c>
      <c r="AO112" s="59">
        <f t="shared" si="90"/>
        <v>254.58690973142848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1.8986056991945017</v>
      </c>
      <c r="AV112" s="21">
        <f>EXP(-LN(2)/25)*AV111+(1-EXP(-LN(2)/25))/(LN(2)/25)*Calculateur!AQ112*Calculateur!AS112*VLOOKUP('Données projet'!$B$10,Paramètres!$A$1:$I$89,3,0)*0.475*44/12</f>
        <v>1.2475888959854307</v>
      </c>
      <c r="AW112" s="21">
        <f>EXP(-LN(2)/2)*AW111+(1-EXP(-LN(2)/2))/(LN(2)/2)*AQ112*AT112*VLOOKUP('Données projet'!$B$10,Paramètres!$A$1:$I$89,3,0)*0.475*44/12</f>
        <v>1.4203890076539833E-11</v>
      </c>
      <c r="AX112" s="21">
        <f t="shared" si="60"/>
        <v>3.1461945951941361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395.21779046720553</v>
      </c>
      <c r="BJ112" s="59">
        <f t="shared" si="92"/>
        <v>360.05900046417361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1.0065163753144057</v>
      </c>
      <c r="BQ112" s="21">
        <f>EXP(-LN(2)/25)*BQ111+(1-EXP(-LN(2)/25))/(LN(2)/25)*Calculateur!BL112*Calculateur!BN112*VLOOKUP('Données projet'!$B$11,Paramètres!$A$1:$I$89,3,0)*0.475*44/12</f>
        <v>1.2620032566020012</v>
      </c>
      <c r="BR112" s="21">
        <f>EXP(-LN(2)/2)*BR111+(1-EXP(-LN(2)/2))/(LN(2)/2)*BL112*BO112*VLOOKUP('Données projet'!$B$11,Paramètres!$A$1:$I$89,3,0)*0.475*44/12</f>
        <v>9.0003301231593183E-12</v>
      </c>
      <c r="BS112" s="22">
        <f t="shared" si="63"/>
        <v>2.2685196319254071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449.84356201138451</v>
      </c>
      <c r="CE112" s="59">
        <f t="shared" si="94"/>
        <v>306.61893266146666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1.7133362940353425</v>
      </c>
      <c r="CL112" s="21">
        <f>EXP(-LN(2)/25)*CL111+(1-EXP(-LN(2)/25))/(LN(2)/25)*Calculateur!CG112*Calculateur!CI112*VLOOKUP('Données projet'!$B$12,Paramètres!$A$1:$I$89,3,0)*0.475*44/12</f>
        <v>1.1741606258347241</v>
      </c>
      <c r="CM112" s="21">
        <f>EXP(-LN(2)/2)*CM111+(1-EXP(-LN(2)/2))/(LN(2)/2)*CG112*CJ112*VLOOKUP('Données projet'!$B$12,Paramètres!$A$1:$I$89,3,0)*0.475*44/12</f>
        <v>1.2302561400084793E-11</v>
      </c>
      <c r="CN112" s="22">
        <f t="shared" si="66"/>
        <v>2.8874969198823695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475.01366239340246</v>
      </c>
      <c r="CZ112" s="59">
        <f t="shared" si="96"/>
        <v>322.81767004794284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1.8187723736682835</v>
      </c>
      <c r="DG112" s="21">
        <f>EXP(-LN(2)/25)*DG111+(1-EXP(-LN(2)/25))/(LN(2)/25)*Calculateur!DB112*Calculateur!DD112*VLOOKUP('Données projet'!$B$13,Paramètres!$A$1:$I$89,3,0)*0.475*44/12</f>
        <v>1.2464166643476284</v>
      </c>
      <c r="DH112" s="21">
        <f>EXP(-LN(2)/2)*DH111+(1-EXP(-LN(2)/2))/(LN(2)/2)*DB112*DE112*VLOOKUP('Données projet'!$B$13,Paramètres!$A$1:$I$89,3,0)*0.475*44/12</f>
        <v>1.3059642101628476E-11</v>
      </c>
      <c r="DI112" s="22">
        <f t="shared" si="69"/>
        <v>3.0651890380289717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2.0572770154103635E-13</v>
      </c>
      <c r="DQ112" s="13">
        <f t="shared" si="97"/>
        <v>2.8416956338469711E-12</v>
      </c>
      <c r="DR112" s="20">
        <f t="shared" si="70"/>
        <v>5.3075956424674458E-12</v>
      </c>
      <c r="DS112" s="59">
        <f t="shared" si="71"/>
        <v>293.3333333333386</v>
      </c>
      <c r="DT112" s="59">
        <f ca="1">AVERAGE(OFFSET($DS$3,0,0,'Données projet'!$E$14+1,1))-AVERAGE(OFFSET($H$3,0,0,'Données projet'!$E$14+1,1))</f>
        <v>436.23918637269577</v>
      </c>
      <c r="DU112" s="59">
        <f t="shared" si="98"/>
        <v>611.43967996341894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0.68907070066559573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6.0715817108307298E-12</v>
      </c>
      <c r="ED112" s="22">
        <f t="shared" si="72"/>
        <v>0.68907070067166731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430.94515308997018</v>
      </c>
      <c r="T113" s="59">
        <f t="shared" si="88"/>
        <v>294.45557293177131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1.6022124075255093</v>
      </c>
      <c r="AA113" s="21">
        <f>EXP(-LN(2)/25)*AA112+(1-EXP(-LN(2)/25))/(LN(2)/25)*Calculateur!V113*Calculateur!X113*VLOOKUP('Données projet'!$B$9,Paramètres!$A$1:$I$89,3,0)*0.475*44/12</f>
        <v>1.0893429967698567</v>
      </c>
      <c r="AB113" s="21">
        <f>EXP(-LN(2)/2)*AB112+(1-EXP(-LN(2)/2))/(LN(2)/2)*V113*Y113*VLOOKUP('Données projet'!$B$9,Paramètres!$A$1:$I$89,3,0)*0.475*44/12</f>
        <v>8.2977219184885722E-12</v>
      </c>
      <c r="AC113" s="22">
        <f t="shared" si="57"/>
        <v>2.691555404303664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319.22903094674564</v>
      </c>
      <c r="AO113" s="59">
        <f t="shared" si="90"/>
        <v>254.58690973142848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1.8613751994684276</v>
      </c>
      <c r="AV113" s="21">
        <f>EXP(-LN(2)/25)*AV112+(1-EXP(-LN(2)/25))/(LN(2)/25)*Calculateur!AQ113*Calculateur!AS113*VLOOKUP('Données projet'!$B$10,Paramètres!$A$1:$I$89,3,0)*0.475*44/12</f>
        <v>1.2134735120168605</v>
      </c>
      <c r="AW113" s="21">
        <f>EXP(-LN(2)/2)*AW112+(1-EXP(-LN(2)/2))/(LN(2)/2)*AQ113*AT113*VLOOKUP('Données projet'!$B$10,Paramètres!$A$1:$I$89,3,0)*0.475*44/12</f>
        <v>1.0043666992349627E-11</v>
      </c>
      <c r="AX113" s="21">
        <f t="shared" si="60"/>
        <v>3.0748487114953313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395.21779046720553</v>
      </c>
      <c r="BJ113" s="59">
        <f t="shared" si="92"/>
        <v>360.05900046417361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0.98677920310886014</v>
      </c>
      <c r="BQ113" s="21">
        <f>EXP(-LN(2)/25)*BQ112+(1-EXP(-LN(2)/25))/(LN(2)/25)*Calculateur!BL113*Calculateur!BN113*VLOOKUP('Données projet'!$B$11,Paramètres!$A$1:$I$89,3,0)*0.475*44/12</f>
        <v>1.2274937111843525</v>
      </c>
      <c r="BR113" s="21">
        <f>EXP(-LN(2)/2)*BR112+(1-EXP(-LN(2)/2))/(LN(2)/2)*BL113*BO113*VLOOKUP('Données projet'!$B$11,Paramètres!$A$1:$I$89,3,0)*0.475*44/12</f>
        <v>6.3641944630035086E-12</v>
      </c>
      <c r="BS113" s="22">
        <f t="shared" si="63"/>
        <v>2.2142729142995767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449.84356201138451</v>
      </c>
      <c r="CE113" s="59">
        <f t="shared" si="94"/>
        <v>306.61893266146666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1.6797388143412604</v>
      </c>
      <c r="CL113" s="21">
        <f>EXP(-LN(2)/25)*CL112+(1-EXP(-LN(2)/25))/(LN(2)/25)*Calculateur!CG113*Calculateur!CI113*VLOOKUP('Données projet'!$B$12,Paramètres!$A$1:$I$89,3,0)*0.475*44/12</f>
        <v>1.1420531417748498</v>
      </c>
      <c r="CM113" s="21">
        <f>EXP(-LN(2)/2)*CM112+(1-EXP(-LN(2)/2))/(LN(2)/2)*CG113*CJ113*VLOOKUP('Données projet'!$B$12,Paramètres!$A$1:$I$89,3,0)*0.475*44/12</f>
        <v>8.6992245919638236E-12</v>
      </c>
      <c r="CN113" s="22">
        <f t="shared" si="66"/>
        <v>2.8217919561248093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475.01366239340246</v>
      </c>
      <c r="CZ113" s="59">
        <f t="shared" si="96"/>
        <v>322.81767004794284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1.783107356762258</v>
      </c>
      <c r="DG113" s="21">
        <f>EXP(-LN(2)/25)*DG112+(1-EXP(-LN(2)/25))/(LN(2)/25)*Calculateur!DB113*Calculateur!DD113*VLOOKUP('Données projet'!$B$13,Paramètres!$A$1:$I$89,3,0)*0.475*44/12</f>
        <v>1.2123333351148389</v>
      </c>
      <c r="DH113" s="21">
        <f>EXP(-LN(2)/2)*DH112+(1-EXP(-LN(2)/2))/(LN(2)/2)*DB113*DE113*VLOOKUP('Données projet'!$B$13,Paramètres!$A$1:$I$89,3,0)*0.475*44/12</f>
        <v>9.2345614899308304E-12</v>
      </c>
      <c r="DI113" s="22">
        <f t="shared" si="69"/>
        <v>2.9954406918863312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2.0572770154103635E-13</v>
      </c>
      <c r="DQ113" s="13">
        <f t="shared" si="97"/>
        <v>2.8416956338469711E-12</v>
      </c>
      <c r="DR113" s="20">
        <f t="shared" si="70"/>
        <v>5.3075956424674458E-12</v>
      </c>
      <c r="DS113" s="59">
        <f t="shared" si="71"/>
        <v>293.3333333333386</v>
      </c>
      <c r="DT113" s="59">
        <f ca="1">AVERAGE(OFFSET($DS$3,0,0,'Données projet'!$E$14+1,1))-AVERAGE(OFFSET($H$3,0,0,'Données projet'!$E$14+1,1))</f>
        <v>436.23918637269577</v>
      </c>
      <c r="DU113" s="59">
        <f t="shared" si="98"/>
        <v>611.43967996341894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0.6755584445171704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4.2932566002566286E-12</v>
      </c>
      <c r="ED113" s="22">
        <f t="shared" si="72"/>
        <v>0.67555844452146363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430.94515308997018</v>
      </c>
      <c r="T114" s="59">
        <f t="shared" si="88"/>
        <v>294.45557293177131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1.570793999467007</v>
      </c>
      <c r="AA114" s="21">
        <f>EXP(-LN(2)/25)*AA113+(1-EXP(-LN(2)/25))/(LN(2)/25)*Calculateur!V114*Calculateur!X114*VLOOKUP('Données projet'!$B$9,Paramètres!$A$1:$I$89,3,0)*0.475*44/12</f>
        <v>1.0595548552371266</v>
      </c>
      <c r="AB114" s="21">
        <f>EXP(-LN(2)/2)*AB113+(1-EXP(-LN(2)/2))/(LN(2)/2)*V114*Y114*VLOOKUP('Données projet'!$B$9,Paramètres!$A$1:$I$89,3,0)*0.475*44/12</f>
        <v>5.8673754369635182E-12</v>
      </c>
      <c r="AC114" s="22">
        <f t="shared" si="57"/>
        <v>2.6303488547100011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319.22903094674564</v>
      </c>
      <c r="AO114" s="59">
        <f t="shared" si="90"/>
        <v>254.58690973142848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1.8248747671336192</v>
      </c>
      <c r="AV114" s="21">
        <f>EXP(-LN(2)/25)*AV113+(1-EXP(-LN(2)/25))/(LN(2)/25)*Calculateur!AQ114*Calculateur!AS114*VLOOKUP('Données projet'!$B$10,Paramètres!$A$1:$I$89,3,0)*0.475*44/12</f>
        <v>1.1802910150169608</v>
      </c>
      <c r="AW114" s="21">
        <f>EXP(-LN(2)/2)*AW113+(1-EXP(-LN(2)/2))/(LN(2)/2)*AQ114*AT114*VLOOKUP('Données projet'!$B$10,Paramètres!$A$1:$I$89,3,0)*0.475*44/12</f>
        <v>7.1019450382699182E-12</v>
      </c>
      <c r="AX114" s="21">
        <f t="shared" si="60"/>
        <v>3.0051657821576816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395.21779046720553</v>
      </c>
      <c r="BJ114" s="59">
        <f t="shared" si="92"/>
        <v>360.05900046417361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0.96742906481177893</v>
      </c>
      <c r="BQ114" s="21">
        <f>EXP(-LN(2)/25)*BQ113+(1-EXP(-LN(2)/25))/(LN(2)/25)*Calculateur!BL114*Calculateur!BN114*VLOOKUP('Données projet'!$B$11,Paramètres!$A$1:$I$89,3,0)*0.475*44/12</f>
        <v>1.1939278311009276</v>
      </c>
      <c r="BR114" s="21">
        <f>EXP(-LN(2)/2)*BR113+(1-EXP(-LN(2)/2))/(LN(2)/2)*BL114*BO114*VLOOKUP('Données projet'!$B$11,Paramètres!$A$1:$I$89,3,0)*0.475*44/12</f>
        <v>4.5001650615796592E-12</v>
      </c>
      <c r="BS114" s="22">
        <f t="shared" si="63"/>
        <v>2.1613568959172063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449.84356201138451</v>
      </c>
      <c r="CE114" s="59">
        <f t="shared" si="94"/>
        <v>306.61893266146666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1.6468001607315401</v>
      </c>
      <c r="CL114" s="21">
        <f>EXP(-LN(2)/25)*CL113+(1-EXP(-LN(2)/25))/(LN(2)/25)*Calculateur!CG114*Calculateur!CI114*VLOOKUP('Données projet'!$B$12,Paramètres!$A$1:$I$89,3,0)*0.475*44/12</f>
        <v>1.1108236385550521</v>
      </c>
      <c r="CM114" s="21">
        <f>EXP(-LN(2)/2)*CM113+(1-EXP(-LN(2)/2))/(LN(2)/2)*CG114*CJ114*VLOOKUP('Données projet'!$B$12,Paramètres!$A$1:$I$89,3,0)*0.475*44/12</f>
        <v>6.1512807000423967E-12</v>
      </c>
      <c r="CN114" s="22">
        <f t="shared" si="66"/>
        <v>2.7576237992927433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475.01366239340246</v>
      </c>
      <c r="CZ114" s="59">
        <f t="shared" si="96"/>
        <v>322.81767004794284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1.7481417090842473</v>
      </c>
      <c r="DG114" s="21">
        <f>EXP(-LN(2)/25)*DG113+(1-EXP(-LN(2)/25))/(LN(2)/25)*Calculateur!DB114*Calculateur!DD114*VLOOKUP('Données projet'!$B$13,Paramètres!$A$1:$I$89,3,0)*0.475*44/12</f>
        <v>1.1791820163122844</v>
      </c>
      <c r="DH114" s="21">
        <f>EXP(-LN(2)/2)*DH113+(1-EXP(-LN(2)/2))/(LN(2)/2)*DB114*DE114*VLOOKUP('Données projet'!$B$13,Paramètres!$A$1:$I$89,3,0)*0.475*44/12</f>
        <v>6.5298210508142381E-12</v>
      </c>
      <c r="DI114" s="22">
        <f t="shared" si="69"/>
        <v>2.9273237254030615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2.0572770154103635E-13</v>
      </c>
      <c r="DQ114" s="13">
        <f t="shared" si="97"/>
        <v>2.8416956338469711E-12</v>
      </c>
      <c r="DR114" s="20">
        <f t="shared" si="70"/>
        <v>5.3075956424674458E-12</v>
      </c>
      <c r="DS114" s="59">
        <f t="shared" si="71"/>
        <v>293.3333333333386</v>
      </c>
      <c r="DT114" s="59">
        <f ca="1">AVERAGE(OFFSET($DS$3,0,0,'Données projet'!$E$14+1,1))-AVERAGE(OFFSET($H$3,0,0,'Données projet'!$E$14+1,1))</f>
        <v>436.23918637269577</v>
      </c>
      <c r="DU114" s="59">
        <f t="shared" si="98"/>
        <v>611.43967996341894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0.66231115547015329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3.0357908554153649E-12</v>
      </c>
      <c r="ED114" s="22">
        <f t="shared" si="72"/>
        <v>0.66231115547318908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430.94515308997018</v>
      </c>
      <c r="T115" s="59">
        <f t="shared" si="88"/>
        <v>294.45557293177131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1.5399916872271953</v>
      </c>
      <c r="AA115" s="21">
        <f>EXP(-LN(2)/25)*AA114+(1-EXP(-LN(2)/25))/(LN(2)/25)*Calculateur!V115*Calculateur!X115*VLOOKUP('Données projet'!$B$9,Paramètres!$A$1:$I$89,3,0)*0.475*44/12</f>
        <v>1.0305812720010992</v>
      </c>
      <c r="AB115" s="21">
        <f>EXP(-LN(2)/2)*AB114+(1-EXP(-LN(2)/2))/(LN(2)/2)*V115*Y115*VLOOKUP('Données projet'!$B$9,Paramètres!$A$1:$I$89,3,0)*0.475*44/12</f>
        <v>4.1488609592442861E-12</v>
      </c>
      <c r="AC115" s="22">
        <f t="shared" si="57"/>
        <v>2.5705729592324431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319.22903094674564</v>
      </c>
      <c r="AO115" s="59">
        <f t="shared" si="90"/>
        <v>254.58690973142848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1.789090086013831</v>
      </c>
      <c r="AV115" s="21">
        <f>EXP(-LN(2)/25)*AV114+(1-EXP(-LN(2)/25))/(LN(2)/25)*Calculateur!AQ115*Calculateur!AS115*VLOOKUP('Données projet'!$B$10,Paramètres!$A$1:$I$89,3,0)*0.475*44/12</f>
        <v>1.148015895142515</v>
      </c>
      <c r="AW115" s="21">
        <f>EXP(-LN(2)/2)*AW114+(1-EXP(-LN(2)/2))/(LN(2)/2)*AQ115*AT115*VLOOKUP('Données projet'!$B$10,Paramètres!$A$1:$I$89,3,0)*0.475*44/12</f>
        <v>5.0218334961748141E-12</v>
      </c>
      <c r="AX115" s="21">
        <f t="shared" si="60"/>
        <v>2.937105981161368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395.21779046720553</v>
      </c>
      <c r="BJ115" s="59">
        <f t="shared" si="92"/>
        <v>360.05900046417361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0.94845837092428453</v>
      </c>
      <c r="BQ115" s="21">
        <f>EXP(-LN(2)/25)*BQ114+(1-EXP(-LN(2)/25))/(LN(2)/25)*Calculateur!BL115*Calculateur!BN115*VLOOKUP('Données projet'!$B$11,Paramètres!$A$1:$I$89,3,0)*0.475*44/12</f>
        <v>1.1612798117735368</v>
      </c>
      <c r="BR115" s="21">
        <f>EXP(-LN(2)/2)*BR114+(1-EXP(-LN(2)/2))/(LN(2)/2)*BL115*BO115*VLOOKUP('Données projet'!$B$11,Paramètres!$A$1:$I$89,3,0)*0.475*44/12</f>
        <v>3.1820972315017543E-12</v>
      </c>
      <c r="BS115" s="22">
        <f t="shared" si="63"/>
        <v>2.1097381827010033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449.84356201138451</v>
      </c>
      <c r="CE115" s="59">
        <f t="shared" si="94"/>
        <v>306.61893266146666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1.6145074140285116</v>
      </c>
      <c r="CL115" s="21">
        <f>EXP(-LN(2)/25)*CL114+(1-EXP(-LN(2)/25))/(LN(2)/25)*Calculateur!CG115*Calculateur!CI115*VLOOKUP('Données projet'!$B$12,Paramètres!$A$1:$I$89,3,0)*0.475*44/12</f>
        <v>1.0804481077430879</v>
      </c>
      <c r="CM115" s="21">
        <f>EXP(-LN(2)/2)*CM114+(1-EXP(-LN(2)/2))/(LN(2)/2)*CG115*CJ115*VLOOKUP('Données projet'!$B$12,Paramètres!$A$1:$I$89,3,0)*0.475*44/12</f>
        <v>4.3496122959819118E-12</v>
      </c>
      <c r="CN115" s="22">
        <f t="shared" si="66"/>
        <v>2.6949555217759489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475.01366239340246</v>
      </c>
      <c r="CZ115" s="59">
        <f t="shared" si="96"/>
        <v>322.81767004794284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1.7138617164302632</v>
      </c>
      <c r="DG115" s="21">
        <f>EXP(-LN(2)/25)*DG114+(1-EXP(-LN(2)/25))/(LN(2)/25)*Calculateur!DB115*Calculateur!DD115*VLOOKUP('Données projet'!$B$13,Paramètres!$A$1:$I$89,3,0)*0.475*44/12</f>
        <v>1.1469372220657377</v>
      </c>
      <c r="DH115" s="21">
        <f>EXP(-LN(2)/2)*DH114+(1-EXP(-LN(2)/2))/(LN(2)/2)*DB115*DE115*VLOOKUP('Données projet'!$B$13,Paramètres!$A$1:$I$89,3,0)*0.475*44/12</f>
        <v>4.6172807449654152E-12</v>
      </c>
      <c r="DI115" s="22">
        <f t="shared" si="69"/>
        <v>2.8607989385006181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2.0572770154103635E-13</v>
      </c>
      <c r="DQ115" s="13">
        <f t="shared" si="97"/>
        <v>2.8416956338469711E-12</v>
      </c>
      <c r="DR115" s="20">
        <f t="shared" si="70"/>
        <v>5.3075956424674458E-12</v>
      </c>
      <c r="DS115" s="59">
        <f t="shared" si="71"/>
        <v>293.3333333333386</v>
      </c>
      <c r="DT115" s="59">
        <f ca="1">AVERAGE(OFFSET($DS$3,0,0,'Données projet'!$E$14+1,1))-AVERAGE(OFFSET($H$3,0,0,'Données projet'!$E$14+1,1))</f>
        <v>436.23918637269577</v>
      </c>
      <c r="DU115" s="59">
        <f t="shared" si="98"/>
        <v>611.43967996341894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0.64932363768129975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2.1466283001283143E-12</v>
      </c>
      <c r="ED115" s="22">
        <f t="shared" si="72"/>
        <v>0.64932363768344636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430.94515308997018</v>
      </c>
      <c r="T116" s="59">
        <f t="shared" si="88"/>
        <v>294.45557293177131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1.5097933895428508</v>
      </c>
      <c r="AA116" s="21">
        <f>EXP(-LN(2)/25)*AA115+(1-EXP(-LN(2)/25))/(LN(2)/25)*Calculateur!V116*Calculateur!X116*VLOOKUP('Données projet'!$B$9,Paramètres!$A$1:$I$89,3,0)*0.475*44/12</f>
        <v>1.0023999729223154</v>
      </c>
      <c r="AB116" s="21">
        <f>EXP(-LN(2)/2)*AB115+(1-EXP(-LN(2)/2))/(LN(2)/2)*V116*Y116*VLOOKUP('Données projet'!$B$9,Paramètres!$A$1:$I$89,3,0)*0.475*44/12</f>
        <v>2.9336877184817591E-12</v>
      </c>
      <c r="AC116" s="22">
        <f t="shared" si="57"/>
        <v>2.5121933624680999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319.22903094674564</v>
      </c>
      <c r="AO116" s="59">
        <f t="shared" si="90"/>
        <v>254.58690973142848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1.7540071206643015</v>
      </c>
      <c r="AV116" s="21">
        <f>EXP(-LN(2)/25)*AV115+(1-EXP(-LN(2)/25))/(LN(2)/25)*Calculateur!AQ116*Calculateur!AS116*VLOOKUP('Données projet'!$B$10,Paramètres!$A$1:$I$89,3,0)*0.475*44/12</f>
        <v>1.1166233401183108</v>
      </c>
      <c r="AW116" s="21">
        <f>EXP(-LN(2)/2)*AW115+(1-EXP(-LN(2)/2))/(LN(2)/2)*AQ116*AT116*VLOOKUP('Données projet'!$B$10,Paramètres!$A$1:$I$89,3,0)*0.475*44/12</f>
        <v>3.5509725191349595E-12</v>
      </c>
      <c r="AX116" s="21">
        <f t="shared" si="60"/>
        <v>2.8706304607861632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395.21779046720553</v>
      </c>
      <c r="BJ116" s="59">
        <f t="shared" si="92"/>
        <v>360.05900046417361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0.92985968077294323</v>
      </c>
      <c r="BQ116" s="21">
        <f>EXP(-LN(2)/25)*BQ115+(1-EXP(-LN(2)/25))/(LN(2)/25)*Calculateur!BL116*Calculateur!BN116*VLOOKUP('Données projet'!$B$11,Paramètres!$A$1:$I$89,3,0)*0.475*44/12</f>
        <v>1.1295245542515382</v>
      </c>
      <c r="BR116" s="21">
        <f>EXP(-LN(2)/2)*BR115+(1-EXP(-LN(2)/2))/(LN(2)/2)*BL116*BO116*VLOOKUP('Données projet'!$B$11,Paramètres!$A$1:$I$89,3,0)*0.475*44/12</f>
        <v>2.2500825307898296E-12</v>
      </c>
      <c r="BS116" s="22">
        <f t="shared" si="63"/>
        <v>2.0593842350267315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449.84356201138451</v>
      </c>
      <c r="CE116" s="59">
        <f t="shared" si="94"/>
        <v>306.61893266146666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1.5828479083916989</v>
      </c>
      <c r="CL116" s="21">
        <f>EXP(-LN(2)/25)*CL115+(1-EXP(-LN(2)/25))/(LN(2)/25)*Calculateur!CG116*Calculateur!CI116*VLOOKUP('Données projet'!$B$12,Paramètres!$A$1:$I$89,3,0)*0.475*44/12</f>
        <v>1.0509031974185565</v>
      </c>
      <c r="CM116" s="21">
        <f>EXP(-LN(2)/2)*CM115+(1-EXP(-LN(2)/2))/(LN(2)/2)*CG116*CJ116*VLOOKUP('Données projet'!$B$12,Paramètres!$A$1:$I$89,3,0)*0.475*44/12</f>
        <v>3.0756403500211983E-12</v>
      </c>
      <c r="CN116" s="22">
        <f t="shared" si="66"/>
        <v>2.6337511058133312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475.01366239340246</v>
      </c>
      <c r="CZ116" s="59">
        <f t="shared" si="96"/>
        <v>322.81767004794284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1.6802539335234927</v>
      </c>
      <c r="DG116" s="21">
        <f>EXP(-LN(2)/25)*DG115+(1-EXP(-LN(2)/25))/(LN(2)/25)*Calculateur!DB116*Calculateur!DD116*VLOOKUP('Données projet'!$B$13,Paramètres!$A$1:$I$89,3,0)*0.475*44/12</f>
        <v>1.115574163413543</v>
      </c>
      <c r="DH116" s="21">
        <f>EXP(-LN(2)/2)*DH115+(1-EXP(-LN(2)/2))/(LN(2)/2)*DB116*DE116*VLOOKUP('Données projet'!$B$13,Paramètres!$A$1:$I$89,3,0)*0.475*44/12</f>
        <v>3.264910525407119E-12</v>
      </c>
      <c r="DI116" s="22">
        <f t="shared" si="69"/>
        <v>2.7958280969403004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2.0572770154103635E-13</v>
      </c>
      <c r="DQ116" s="13">
        <f t="shared" si="97"/>
        <v>2.8416956338469711E-12</v>
      </c>
      <c r="DR116" s="20">
        <f t="shared" si="70"/>
        <v>5.3075956424674458E-12</v>
      </c>
      <c r="DS116" s="59">
        <f t="shared" si="71"/>
        <v>293.3333333333386</v>
      </c>
      <c r="DT116" s="59">
        <f ca="1">AVERAGE(OFFSET($DS$3,0,0,'Données projet'!$E$14+1,1))-AVERAGE(OFFSET($H$3,0,0,'Données projet'!$E$14+1,1))</f>
        <v>436.23918637269577</v>
      </c>
      <c r="DU116" s="59">
        <f t="shared" si="98"/>
        <v>611.43967996341894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0.63659079719468192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1.5178954277076824E-12</v>
      </c>
      <c r="ED116" s="22">
        <f t="shared" si="72"/>
        <v>0.63659079719619982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430.94515308997018</v>
      </c>
      <c r="T117" s="59">
        <f t="shared" si="88"/>
        <v>294.45557293177131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1.4801872620569534</v>
      </c>
      <c r="AA117" s="21">
        <f>EXP(-LN(2)/25)*AA116+(1-EXP(-LN(2)/25))/(LN(2)/25)*Calculateur!V117*Calculateur!X117*VLOOKUP('Données projet'!$B$9,Paramètres!$A$1:$I$89,3,0)*0.475*44/12</f>
        <v>0.97498929294883119</v>
      </c>
      <c r="AB117" s="21">
        <f>EXP(-LN(2)/2)*AB116+(1-EXP(-LN(2)/2))/(LN(2)/2)*V117*Y117*VLOOKUP('Données projet'!$B$9,Paramètres!$A$1:$I$89,3,0)*0.475*44/12</f>
        <v>2.074430479622143E-12</v>
      </c>
      <c r="AC117" s="22">
        <f t="shared" si="57"/>
        <v>2.455176555007859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319.22903094674564</v>
      </c>
      <c r="AO117" s="59">
        <f t="shared" si="90"/>
        <v>254.58690973142848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1.7196121108667803</v>
      </c>
      <c r="AV117" s="21">
        <f>EXP(-LN(2)/25)*AV116+(1-EXP(-LN(2)/25))/(LN(2)/25)*Calculateur!AQ117*Calculateur!AS117*VLOOKUP('Données projet'!$B$10,Paramètres!$A$1:$I$89,3,0)*0.475*44/12</f>
        <v>1.0860892161621061</v>
      </c>
      <c r="AW117" s="21">
        <f>EXP(-LN(2)/2)*AW116+(1-EXP(-LN(2)/2))/(LN(2)/2)*AQ117*AT117*VLOOKUP('Données projet'!$B$10,Paramètres!$A$1:$I$89,3,0)*0.475*44/12</f>
        <v>2.5109167480874075E-12</v>
      </c>
      <c r="AX117" s="21">
        <f t="shared" si="60"/>
        <v>2.8057013270313975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395.21779046720553</v>
      </c>
      <c r="BJ117" s="59">
        <f t="shared" si="92"/>
        <v>360.05900046417361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0.91162569959138884</v>
      </c>
      <c r="BQ117" s="21">
        <f>EXP(-LN(2)/25)*BQ116+(1-EXP(-LN(2)/25))/(LN(2)/25)*Calculateur!BL117*Calculateur!BN117*VLOOKUP('Données projet'!$B$11,Paramètres!$A$1:$I$89,3,0)*0.475*44/12</f>
        <v>1.0986376459164151</v>
      </c>
      <c r="BR117" s="21">
        <f>EXP(-LN(2)/2)*BR116+(1-EXP(-LN(2)/2))/(LN(2)/2)*BL117*BO117*VLOOKUP('Données projet'!$B$11,Paramètres!$A$1:$I$89,3,0)*0.475*44/12</f>
        <v>1.5910486157508771E-12</v>
      </c>
      <c r="BS117" s="22">
        <f t="shared" si="63"/>
        <v>2.010263345509395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449.84356201138451</v>
      </c>
      <c r="CE117" s="59">
        <f t="shared" si="94"/>
        <v>306.61893266146666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1.5518092263500323</v>
      </c>
      <c r="CL117" s="21">
        <f>EXP(-LN(2)/25)*CL116+(1-EXP(-LN(2)/25))/(LN(2)/25)*Calculateur!CG117*Calculateur!CI117*VLOOKUP('Données projet'!$B$12,Paramètres!$A$1:$I$89,3,0)*0.475*44/12</f>
        <v>1.0221661942205489</v>
      </c>
      <c r="CM117" s="21">
        <f>EXP(-LN(2)/2)*CM116+(1-EXP(-LN(2)/2))/(LN(2)/2)*CG117*CJ117*VLOOKUP('Données projet'!$B$12,Paramètres!$A$1:$I$89,3,0)*0.475*44/12</f>
        <v>2.1748061479909559E-12</v>
      </c>
      <c r="CN117" s="22">
        <f t="shared" si="66"/>
        <v>2.5739754205727556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475.01366239340246</v>
      </c>
      <c r="CZ117" s="59">
        <f t="shared" si="96"/>
        <v>322.81767004794284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1.6473051787408006</v>
      </c>
      <c r="DG117" s="21">
        <f>EXP(-LN(2)/25)*DG116+(1-EXP(-LN(2)/25))/(LN(2)/25)*Calculateur!DB117*Calculateur!DD117*VLOOKUP('Données projet'!$B$13,Paramètres!$A$1:$I$89,3,0)*0.475*44/12</f>
        <v>1.085068729249504</v>
      </c>
      <c r="DH117" s="21">
        <f>EXP(-LN(2)/2)*DH116+(1-EXP(-LN(2)/2))/(LN(2)/2)*DB117*DE117*VLOOKUP('Données projet'!$B$13,Paramètres!$A$1:$I$89,3,0)*0.475*44/12</f>
        <v>2.3086403724827076E-12</v>
      </c>
      <c r="DI117" s="22">
        <f t="shared" si="69"/>
        <v>2.7323739079926135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2.0572770154103635E-13</v>
      </c>
      <c r="DQ117" s="13">
        <f t="shared" si="97"/>
        <v>2.8416956338469711E-12</v>
      </c>
      <c r="DR117" s="20">
        <f t="shared" si="70"/>
        <v>5.3075956424674458E-12</v>
      </c>
      <c r="DS117" s="59">
        <f t="shared" si="71"/>
        <v>293.3333333333386</v>
      </c>
      <c r="DT117" s="59">
        <f ca="1">AVERAGE(OFFSET($DS$3,0,0,'Données projet'!$E$14+1,1))-AVERAGE(OFFSET($H$3,0,0,'Données projet'!$E$14+1,1))</f>
        <v>436.23918637269577</v>
      </c>
      <c r="DU117" s="59">
        <f t="shared" si="98"/>
        <v>611.43967996341894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0.62410763994374086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1.0733141500641572E-12</v>
      </c>
      <c r="ED117" s="22">
        <f t="shared" si="72"/>
        <v>0.62410763994481422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430.94515308997018</v>
      </c>
      <c r="T118" s="59">
        <f t="shared" si="88"/>
        <v>294.45557293177131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1.4511616926730999</v>
      </c>
      <c r="AA118" s="21">
        <f>EXP(-LN(2)/25)*AA117+(1-EXP(-LN(2)/25))/(LN(2)/25)*Calculateur!V118*Calculateur!X118*VLOOKUP('Données projet'!$B$9,Paramètres!$A$1:$I$89,3,0)*0.475*44/12</f>
        <v>0.94832815946068683</v>
      </c>
      <c r="AB118" s="21">
        <f>EXP(-LN(2)/2)*AB117+(1-EXP(-LN(2)/2))/(LN(2)/2)*V118*Y118*VLOOKUP('Données projet'!$B$9,Paramètres!$A$1:$I$89,3,0)*0.475*44/12</f>
        <v>1.4668438592408796E-12</v>
      </c>
      <c r="AC118" s="22">
        <f t="shared" si="57"/>
        <v>2.3994898521352535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319.22903094674564</v>
      </c>
      <c r="AO118" s="59">
        <f t="shared" si="90"/>
        <v>254.58690973142848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1.685891566232504</v>
      </c>
      <c r="AV118" s="21">
        <f>EXP(-LN(2)/25)*AV117+(1-EXP(-LN(2)/25))/(LN(2)/25)*Calculateur!AQ118*Calculateur!AS118*VLOOKUP('Données projet'!$B$10,Paramètres!$A$1:$I$89,3,0)*0.475*44/12</f>
        <v>1.0563900494312037</v>
      </c>
      <c r="AW118" s="21">
        <f>EXP(-LN(2)/2)*AW117+(1-EXP(-LN(2)/2))/(LN(2)/2)*AQ118*AT118*VLOOKUP('Données projet'!$B$10,Paramètres!$A$1:$I$89,3,0)*0.475*44/12</f>
        <v>1.7754862595674799E-12</v>
      </c>
      <c r="AX118" s="21">
        <f t="shared" si="60"/>
        <v>2.7422816156654832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395.21779046720553</v>
      </c>
      <c r="BJ118" s="59">
        <f t="shared" si="92"/>
        <v>360.05900046417361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0.89374927565917439</v>
      </c>
      <c r="BQ118" s="21">
        <f>EXP(-LN(2)/25)*BQ117+(1-EXP(-LN(2)/25))/(LN(2)/25)*Calculateur!BL118*Calculateur!BN118*VLOOKUP('Données projet'!$B$11,Paramètres!$A$1:$I$89,3,0)*0.475*44/12</f>
        <v>1.068595341713988</v>
      </c>
      <c r="BR118" s="21">
        <f>EXP(-LN(2)/2)*BR117+(1-EXP(-LN(2)/2))/(LN(2)/2)*BL118*BO118*VLOOKUP('Données projet'!$B$11,Paramètres!$A$1:$I$89,3,0)*0.475*44/12</f>
        <v>1.1250412653949148E-12</v>
      </c>
      <c r="BS118" s="22">
        <f t="shared" si="63"/>
        <v>1.9623446173742873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449.84356201138451</v>
      </c>
      <c r="CE118" s="59">
        <f t="shared" si="94"/>
        <v>306.61893266146666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1.521379193931476</v>
      </c>
      <c r="CL118" s="21">
        <f>EXP(-LN(2)/25)*CL117+(1-EXP(-LN(2)/25))/(LN(2)/25)*Calculateur!CG118*Calculateur!CI118*VLOOKUP('Données projet'!$B$12,Paramètres!$A$1:$I$89,3,0)*0.475*44/12</f>
        <v>0.99421500588620404</v>
      </c>
      <c r="CM118" s="21">
        <f>EXP(-LN(2)/2)*CM117+(1-EXP(-LN(2)/2))/(LN(2)/2)*CG118*CJ118*VLOOKUP('Données projet'!$B$12,Paramètres!$A$1:$I$89,3,0)*0.475*44/12</f>
        <v>1.5378201750105992E-12</v>
      </c>
      <c r="CN118" s="22">
        <f t="shared" si="66"/>
        <v>2.5155941998192177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475.01366239340246</v>
      </c>
      <c r="CZ118" s="59">
        <f t="shared" si="96"/>
        <v>322.81767004794284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1.6150025289426411</v>
      </c>
      <c r="DG118" s="21">
        <f>EXP(-LN(2)/25)*DG117+(1-EXP(-LN(2)/25))/(LN(2)/25)*Calculateur!DB118*Calculateur!DD118*VLOOKUP('Données projet'!$B$13,Paramètres!$A$1:$I$89,3,0)*0.475*44/12</f>
        <v>1.0553974677868918</v>
      </c>
      <c r="DH118" s="21">
        <f>EXP(-LN(2)/2)*DH117+(1-EXP(-LN(2)/2))/(LN(2)/2)*DB118*DE118*VLOOKUP('Données projet'!$B$13,Paramètres!$A$1:$I$89,3,0)*0.475*44/12</f>
        <v>1.6324552627035595E-12</v>
      </c>
      <c r="DI118" s="22">
        <f t="shared" si="69"/>
        <v>2.6703999967311653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2.0572770154103635E-13</v>
      </c>
      <c r="DQ118" s="13">
        <f t="shared" si="97"/>
        <v>2.8416956338469711E-12</v>
      </c>
      <c r="DR118" s="20">
        <f t="shared" si="70"/>
        <v>5.3075956424674458E-12</v>
      </c>
      <c r="DS118" s="59">
        <f t="shared" si="71"/>
        <v>293.3333333333386</v>
      </c>
      <c r="DT118" s="59">
        <f ca="1">AVERAGE(OFFSET($DS$3,0,0,'Données projet'!$E$14+1,1))-AVERAGE(OFFSET($H$3,0,0,'Données projet'!$E$14+1,1))</f>
        <v>436.23918637269577</v>
      </c>
      <c r="DU118" s="59">
        <f t="shared" si="98"/>
        <v>611.43967996341894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0.61186926979251666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7.5894771385384122E-13</v>
      </c>
      <c r="ED118" s="22">
        <f t="shared" si="72"/>
        <v>0.61186926979327561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430.94515308997018</v>
      </c>
      <c r="T119" s="59">
        <f t="shared" si="88"/>
        <v>294.45557293177131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1.4227052970010146</v>
      </c>
      <c r="AA119" s="21">
        <f>EXP(-LN(2)/25)*AA118+(1-EXP(-LN(2)/25))/(LN(2)/25)*Calculateur!V119*Calculateur!X119*VLOOKUP('Données projet'!$B$9,Paramètres!$A$1:$I$89,3,0)*0.475*44/12</f>
        <v>0.92239607606982388</v>
      </c>
      <c r="AB119" s="21">
        <f>EXP(-LN(2)/2)*AB118+(1-EXP(-LN(2)/2))/(LN(2)/2)*V119*Y119*VLOOKUP('Données projet'!$B$9,Paramètres!$A$1:$I$89,3,0)*0.475*44/12</f>
        <v>1.0372152398110715E-12</v>
      </c>
      <c r="AC119" s="22">
        <f t="shared" si="57"/>
        <v>2.3451013730718757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319.22903094674564</v>
      </c>
      <c r="AO119" s="59">
        <f t="shared" si="90"/>
        <v>254.58690973142848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1.6528322609110047</v>
      </c>
      <c r="AV119" s="21">
        <f>EXP(-LN(2)/25)*AV118+(1-EXP(-LN(2)/25))/(LN(2)/25)*Calculateur!AQ119*Calculateur!AS119*VLOOKUP('Données projet'!$B$10,Paramètres!$A$1:$I$89,3,0)*0.475*44/12</f>
        <v>1.0275030079763692</v>
      </c>
      <c r="AW119" s="21">
        <f>EXP(-LN(2)/2)*AW118+(1-EXP(-LN(2)/2))/(LN(2)/2)*AQ119*AT119*VLOOKUP('Données projet'!$B$10,Paramètres!$A$1:$I$89,3,0)*0.475*44/12</f>
        <v>1.2554583740437039E-12</v>
      </c>
      <c r="AX119" s="21">
        <f t="shared" si="60"/>
        <v>2.6803352688886295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395.21779046720553</v>
      </c>
      <c r="BJ119" s="59">
        <f t="shared" si="92"/>
        <v>360.05900046417361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0.87622339749672873</v>
      </c>
      <c r="BQ119" s="21">
        <f>EXP(-LN(2)/25)*BQ118+(1-EXP(-LN(2)/25))/(LN(2)/25)*Calculateur!BL119*Calculateur!BN119*VLOOKUP('Données projet'!$B$11,Paramètres!$A$1:$I$89,3,0)*0.475*44/12</f>
        <v>1.0393745458998322</v>
      </c>
      <c r="BR119" s="21">
        <f>EXP(-LN(2)/2)*BR118+(1-EXP(-LN(2)/2))/(LN(2)/2)*BL119*BO119*VLOOKUP('Données projet'!$B$11,Paramètres!$A$1:$I$89,3,0)*0.475*44/12</f>
        <v>7.9552430787543857E-13</v>
      </c>
      <c r="BS119" s="22">
        <f t="shared" si="63"/>
        <v>1.9155979433973565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449.84356201138451</v>
      </c>
      <c r="CE119" s="59">
        <f t="shared" si="94"/>
        <v>306.61893266146666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1.4915458758881606</v>
      </c>
      <c r="CL119" s="21">
        <f>EXP(-LN(2)/25)*CL118+(1-EXP(-LN(2)/25))/(LN(2)/25)*Calculateur!CG119*Calculateur!CI119*VLOOKUP('Données projet'!$B$12,Paramètres!$A$1:$I$89,3,0)*0.475*44/12</f>
        <v>0.96702814426675099</v>
      </c>
      <c r="CM119" s="21">
        <f>EXP(-LN(2)/2)*CM118+(1-EXP(-LN(2)/2))/(LN(2)/2)*CG119*CJ119*VLOOKUP('Données projet'!$B$12,Paramètres!$A$1:$I$89,3,0)*0.475*44/12</f>
        <v>1.087403073995478E-12</v>
      </c>
      <c r="CN119" s="22">
        <f t="shared" si="66"/>
        <v>2.4585740201559991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475.01366239340246</v>
      </c>
      <c r="CZ119" s="59">
        <f t="shared" si="96"/>
        <v>322.81767004794284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1.5833333144043524</v>
      </c>
      <c r="DG119" s="21">
        <f>EXP(-LN(2)/25)*DG118+(1-EXP(-LN(2)/25))/(LN(2)/25)*Calculateur!DB119*Calculateur!DD119*VLOOKUP('Données projet'!$B$13,Paramètres!$A$1:$I$89,3,0)*0.475*44/12</f>
        <v>1.0265375685293185</v>
      </c>
      <c r="DH119" s="21">
        <f>EXP(-LN(2)/2)*DH118+(1-EXP(-LN(2)/2))/(LN(2)/2)*DB119*DE119*VLOOKUP('Données projet'!$B$13,Paramètres!$A$1:$I$89,3,0)*0.475*44/12</f>
        <v>1.1543201862413538E-12</v>
      </c>
      <c r="DI119" s="22">
        <f t="shared" si="69"/>
        <v>2.6098708829348252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2.0572770154103635E-13</v>
      </c>
      <c r="DQ119" s="13">
        <f t="shared" si="97"/>
        <v>2.8416956338469711E-12</v>
      </c>
      <c r="DR119" s="20">
        <f t="shared" si="70"/>
        <v>5.3075956424674458E-12</v>
      </c>
      <c r="DS119" s="59">
        <f t="shared" si="71"/>
        <v>293.3333333333386</v>
      </c>
      <c r="DT119" s="59">
        <f ca="1">AVERAGE(OFFSET($DS$3,0,0,'Données projet'!$E$14+1,1))-AVERAGE(OFFSET($H$3,0,0,'Données projet'!$E$14+1,1))</f>
        <v>436.23918637269577</v>
      </c>
      <c r="DU119" s="59">
        <f t="shared" si="98"/>
        <v>611.43967996341894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0.5998708866152892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5.3665707503207858E-13</v>
      </c>
      <c r="ED119" s="22">
        <f t="shared" si="72"/>
        <v>0.59987088661582588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430.94515308997018</v>
      </c>
      <c r="T120" s="59">
        <f t="shared" si="88"/>
        <v>294.45557293177131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1.3948069138913712</v>
      </c>
      <c r="AA120" s="21">
        <f>EXP(-LN(2)/25)*AA119+(1-EXP(-LN(2)/25))/(LN(2)/25)*Calculateur!V120*Calculateur!X120*VLOOKUP('Données projet'!$B$9,Paramètres!$A$1:$I$89,3,0)*0.475*44/12</f>
        <v>0.89717310686299312</v>
      </c>
      <c r="AB120" s="21">
        <f>EXP(-LN(2)/2)*AB119+(1-EXP(-LN(2)/2))/(LN(2)/2)*V120*Y120*VLOOKUP('Données projet'!$B$9,Paramètres!$A$1:$I$89,3,0)*0.475*44/12</f>
        <v>7.3342192962043978E-13</v>
      </c>
      <c r="AC120" s="22">
        <f t="shared" si="57"/>
        <v>2.2919800207550978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319.22903094674564</v>
      </c>
      <c r="AO120" s="59">
        <f t="shared" si="90"/>
        <v>254.58690973142848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1.6204212284026747</v>
      </c>
      <c r="AV120" s="21">
        <f>EXP(-LN(2)/25)*AV119+(1-EXP(-LN(2)/25))/(LN(2)/25)*Calculateur!AQ120*Calculateur!AS120*VLOOKUP('Données projet'!$B$10,Paramètres!$A$1:$I$89,3,0)*0.475*44/12</f>
        <v>0.99940588418922061</v>
      </c>
      <c r="AW120" s="21">
        <f>EXP(-LN(2)/2)*AW119+(1-EXP(-LN(2)/2))/(LN(2)/2)*AQ120*AT120*VLOOKUP('Données projet'!$B$10,Paramètres!$A$1:$I$89,3,0)*0.475*44/12</f>
        <v>8.8774312978374017E-13</v>
      </c>
      <c r="AX120" s="21">
        <f t="shared" si="60"/>
        <v>2.619827112592783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395.21779046720553</v>
      </c>
      <c r="BJ120" s="59">
        <f t="shared" si="92"/>
        <v>360.05900046417361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0.8590411911153184</v>
      </c>
      <c r="BQ120" s="21">
        <f>EXP(-LN(2)/25)*BQ119+(1-EXP(-LN(2)/25))/(LN(2)/25)*Calculateur!BL120*Calculateur!BN120*VLOOKUP('Données projet'!$B$11,Paramètres!$A$1:$I$89,3,0)*0.475*44/12</f>
        <v>1.0109527942838694</v>
      </c>
      <c r="BR120" s="21">
        <f>EXP(-LN(2)/2)*BR119+(1-EXP(-LN(2)/2))/(LN(2)/2)*BL120*BO120*VLOOKUP('Données projet'!$B$11,Paramètres!$A$1:$I$89,3,0)*0.475*44/12</f>
        <v>5.6252063269745739E-13</v>
      </c>
      <c r="BS120" s="22">
        <f t="shared" si="63"/>
        <v>1.8699939853997503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449.84356201138451</v>
      </c>
      <c r="CE120" s="59">
        <f t="shared" si="94"/>
        <v>306.61893266146666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1.4622975710151473</v>
      </c>
      <c r="CL120" s="21">
        <f>EXP(-LN(2)/25)*CL119+(1-EXP(-LN(2)/25))/(LN(2)/25)*Calculateur!CG120*Calculateur!CI120*VLOOKUP('Données projet'!$B$12,Paramètres!$A$1:$I$89,3,0)*0.475*44/12</f>
        <v>0.94058470880797673</v>
      </c>
      <c r="CM120" s="21">
        <f>EXP(-LN(2)/2)*CM119+(1-EXP(-LN(2)/2))/(LN(2)/2)*CG120*CJ120*VLOOKUP('Données projet'!$B$12,Paramètres!$A$1:$I$89,3,0)*0.475*44/12</f>
        <v>7.6891008750529958E-13</v>
      </c>
      <c r="CN120" s="22">
        <f t="shared" si="66"/>
        <v>2.4028822798238929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475.01366239340246</v>
      </c>
      <c r="CZ120" s="59">
        <f t="shared" si="96"/>
        <v>322.81767004794284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1.5522851138468461</v>
      </c>
      <c r="DG120" s="21">
        <f>EXP(-LN(2)/25)*DG119+(1-EXP(-LN(2)/25))/(LN(2)/25)*Calculateur!DB120*Calculateur!DD120*VLOOKUP('Données projet'!$B$13,Paramètres!$A$1:$I$89,3,0)*0.475*44/12</f>
        <v>0.99846684473461977</v>
      </c>
      <c r="DH120" s="21">
        <f>EXP(-LN(2)/2)*DH119+(1-EXP(-LN(2)/2))/(LN(2)/2)*DB120*DE120*VLOOKUP('Données projet'!$B$13,Paramètres!$A$1:$I$89,3,0)*0.475*44/12</f>
        <v>8.1622763135177976E-13</v>
      </c>
      <c r="DI120" s="22">
        <f t="shared" si="69"/>
        <v>2.550751958582282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2.0572770154103635E-13</v>
      </c>
      <c r="DQ120" s="13">
        <f t="shared" si="97"/>
        <v>2.8416956338469711E-12</v>
      </c>
      <c r="DR120" s="20">
        <f t="shared" si="70"/>
        <v>5.3075956424674458E-12</v>
      </c>
      <c r="DS120" s="59">
        <f t="shared" si="71"/>
        <v>293.3333333333386</v>
      </c>
      <c r="DT120" s="59">
        <f ca="1">AVERAGE(OFFSET($DS$3,0,0,'Données projet'!$E$14+1,1))-AVERAGE(OFFSET($H$3,0,0,'Données projet'!$E$14+1,1))</f>
        <v>436.23918637269577</v>
      </c>
      <c r="DU120" s="59">
        <f t="shared" si="98"/>
        <v>611.43967996341894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0.58810778441387601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3.7947385692692061E-13</v>
      </c>
      <c r="ED120" s="22">
        <f t="shared" si="72"/>
        <v>0.58810778441425549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430.94515308997018</v>
      </c>
      <c r="T121" s="59">
        <f t="shared" si="88"/>
        <v>294.45557293177131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1.3674556010581744</v>
      </c>
      <c r="AA121" s="21">
        <f>EXP(-LN(2)/25)*AA120+(1-EXP(-LN(2)/25))/(LN(2)/25)*Calculateur!V121*Calculateur!X121*VLOOKUP('Données projet'!$B$9,Paramètres!$A$1:$I$89,3,0)*0.475*44/12</f>
        <v>0.87263986107554137</v>
      </c>
      <c r="AB121" s="21">
        <f>EXP(-LN(2)/2)*AB120+(1-EXP(-LN(2)/2))/(LN(2)/2)*V121*Y121*VLOOKUP('Données projet'!$B$9,Paramètres!$A$1:$I$89,3,0)*0.475*44/12</f>
        <v>5.1860761990553576E-13</v>
      </c>
      <c r="AC121" s="22">
        <f t="shared" si="57"/>
        <v>2.2400954621342346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319.22903094674564</v>
      </c>
      <c r="AO121" s="59">
        <f t="shared" si="90"/>
        <v>254.58690973142848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1.5886457564730552</v>
      </c>
      <c r="AV121" s="21">
        <f>EXP(-LN(2)/25)*AV120+(1-EXP(-LN(2)/25))/(LN(2)/25)*Calculateur!AQ121*Calculateur!AS121*VLOOKUP('Données projet'!$B$10,Paramètres!$A$1:$I$89,3,0)*0.475*44/12</f>
        <v>0.97207707772959506</v>
      </c>
      <c r="AW121" s="21">
        <f>EXP(-LN(2)/2)*AW120+(1-EXP(-LN(2)/2))/(LN(2)/2)*AQ121*AT121*VLOOKUP('Données projet'!$B$10,Paramètres!$A$1:$I$89,3,0)*0.475*44/12</f>
        <v>6.2772918702185207E-13</v>
      </c>
      <c r="AX121" s="21">
        <f t="shared" si="60"/>
        <v>2.5607228342032782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395.21779046720553</v>
      </c>
      <c r="BJ121" s="59">
        <f t="shared" si="92"/>
        <v>360.05900046417361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0.84219591732093646</v>
      </c>
      <c r="BQ121" s="21">
        <f>EXP(-LN(2)/25)*BQ120+(1-EXP(-LN(2)/25))/(LN(2)/25)*Calculateur!BL121*Calculateur!BN121*VLOOKUP('Données projet'!$B$11,Paramètres!$A$1:$I$89,3,0)*0.475*44/12</f>
        <v>0.98330823696048009</v>
      </c>
      <c r="BR121" s="21">
        <f>EXP(-LN(2)/2)*BR120+(1-EXP(-LN(2)/2))/(LN(2)/2)*BL121*BO121*VLOOKUP('Données projet'!$B$11,Paramètres!$A$1:$I$89,3,0)*0.475*44/12</f>
        <v>3.9776215393771928E-13</v>
      </c>
      <c r="BS121" s="22">
        <f t="shared" si="63"/>
        <v>1.8255041542818142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449.84356201138451</v>
      </c>
      <c r="CE121" s="59">
        <f t="shared" si="94"/>
        <v>306.61893266146666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1.4336228075609896</v>
      </c>
      <c r="CL121" s="21">
        <f>EXP(-LN(2)/25)*CL120+(1-EXP(-LN(2)/25))/(LN(2)/25)*Calculateur!CG121*Calculateur!CI121*VLOOKUP('Données projet'!$B$12,Paramètres!$A$1:$I$89,3,0)*0.475*44/12</f>
        <v>0.91486437048242253</v>
      </c>
      <c r="CM121" s="21">
        <f>EXP(-LN(2)/2)*CM120+(1-EXP(-LN(2)/2))/(LN(2)/2)*CG121*CJ121*VLOOKUP('Données projet'!$B$12,Paramètres!$A$1:$I$89,3,0)*0.475*44/12</f>
        <v>5.4370153699773898E-13</v>
      </c>
      <c r="CN121" s="22">
        <f t="shared" si="66"/>
        <v>2.3484871780439556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475.01366239340246</v>
      </c>
      <c r="CZ121" s="59">
        <f t="shared" si="96"/>
        <v>322.81767004794284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1.5218457495647402</v>
      </c>
      <c r="DG121" s="21">
        <f>EXP(-LN(2)/25)*DG120+(1-EXP(-LN(2)/25))/(LN(2)/25)*Calculateur!DB121*Calculateur!DD121*VLOOKUP('Données projet'!$B$13,Paramètres!$A$1:$I$89,3,0)*0.475*44/12</f>
        <v>0.97116371635826226</v>
      </c>
      <c r="DH121" s="21">
        <f>EXP(-LN(2)/2)*DH120+(1-EXP(-LN(2)/2))/(LN(2)/2)*DB121*DE121*VLOOKUP('Données projet'!$B$13,Paramètres!$A$1:$I$89,3,0)*0.475*44/12</f>
        <v>5.771600931206769E-13</v>
      </c>
      <c r="DI121" s="22">
        <f t="shared" si="69"/>
        <v>2.4930094659235795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2.0572770154103635E-13</v>
      </c>
      <c r="DQ121" s="13">
        <f t="shared" si="97"/>
        <v>2.8416956338469711E-12</v>
      </c>
      <c r="DR121" s="20">
        <f t="shared" si="70"/>
        <v>5.3075956424674458E-12</v>
      </c>
      <c r="DS121" s="59">
        <f t="shared" si="71"/>
        <v>293.3333333333386</v>
      </c>
      <c r="DT121" s="59">
        <f ca="1">AVERAGE(OFFSET($DS$3,0,0,'Données projet'!$E$14+1,1))-AVERAGE(OFFSET($H$3,0,0,'Données projet'!$E$14+1,1))</f>
        <v>436.23918637269577</v>
      </c>
      <c r="DU121" s="59">
        <f t="shared" si="98"/>
        <v>611.43967996341894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0.57657534947184874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2.6832853751603929E-13</v>
      </c>
      <c r="ED121" s="22">
        <f t="shared" si="72"/>
        <v>0.57657534947211708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430.94515308997018</v>
      </c>
      <c r="T122" s="59">
        <f t="shared" si="88"/>
        <v>294.45557293177131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1.3406406307869831</v>
      </c>
      <c r="AA122" s="21">
        <f>EXP(-LN(2)/25)*AA121+(1-EXP(-LN(2)/25))/(LN(2)/25)*Calculateur!V122*Calculateur!X122*VLOOKUP('Données projet'!$B$9,Paramètres!$A$1:$I$89,3,0)*0.475*44/12</f>
        <v>0.84877747818429483</v>
      </c>
      <c r="AB122" s="21">
        <f>EXP(-LN(2)/2)*AB121+(1-EXP(-LN(2)/2))/(LN(2)/2)*V122*Y122*VLOOKUP('Données projet'!$B$9,Paramètres!$A$1:$I$89,3,0)*0.475*44/12</f>
        <v>3.6671096481021989E-13</v>
      </c>
      <c r="AC122" s="22">
        <f t="shared" si="57"/>
        <v>2.1894181089716449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319.22903094674564</v>
      </c>
      <c r="AO122" s="59">
        <f t="shared" si="90"/>
        <v>254.58690973142848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1.5574933821668513</v>
      </c>
      <c r="AV122" s="21">
        <f>EXP(-LN(2)/25)*AV121+(1-EXP(-LN(2)/25))/(LN(2)/25)*Calculateur!AQ122*Calculateur!AS122*VLOOKUP('Données projet'!$B$10,Paramètres!$A$1:$I$89,3,0)*0.475*44/12</f>
        <v>0.94549557891976743</v>
      </c>
      <c r="AW122" s="21">
        <f>EXP(-LN(2)/2)*AW121+(1-EXP(-LN(2)/2))/(LN(2)/2)*AQ122*AT122*VLOOKUP('Données projet'!$B$10,Paramètres!$A$1:$I$89,3,0)*0.475*44/12</f>
        <v>4.4387156489187014E-13</v>
      </c>
      <c r="AX122" s="21">
        <f t="shared" si="60"/>
        <v>2.5029889610870626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395.21779046720553</v>
      </c>
      <c r="BJ122" s="59">
        <f t="shared" si="92"/>
        <v>360.05900046417361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0.82568096907105992</v>
      </c>
      <c r="BQ122" s="21">
        <f>EXP(-LN(2)/25)*BQ121+(1-EXP(-LN(2)/25))/(LN(2)/25)*Calculateur!BL122*Calculateur!BN122*VLOOKUP('Données projet'!$B$11,Paramètres!$A$1:$I$89,3,0)*0.475*44/12</f>
        <v>0.95641962151086291</v>
      </c>
      <c r="BR122" s="21">
        <f>EXP(-LN(2)/2)*BR121+(1-EXP(-LN(2)/2))/(LN(2)/2)*BL122*BO122*VLOOKUP('Données projet'!$B$11,Paramètres!$A$1:$I$89,3,0)*0.475*44/12</f>
        <v>2.812603163487287E-13</v>
      </c>
      <c r="BS122" s="22">
        <f t="shared" si="63"/>
        <v>1.782100590582204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449.84356201138451</v>
      </c>
      <c r="CE122" s="59">
        <f t="shared" si="94"/>
        <v>306.61893266146666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1.405510338728289</v>
      </c>
      <c r="CL122" s="21">
        <f>EXP(-LN(2)/25)*CL121+(1-EXP(-LN(2)/25))/(LN(2)/25)*Calculateur!CG122*Calculateur!CI122*VLOOKUP('Données projet'!$B$12,Paramètres!$A$1:$I$89,3,0)*0.475*44/12</f>
        <v>0.88984735616095434</v>
      </c>
      <c r="CM122" s="21">
        <f>EXP(-LN(2)/2)*CM121+(1-EXP(-LN(2)/2))/(LN(2)/2)*CG122*CJ122*VLOOKUP('Données projet'!$B$12,Paramètres!$A$1:$I$89,3,0)*0.475*44/12</f>
        <v>3.8445504375264979E-13</v>
      </c>
      <c r="CN122" s="22">
        <f t="shared" si="66"/>
        <v>2.2953576948896277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475.01366239340246</v>
      </c>
      <c r="CZ122" s="59">
        <f t="shared" si="96"/>
        <v>322.81767004794284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1.4920032826500274</v>
      </c>
      <c r="DG122" s="21">
        <f>EXP(-LN(2)/25)*DG121+(1-EXP(-LN(2)/25))/(LN(2)/25)*Calculateur!DB122*Calculateur!DD122*VLOOKUP('Données projet'!$B$13,Paramètres!$A$1:$I$89,3,0)*0.475*44/12</f>
        <v>0.94460719346316535</v>
      </c>
      <c r="DH122" s="21">
        <f>EXP(-LN(2)/2)*DH121+(1-EXP(-LN(2)/2))/(LN(2)/2)*DB122*DE122*VLOOKUP('Données projet'!$B$13,Paramètres!$A$1:$I$89,3,0)*0.475*44/12</f>
        <v>4.0811381567588988E-13</v>
      </c>
      <c r="DI122" s="22">
        <f t="shared" si="69"/>
        <v>2.4366104761136009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2.0572770154103635E-13</v>
      </c>
      <c r="DQ122" s="13">
        <f t="shared" si="97"/>
        <v>2.8416956338469711E-12</v>
      </c>
      <c r="DR122" s="20">
        <f t="shared" si="70"/>
        <v>5.3075956424674458E-12</v>
      </c>
      <c r="DS122" s="59">
        <f t="shared" si="71"/>
        <v>293.3333333333386</v>
      </c>
      <c r="DT122" s="59">
        <f ca="1">AVERAGE(OFFSET($DS$3,0,0,'Données projet'!$E$14+1,1))-AVERAGE(OFFSET($H$3,0,0,'Données projet'!$E$14+1,1))</f>
        <v>436.23918637269577</v>
      </c>
      <c r="DU122" s="59">
        <f t="shared" si="98"/>
        <v>611.43967996341894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0.5652690585449438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1.8973692846346031E-13</v>
      </c>
      <c r="ED122" s="22">
        <f t="shared" si="72"/>
        <v>0.56526905854513354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430.94515308997018</v>
      </c>
      <c r="T123" s="59">
        <f t="shared" si="88"/>
        <v>294.45557293177131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1.3143514857272931</v>
      </c>
      <c r="AA123" s="21">
        <f>EXP(-LN(2)/25)*AA122+(1-EXP(-LN(2)/25))/(LN(2)/25)*Calculateur!V123*Calculateur!X123*VLOOKUP('Données projet'!$B$9,Paramètres!$A$1:$I$89,3,0)*0.475*44/12</f>
        <v>0.82556761340807761</v>
      </c>
      <c r="AB123" s="21">
        <f>EXP(-LN(2)/2)*AB122+(1-EXP(-LN(2)/2))/(LN(2)/2)*V123*Y123*VLOOKUP('Données projet'!$B$9,Paramètres!$A$1:$I$89,3,0)*0.475*44/12</f>
        <v>2.5930380995276788E-13</v>
      </c>
      <c r="AC123" s="22">
        <f t="shared" si="57"/>
        <v>2.1399190991356303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319.22903094674564</v>
      </c>
      <c r="AO123" s="59">
        <f t="shared" si="90"/>
        <v>254.58690973142848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1.5269518869197201</v>
      </c>
      <c r="AV123" s="21">
        <f>EXP(-LN(2)/25)*AV122+(1-EXP(-LN(2)/25))/(LN(2)/25)*Calculateur!AQ123*Calculateur!AS123*VLOOKUP('Données projet'!$B$10,Paramètres!$A$1:$I$89,3,0)*0.475*44/12</f>
        <v>0.9196409525927548</v>
      </c>
      <c r="AW123" s="21">
        <f>EXP(-LN(2)/2)*AW122+(1-EXP(-LN(2)/2))/(LN(2)/2)*AQ123*AT123*VLOOKUP('Données projet'!$B$10,Paramètres!$A$1:$I$89,3,0)*0.475*44/12</f>
        <v>3.1386459351092609E-13</v>
      </c>
      <c r="AX123" s="21">
        <f t="shared" si="60"/>
        <v>2.4465928395127889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395.21779046720553</v>
      </c>
      <c r="BJ123" s="59">
        <f t="shared" si="92"/>
        <v>360.05900046417361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0.8094898688832397</v>
      </c>
      <c r="BQ123" s="21">
        <f>EXP(-LN(2)/25)*BQ122+(1-EXP(-LN(2)/25))/(LN(2)/25)*Calculateur!BL123*Calculateur!BN123*VLOOKUP('Données projet'!$B$11,Paramètres!$A$1:$I$89,3,0)*0.475*44/12</f>
        <v>0.93026627666472639</v>
      </c>
      <c r="BR123" s="21">
        <f>EXP(-LN(2)/2)*BR122+(1-EXP(-LN(2)/2))/(LN(2)/2)*BL123*BO123*VLOOKUP('Données projet'!$B$11,Paramètres!$A$1:$I$89,3,0)*0.475*44/12</f>
        <v>1.9888107696885964E-13</v>
      </c>
      <c r="BS123" s="22">
        <f t="shared" si="63"/>
        <v>1.7397561455481649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449.84356201138451</v>
      </c>
      <c r="CE123" s="59">
        <f t="shared" si="94"/>
        <v>306.61893266146666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1.3779491382624849</v>
      </c>
      <c r="CL123" s="21">
        <f>EXP(-LN(2)/25)*CL122+(1-EXP(-LN(2)/25))/(LN(2)/25)*Calculateur!CG123*Calculateur!CI123*VLOOKUP('Données projet'!$B$12,Paramètres!$A$1:$I$89,3,0)*0.475*44/12</f>
        <v>0.86551443341169432</v>
      </c>
      <c r="CM123" s="21">
        <f>EXP(-LN(2)/2)*CM122+(1-EXP(-LN(2)/2))/(LN(2)/2)*CG123*CJ123*VLOOKUP('Données projet'!$B$12,Paramètres!$A$1:$I$89,3,0)*0.475*44/12</f>
        <v>2.7185076849886949E-13</v>
      </c>
      <c r="CN123" s="22">
        <f t="shared" si="66"/>
        <v>2.2434635716744511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475.01366239340246</v>
      </c>
      <c r="CZ123" s="59">
        <f t="shared" si="96"/>
        <v>322.81767004794284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1.4627460083094046</v>
      </c>
      <c r="DG123" s="21">
        <f>EXP(-LN(2)/25)*DG122+(1-EXP(-LN(2)/25))/(LN(2)/25)*Calculateur!DB123*Calculateur!DD123*VLOOKUP('Données projet'!$B$13,Paramètres!$A$1:$I$89,3,0)*0.475*44/12</f>
        <v>0.91877686008318171</v>
      </c>
      <c r="DH123" s="21">
        <f>EXP(-LN(2)/2)*DH122+(1-EXP(-LN(2)/2))/(LN(2)/2)*DB123*DE123*VLOOKUP('Données projet'!$B$13,Paramètres!$A$1:$I$89,3,0)*0.475*44/12</f>
        <v>2.8858004656033845E-13</v>
      </c>
      <c r="DI123" s="22">
        <f t="shared" si="69"/>
        <v>2.3815228683928749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2.0572770154103635E-13</v>
      </c>
      <c r="DQ123" s="13">
        <f t="shared" si="97"/>
        <v>2.8416956338469711E-12</v>
      </c>
      <c r="DR123" s="20">
        <f t="shared" si="70"/>
        <v>5.3075956424674458E-12</v>
      </c>
      <c r="DS123" s="59">
        <f t="shared" si="71"/>
        <v>293.3333333333386</v>
      </c>
      <c r="DT123" s="59">
        <f ca="1">AVERAGE(OFFSET($DS$3,0,0,'Données projet'!$E$14+1,1))-AVERAGE(OFFSET($H$3,0,0,'Données projet'!$E$14+1,1))</f>
        <v>436.23918637269577</v>
      </c>
      <c r="DU123" s="59">
        <f t="shared" si="98"/>
        <v>611.43967996341894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0.55418447708695895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1.3416426875801964E-13</v>
      </c>
      <c r="ED123" s="22">
        <f t="shared" si="72"/>
        <v>0.55418447708709306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430.94515308997018</v>
      </c>
      <c r="T124" s="59">
        <f t="shared" si="88"/>
        <v>294.45557293177131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1.2885778547674283</v>
      </c>
      <c r="AA124" s="21">
        <f>EXP(-LN(2)/25)*AA123+(1-EXP(-LN(2)/25))/(LN(2)/25)*Calculateur!V124*Calculateur!X124*VLOOKUP('Données projet'!$B$9,Paramètres!$A$1:$I$89,3,0)*0.475*44/12</f>
        <v>0.80299242360471978</v>
      </c>
      <c r="AB124" s="21">
        <f>EXP(-LN(2)/2)*AB123+(1-EXP(-LN(2)/2))/(LN(2)/2)*V124*Y124*VLOOKUP('Données projet'!$B$9,Paramètres!$A$1:$I$89,3,0)*0.475*44/12</f>
        <v>1.8335548240510994E-13</v>
      </c>
      <c r="AC124" s="22">
        <f t="shared" si="57"/>
        <v>2.0915702783723313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319.22903094674564</v>
      </c>
      <c r="AO124" s="59">
        <f t="shared" si="90"/>
        <v>254.58690973142848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1.4970092917659124</v>
      </c>
      <c r="AV124" s="21">
        <f>EXP(-LN(2)/25)*AV123+(1-EXP(-LN(2)/25))/(LN(2)/25)*Calculateur!AQ124*Calculateur!AS124*VLOOKUP('Données projet'!$B$10,Paramètres!$A$1:$I$89,3,0)*0.475*44/12</f>
        <v>0.89449332238229007</v>
      </c>
      <c r="AW124" s="21">
        <f>EXP(-LN(2)/2)*AW123+(1-EXP(-LN(2)/2))/(LN(2)/2)*AQ124*AT124*VLOOKUP('Données projet'!$B$10,Paramètres!$A$1:$I$89,3,0)*0.475*44/12</f>
        <v>2.2193578244593512E-13</v>
      </c>
      <c r="AX124" s="21">
        <f t="shared" si="60"/>
        <v>2.3915026141484246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395.21779046720553</v>
      </c>
      <c r="BJ124" s="59">
        <f t="shared" si="92"/>
        <v>360.05900046417361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0.79361626629450666</v>
      </c>
      <c r="BQ124" s="21">
        <f>EXP(-LN(2)/25)*BQ123+(1-EXP(-LN(2)/25))/(LN(2)/25)*Calculateur!BL124*Calculateur!BN124*VLOOKUP('Données projet'!$B$11,Paramètres!$A$1:$I$89,3,0)*0.475*44/12</f>
        <v>0.90482809640875206</v>
      </c>
      <c r="BR124" s="21">
        <f>EXP(-LN(2)/2)*BR123+(1-EXP(-LN(2)/2))/(LN(2)/2)*BL124*BO124*VLOOKUP('Données projet'!$B$11,Paramètres!$A$1:$I$89,3,0)*0.475*44/12</f>
        <v>1.4063015817436435E-13</v>
      </c>
      <c r="BS124" s="22">
        <f t="shared" si="63"/>
        <v>1.6984443627033994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449.84356201138451</v>
      </c>
      <c r="CE124" s="59">
        <f t="shared" si="94"/>
        <v>306.61893266146666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1.3509283961271428</v>
      </c>
      <c r="CL124" s="21">
        <f>EXP(-LN(2)/25)*CL123+(1-EXP(-LN(2)/25))/(LN(2)/25)*Calculateur!CG124*Calculateur!CI124*VLOOKUP('Données projet'!$B$12,Paramètres!$A$1:$I$89,3,0)*0.475*44/12</f>
        <v>0.84184689571462568</v>
      </c>
      <c r="CM124" s="21">
        <f>EXP(-LN(2)/2)*CM123+(1-EXP(-LN(2)/2))/(LN(2)/2)*CG124*CJ124*VLOOKUP('Données projet'!$B$12,Paramètres!$A$1:$I$89,3,0)*0.475*44/12</f>
        <v>1.922275218763249E-13</v>
      </c>
      <c r="CN124" s="22">
        <f t="shared" si="66"/>
        <v>2.192775291841961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475.01366239340246</v>
      </c>
      <c r="CZ124" s="59">
        <f t="shared" si="96"/>
        <v>322.81767004794284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1.4340624512734261</v>
      </c>
      <c r="DG124" s="21">
        <f>EXP(-LN(2)/25)*DG123+(1-EXP(-LN(2)/25))/(LN(2)/25)*Calculateur!DB124*Calculateur!DD124*VLOOKUP('Données projet'!$B$13,Paramètres!$A$1:$I$89,3,0)*0.475*44/12</f>
        <v>0.89365285852783194</v>
      </c>
      <c r="DH124" s="21">
        <f>EXP(-LN(2)/2)*DH123+(1-EXP(-LN(2)/2))/(LN(2)/2)*DB124*DE124*VLOOKUP('Données projet'!$B$13,Paramètres!$A$1:$I$89,3,0)*0.475*44/12</f>
        <v>2.0405690783794494E-13</v>
      </c>
      <c r="DI124" s="22">
        <f t="shared" si="69"/>
        <v>2.3277153098014618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2.0572770154103635E-13</v>
      </c>
      <c r="DQ124" s="13">
        <f t="shared" si="97"/>
        <v>2.8416956338469711E-12</v>
      </c>
      <c r="DR124" s="20">
        <f t="shared" si="70"/>
        <v>5.3075956424674458E-12</v>
      </c>
      <c r="DS124" s="59">
        <f t="shared" si="71"/>
        <v>293.3333333333386</v>
      </c>
      <c r="DT124" s="59">
        <f ca="1">AVERAGE(OFFSET($DS$3,0,0,'Données projet'!$E$14+1,1))-AVERAGE(OFFSET($H$3,0,0,'Données projet'!$E$14+1,1))</f>
        <v>436.23918637269577</v>
      </c>
      <c r="DU124" s="59">
        <f t="shared" si="98"/>
        <v>611.43967996341894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0.54331725751043813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9.4868464231730153E-14</v>
      </c>
      <c r="ED124" s="22">
        <f t="shared" si="72"/>
        <v>0.54331725751053295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430.94515308997018</v>
      </c>
      <c r="T125" s="59">
        <f t="shared" si="88"/>
        <v>294.45557293177131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1.2633096289903238</v>
      </c>
      <c r="AA125" s="21">
        <f>EXP(-LN(2)/25)*AA124+(1-EXP(-LN(2)/25))/(LN(2)/25)*Calculateur!V125*Calculateur!X125*VLOOKUP('Données projet'!$B$9,Paramètres!$A$1:$I$89,3,0)*0.475*44/12</f>
        <v>0.78103455355371243</v>
      </c>
      <c r="AB125" s="21">
        <f>EXP(-LN(2)/2)*AB124+(1-EXP(-LN(2)/2))/(LN(2)/2)*V125*Y125*VLOOKUP('Données projet'!$B$9,Paramètres!$A$1:$I$89,3,0)*0.475*44/12</f>
        <v>1.2965190497638394E-13</v>
      </c>
      <c r="AC125" s="22">
        <f t="shared" si="57"/>
        <v>2.0443441825441662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319.22903094674564</v>
      </c>
      <c r="AO125" s="59">
        <f t="shared" si="90"/>
        <v>254.58690973142848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1.467653852639891</v>
      </c>
      <c r="AV125" s="21">
        <f>EXP(-LN(2)/25)*AV124+(1-EXP(-LN(2)/25))/(LN(2)/25)*Calculateur!AQ125*Calculateur!AS125*VLOOKUP('Données projet'!$B$10,Paramètres!$A$1:$I$89,3,0)*0.475*44/12</f>
        <v>0.87003335544238691</v>
      </c>
      <c r="AW125" s="21">
        <f>EXP(-LN(2)/2)*AW124+(1-EXP(-LN(2)/2))/(LN(2)/2)*AQ125*AT125*VLOOKUP('Données projet'!$B$10,Paramètres!$A$1:$I$89,3,0)*0.475*44/12</f>
        <v>1.5693229675546307E-13</v>
      </c>
      <c r="AX125" s="21">
        <f t="shared" si="60"/>
        <v>2.3376872080824347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395.21779046720553</v>
      </c>
      <c r="BJ125" s="59">
        <f t="shared" si="92"/>
        <v>360.05900046417361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0.77805393537059708</v>
      </c>
      <c r="BQ125" s="21">
        <f>EXP(-LN(2)/25)*BQ124+(1-EXP(-LN(2)/25))/(LN(2)/25)*Calculateur!BL125*Calculateur!BN125*VLOOKUP('Données projet'!$B$11,Paramètres!$A$1:$I$89,3,0)*0.475*44/12</f>
        <v>0.88008552452961319</v>
      </c>
      <c r="BR125" s="21">
        <f>EXP(-LN(2)/2)*BR124+(1-EXP(-LN(2)/2))/(LN(2)/2)*BL125*BO125*VLOOKUP('Données projet'!$B$11,Paramètres!$A$1:$I$89,3,0)*0.475*44/12</f>
        <v>9.9440538484429821E-14</v>
      </c>
      <c r="BS125" s="22">
        <f t="shared" si="63"/>
        <v>1.6581394599003096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449.84356201138451</v>
      </c>
      <c r="CE125" s="59">
        <f t="shared" si="94"/>
        <v>306.61893266146666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1.3244375142640494</v>
      </c>
      <c r="CL125" s="21">
        <f>EXP(-LN(2)/25)*CL124+(1-EXP(-LN(2)/25))/(LN(2)/25)*Calculateur!CG125*Calculateur!CI125*VLOOKUP('Données projet'!$B$12,Paramètres!$A$1:$I$89,3,0)*0.475*44/12</f>
        <v>0.81882654808050503</v>
      </c>
      <c r="CM125" s="21">
        <f>EXP(-LN(2)/2)*CM124+(1-EXP(-LN(2)/2))/(LN(2)/2)*CG125*CJ125*VLOOKUP('Données projet'!$B$12,Paramètres!$A$1:$I$89,3,0)*0.475*44/12</f>
        <v>1.3592538424943474E-13</v>
      </c>
      <c r="CN125" s="22">
        <f t="shared" si="66"/>
        <v>2.1432640623446906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475.01366239340246</v>
      </c>
      <c r="CZ125" s="59">
        <f t="shared" si="96"/>
        <v>322.81767004794284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1.4059413612956808</v>
      </c>
      <c r="DG125" s="21">
        <f>EXP(-LN(2)/25)*DG124+(1-EXP(-LN(2)/25))/(LN(2)/25)*Calculateur!DB125*Calculateur!DD125*VLOOKUP('Données projet'!$B$13,Paramètres!$A$1:$I$89,3,0)*0.475*44/12</f>
        <v>0.86921587411622703</v>
      </c>
      <c r="DH125" s="21">
        <f>EXP(-LN(2)/2)*DH124+(1-EXP(-LN(2)/2))/(LN(2)/2)*DB125*DE125*VLOOKUP('Données projet'!$B$13,Paramètres!$A$1:$I$89,3,0)*0.475*44/12</f>
        <v>1.4429002328016923E-13</v>
      </c>
      <c r="DI125" s="22">
        <f t="shared" si="69"/>
        <v>2.2751572354120522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2.0572770154103635E-13</v>
      </c>
      <c r="DQ125" s="13">
        <f t="shared" si="97"/>
        <v>2.8416956338469711E-12</v>
      </c>
      <c r="DR125" s="20">
        <f t="shared" si="70"/>
        <v>5.3075956424674458E-12</v>
      </c>
      <c r="DS125" s="59">
        <f t="shared" si="71"/>
        <v>293.3333333333386</v>
      </c>
      <c r="DT125" s="59">
        <f ca="1">AVERAGE(OFFSET($DS$3,0,0,'Données projet'!$E$14+1,1))-AVERAGE(OFFSET($H$3,0,0,'Données projet'!$E$14+1,1))</f>
        <v>436.23918637269577</v>
      </c>
      <c r="DU125" s="59">
        <f t="shared" si="98"/>
        <v>611.43967996341894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0.53266313748146343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6.7082134379009822E-14</v>
      </c>
      <c r="ED125" s="22">
        <f t="shared" si="72"/>
        <v>0.53266313748153049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430.94515308997018</v>
      </c>
      <c r="T126" s="59">
        <f t="shared" si="88"/>
        <v>294.45557293177131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1.2385368977086124</v>
      </c>
      <c r="AA126" s="21">
        <f>EXP(-LN(2)/25)*AA125+(1-EXP(-LN(2)/25))/(LN(2)/25)*Calculateur!V126*Calculateur!X126*VLOOKUP('Données projet'!$B$9,Paramètres!$A$1:$I$89,3,0)*0.475*44/12</f>
        <v>0.75967712261396403</v>
      </c>
      <c r="AB126" s="21">
        <f>EXP(-LN(2)/2)*AB125+(1-EXP(-LN(2)/2))/(LN(2)/2)*V126*Y126*VLOOKUP('Données projet'!$B$9,Paramètres!$A$1:$I$89,3,0)*0.475*44/12</f>
        <v>9.1677741202554972E-14</v>
      </c>
      <c r="AC126" s="22">
        <f t="shared" si="57"/>
        <v>1.9982140203226681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319.22903094674564</v>
      </c>
      <c r="AO126" s="59">
        <f t="shared" si="90"/>
        <v>254.58690973142848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1.4388740557700812</v>
      </c>
      <c r="AV126" s="21">
        <f>EXP(-LN(2)/25)*AV125+(1-EXP(-LN(2)/25))/(LN(2)/25)*Calculateur!AQ126*Calculateur!AS126*VLOOKUP('Données projet'!$B$10,Paramètres!$A$1:$I$89,3,0)*0.475*44/12</f>
        <v>0.8462422475847492</v>
      </c>
      <c r="AW126" s="21">
        <f>EXP(-LN(2)/2)*AW125+(1-EXP(-LN(2)/2))/(LN(2)/2)*AQ126*AT126*VLOOKUP('Données projet'!$B$10,Paramètres!$A$1:$I$89,3,0)*0.475*44/12</f>
        <v>1.1096789122296757E-13</v>
      </c>
      <c r="AX126" s="21">
        <f t="shared" si="60"/>
        <v>2.2851163033549415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395.21779046720553</v>
      </c>
      <c r="BJ126" s="59">
        <f t="shared" si="92"/>
        <v>360.05900046417361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0.76279677226402076</v>
      </c>
      <c r="BQ126" s="21">
        <f>EXP(-LN(2)/25)*BQ125+(1-EXP(-LN(2)/25))/(LN(2)/25)*Calculateur!BL126*Calculateur!BN126*VLOOKUP('Données projet'!$B$11,Paramètres!$A$1:$I$89,3,0)*0.475*44/12</f>
        <v>0.8560195395796647</v>
      </c>
      <c r="BR126" s="21">
        <f>EXP(-LN(2)/2)*BR125+(1-EXP(-LN(2)/2))/(LN(2)/2)*BL126*BO126*VLOOKUP('Données projet'!$B$11,Paramètres!$A$1:$I$89,3,0)*0.475*44/12</f>
        <v>7.0315079087182174E-14</v>
      </c>
      <c r="BS126" s="22">
        <f t="shared" si="63"/>
        <v>1.6188163118437557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449.84356201138451</v>
      </c>
      <c r="CE126" s="59">
        <f t="shared" si="94"/>
        <v>306.61893266146666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1.2984661024364488</v>
      </c>
      <c r="CL126" s="21">
        <f>EXP(-LN(2)/25)*CL125+(1-EXP(-LN(2)/25))/(LN(2)/25)*Calculateur!CG126*Calculateur!CI126*VLOOKUP('Données projet'!$B$12,Paramètres!$A$1:$I$89,3,0)*0.475*44/12</f>
        <v>0.79643569306302686</v>
      </c>
      <c r="CM126" s="21">
        <f>EXP(-LN(2)/2)*CM125+(1-EXP(-LN(2)/2))/(LN(2)/2)*CG126*CJ126*VLOOKUP('Données projet'!$B$12,Paramètres!$A$1:$I$89,3,0)*0.475*44/12</f>
        <v>9.6113760938162448E-14</v>
      </c>
      <c r="CN126" s="22">
        <f t="shared" si="66"/>
        <v>2.0949017954995717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475.01366239340246</v>
      </c>
      <c r="CZ126" s="59">
        <f t="shared" si="96"/>
        <v>322.81767004794284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1.3783717087402279</v>
      </c>
      <c r="DG126" s="21">
        <f>EXP(-LN(2)/25)*DG125+(1-EXP(-LN(2)/25))/(LN(2)/25)*Calculateur!DB126*Calculateur!DD126*VLOOKUP('Données projet'!$B$13,Paramètres!$A$1:$I$89,3,0)*0.475*44/12</f>
        <v>0.8454471203284426</v>
      </c>
      <c r="DH126" s="21">
        <f>EXP(-LN(2)/2)*DH125+(1-EXP(-LN(2)/2))/(LN(2)/2)*DB126*DE126*VLOOKUP('Données projet'!$B$13,Paramètres!$A$1:$I$89,3,0)*0.475*44/12</f>
        <v>1.0202845391897247E-13</v>
      </c>
      <c r="DI126" s="22">
        <f t="shared" si="69"/>
        <v>2.2238188290687724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2.0572770154103635E-13</v>
      </c>
      <c r="DQ126" s="13">
        <f t="shared" si="97"/>
        <v>2.8416956338469711E-12</v>
      </c>
      <c r="DR126" s="20">
        <f t="shared" si="70"/>
        <v>5.3075956424674458E-12</v>
      </c>
      <c r="DS126" s="59">
        <f t="shared" si="71"/>
        <v>293.3333333333386</v>
      </c>
      <c r="DT126" s="59">
        <f ca="1">AVERAGE(OFFSET($DS$3,0,0,'Données projet'!$E$14+1,1))-AVERAGE(OFFSET($H$3,0,0,'Données projet'!$E$14+1,1))</f>
        <v>436.23918637269577</v>
      </c>
      <c r="DU126" s="59">
        <f t="shared" si="98"/>
        <v>611.43967996341894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0.52221793824788532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4.7434232115865076E-14</v>
      </c>
      <c r="ED126" s="22">
        <f t="shared" si="72"/>
        <v>0.52221793824793272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430.94515308997018</v>
      </c>
      <c r="T127" s="59">
        <f t="shared" si="88"/>
        <v>294.45557293177131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1.2142499445774613</v>
      </c>
      <c r="AA127" s="21">
        <f>EXP(-LN(2)/25)*AA126+(1-EXP(-LN(2)/25))/(LN(2)/25)*Calculateur!V127*Calculateur!X127*VLOOKUP('Données projet'!$B$9,Paramètres!$A$1:$I$89,3,0)*0.475*44/12</f>
        <v>0.73890371174640157</v>
      </c>
      <c r="AB127" s="21">
        <f>EXP(-LN(2)/2)*AB126+(1-EXP(-LN(2)/2))/(LN(2)/2)*V127*Y127*VLOOKUP('Données projet'!$B$9,Paramètres!$A$1:$I$89,3,0)*0.475*44/12</f>
        <v>6.482595248819197E-14</v>
      </c>
      <c r="AC127" s="22">
        <f t="shared" si="57"/>
        <v>1.9531536563239276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319.22903094674564</v>
      </c>
      <c r="AO127" s="59">
        <f t="shared" si="90"/>
        <v>254.58690973142848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1.4106586131629455</v>
      </c>
      <c r="AV127" s="21">
        <f>EXP(-LN(2)/25)*AV126+(1-EXP(-LN(2)/25))/(LN(2)/25)*Calculateur!AQ127*Calculateur!AS127*VLOOKUP('Données projet'!$B$10,Paramètres!$A$1:$I$89,3,0)*0.475*44/12</f>
        <v>0.82310170882259859</v>
      </c>
      <c r="AW127" s="21">
        <f>EXP(-LN(2)/2)*AW126+(1-EXP(-LN(2)/2))/(LN(2)/2)*AQ127*AT127*VLOOKUP('Données projet'!$B$10,Paramètres!$A$1:$I$89,3,0)*0.475*44/12</f>
        <v>7.8466148377731547E-14</v>
      </c>
      <c r="AX127" s="21">
        <f t="shared" si="60"/>
        <v>2.2337603219856228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395.21779046720553</v>
      </c>
      <c r="BJ127" s="59">
        <f t="shared" si="92"/>
        <v>360.05900046417361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0.74783879282001375</v>
      </c>
      <c r="BQ127" s="21">
        <f>EXP(-LN(2)/25)*BQ126+(1-EXP(-LN(2)/25))/(LN(2)/25)*Calculateur!BL127*Calculateur!BN127*VLOOKUP('Données projet'!$B$11,Paramètres!$A$1:$I$89,3,0)*0.475*44/12</f>
        <v>0.83261164025374768</v>
      </c>
      <c r="BR127" s="21">
        <f>EXP(-LN(2)/2)*BR126+(1-EXP(-LN(2)/2))/(LN(2)/2)*BL127*BO127*VLOOKUP('Données projet'!$B$11,Paramètres!$A$1:$I$89,3,0)*0.475*44/12</f>
        <v>4.9720269242214911E-14</v>
      </c>
      <c r="BS127" s="22">
        <f t="shared" si="63"/>
        <v>1.5804504330738112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449.84356201138451</v>
      </c>
      <c r="CE127" s="59">
        <f t="shared" si="94"/>
        <v>306.61893266146666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1.2730039741537904</v>
      </c>
      <c r="CL127" s="21">
        <f>EXP(-LN(2)/25)*CL126+(1-EXP(-LN(2)/25))/(LN(2)/25)*Calculateur!CG127*Calculateur!CI127*VLOOKUP('Données projet'!$B$12,Paramètres!$A$1:$I$89,3,0)*0.475*44/12</f>
        <v>0.77465711715348562</v>
      </c>
      <c r="CM127" s="21">
        <f>EXP(-LN(2)/2)*CM126+(1-EXP(-LN(2)/2))/(LN(2)/2)*CG127*CJ127*VLOOKUP('Données projet'!$B$12,Paramètres!$A$1:$I$89,3,0)*0.475*44/12</f>
        <v>6.7962692124717372E-14</v>
      </c>
      <c r="CN127" s="22">
        <f t="shared" si="66"/>
        <v>2.0476610913073441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475.01366239340246</v>
      </c>
      <c r="CZ127" s="59">
        <f t="shared" si="96"/>
        <v>322.81767004794284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1.3513426802555597</v>
      </c>
      <c r="DG127" s="21">
        <f>EXP(-LN(2)/25)*DG126+(1-EXP(-LN(2)/25))/(LN(2)/25)*Calculateur!DB127*Calculateur!DD127*VLOOKUP('Données projet'!$B$13,Paramètres!$A$1:$I$89,3,0)*0.475*44/12</f>
        <v>0.82232832436292957</v>
      </c>
      <c r="DH127" s="21">
        <f>EXP(-LN(2)/2)*DH126+(1-EXP(-LN(2)/2))/(LN(2)/2)*DB127*DE127*VLOOKUP('Données projet'!$B$13,Paramètres!$A$1:$I$89,3,0)*0.475*44/12</f>
        <v>7.2145011640084613E-14</v>
      </c>
      <c r="DI127" s="22">
        <f t="shared" si="69"/>
        <v>2.1736710046185612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2.0572770154103635E-13</v>
      </c>
      <c r="DQ127" s="13">
        <f t="shared" si="97"/>
        <v>2.8416956338469711E-12</v>
      </c>
      <c r="DR127" s="20">
        <f t="shared" si="70"/>
        <v>5.3075956424674458E-12</v>
      </c>
      <c r="DS127" s="59">
        <f t="shared" si="71"/>
        <v>293.3333333333386</v>
      </c>
      <c r="DT127" s="59">
        <f ca="1">AVERAGE(OFFSET($DS$3,0,0,'Données projet'!$E$14+1,1))-AVERAGE(OFFSET($H$3,0,0,'Données projet'!$E$14+1,1))</f>
        <v>436.23918637269577</v>
      </c>
      <c r="DU127" s="59">
        <f t="shared" si="98"/>
        <v>611.43967996341894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0.51197756300033526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3.3541067189504911E-14</v>
      </c>
      <c r="ED127" s="22">
        <f t="shared" si="72"/>
        <v>0.51197756300036878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430.94515308997018</v>
      </c>
      <c r="T128" s="59">
        <f t="shared" si="88"/>
        <v>294.45557293177131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1.1904392437836333</v>
      </c>
      <c r="AA128" s="21">
        <f>EXP(-LN(2)/25)*AA127+(1-EXP(-LN(2)/25))/(LN(2)/25)*Calculateur!V128*Calculateur!X128*VLOOKUP('Données projet'!$B$9,Paramètres!$A$1:$I$89,3,0)*0.475*44/12</f>
        <v>0.71869835089143885</v>
      </c>
      <c r="AB128" s="21">
        <f>EXP(-LN(2)/2)*AB127+(1-EXP(-LN(2)/2))/(LN(2)/2)*V128*Y128*VLOOKUP('Données projet'!$B$9,Paramètres!$A$1:$I$89,3,0)*0.475*44/12</f>
        <v>4.5838870601277486E-14</v>
      </c>
      <c r="AC128" s="22">
        <f t="shared" si="57"/>
        <v>1.9091375946751179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319.22903094674564</v>
      </c>
      <c r="AO128" s="59">
        <f t="shared" si="90"/>
        <v>254.58690973142848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1.3829964581756151</v>
      </c>
      <c r="AV128" s="21">
        <f>EXP(-LN(2)/25)*AV127+(1-EXP(-LN(2)/25))/(LN(2)/25)*Calculateur!AQ128*Calculateur!AS128*VLOOKUP('Données projet'!$B$10,Paramètres!$A$1:$I$89,3,0)*0.475*44/12</f>
        <v>0.80059394930980698</v>
      </c>
      <c r="AW128" s="21">
        <f>EXP(-LN(2)/2)*AW127+(1-EXP(-LN(2)/2))/(LN(2)/2)*AQ128*AT128*VLOOKUP('Données projet'!$B$10,Paramètres!$A$1:$I$89,3,0)*0.475*44/12</f>
        <v>5.5483945611483799E-14</v>
      </c>
      <c r="AX128" s="21">
        <f t="shared" si="60"/>
        <v>2.1835904074854775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395.21779046720553</v>
      </c>
      <c r="BJ128" s="59">
        <f t="shared" si="92"/>
        <v>360.05900046417361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0.73317413022943712</v>
      </c>
      <c r="BQ128" s="21">
        <f>EXP(-LN(2)/25)*BQ127+(1-EXP(-LN(2)/25))/(LN(2)/25)*Calculateur!BL128*Calculateur!BN128*VLOOKUP('Données projet'!$B$11,Paramètres!$A$1:$I$89,3,0)*0.475*44/12</f>
        <v>0.80984383116586578</v>
      </c>
      <c r="BR128" s="21">
        <f>EXP(-LN(2)/2)*BR127+(1-EXP(-LN(2)/2))/(LN(2)/2)*BL128*BO128*VLOOKUP('Données projet'!$B$11,Paramètres!$A$1:$I$89,3,0)*0.475*44/12</f>
        <v>3.5157539543591087E-14</v>
      </c>
      <c r="BS128" s="22">
        <f t="shared" si="63"/>
        <v>1.5430179613953379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449.84356201138451</v>
      </c>
      <c r="CE128" s="59">
        <f t="shared" si="94"/>
        <v>306.61893266146666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1.2480411426763902</v>
      </c>
      <c r="CL128" s="21">
        <f>EXP(-LN(2)/25)*CL127+(1-EXP(-LN(2)/25))/(LN(2)/25)*Calculateur!CG128*Calculateur!CI128*VLOOKUP('Données projet'!$B$12,Paramètres!$A$1:$I$89,3,0)*0.475*44/12</f>
        <v>0.75347407754747631</v>
      </c>
      <c r="CM128" s="21">
        <f>EXP(-LN(2)/2)*CM127+(1-EXP(-LN(2)/2))/(LN(2)/2)*CG128*CJ128*VLOOKUP('Données projet'!$B$12,Paramètres!$A$1:$I$89,3,0)*0.475*44/12</f>
        <v>4.8056880469081224E-14</v>
      </c>
      <c r="CN128" s="22">
        <f t="shared" si="66"/>
        <v>2.0015152202239146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475.01366239340246</v>
      </c>
      <c r="CZ128" s="59">
        <f t="shared" si="96"/>
        <v>322.81767004794284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1.3248436745333965</v>
      </c>
      <c r="DG128" s="21">
        <f>EXP(-LN(2)/25)*DG127+(1-EXP(-LN(2)/25))/(LN(2)/25)*Calculateur!DB128*Calculateur!DD128*VLOOKUP('Données projet'!$B$13,Paramètres!$A$1:$I$89,3,0)*0.475*44/12</f>
        <v>0.7998417130888581</v>
      </c>
      <c r="DH128" s="21">
        <f>EXP(-LN(2)/2)*DH127+(1-EXP(-LN(2)/2))/(LN(2)/2)*DB128*DE128*VLOOKUP('Données projet'!$B$13,Paramètres!$A$1:$I$89,3,0)*0.475*44/12</f>
        <v>5.1014226959486235E-14</v>
      </c>
      <c r="DI128" s="22">
        <f t="shared" si="69"/>
        <v>2.1246853876223057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2.0572770154103635E-13</v>
      </c>
      <c r="DQ128" s="13">
        <f t="shared" si="97"/>
        <v>2.8416956338469711E-12</v>
      </c>
      <c r="DR128" s="20">
        <f t="shared" si="70"/>
        <v>5.3075956424674458E-12</v>
      </c>
      <c r="DS128" s="59">
        <f t="shared" si="71"/>
        <v>293.3333333333386</v>
      </c>
      <c r="DT128" s="59">
        <f ca="1">AVERAGE(OFFSET($DS$3,0,0,'Données projet'!$E$14+1,1))-AVERAGE(OFFSET($H$3,0,0,'Données projet'!$E$14+1,1))</f>
        <v>436.23918637269577</v>
      </c>
      <c r="DU128" s="59">
        <f t="shared" si="98"/>
        <v>611.43967996341894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0.50193799526537752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2.3717116057932538E-14</v>
      </c>
      <c r="ED128" s="22">
        <f t="shared" si="72"/>
        <v>0.50193799526540128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430.94515308997018</v>
      </c>
      <c r="T129" s="59">
        <f t="shared" si="88"/>
        <v>294.45557293177131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1.167095456309279</v>
      </c>
      <c r="AA129" s="21">
        <f>EXP(-LN(2)/25)*AA128+(1-EXP(-LN(2)/25))/(LN(2)/25)*Calculateur!V129*Calculateur!X129*VLOOKUP('Données projet'!$B$9,Paramètres!$A$1:$I$89,3,0)*0.475*44/12</f>
        <v>0.69904550669160881</v>
      </c>
      <c r="AB129" s="21">
        <f>EXP(-LN(2)/2)*AB128+(1-EXP(-LN(2)/2))/(LN(2)/2)*V129*Y129*VLOOKUP('Données projet'!$B$9,Paramètres!$A$1:$I$89,3,0)*0.475*44/12</f>
        <v>3.2412976244095985E-14</v>
      </c>
      <c r="AC129" s="22">
        <f t="shared" si="57"/>
        <v>1.8661409630009202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319.22903094674564</v>
      </c>
      <c r="AO129" s="59">
        <f t="shared" si="90"/>
        <v>254.58690973142848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1.3558767411753376</v>
      </c>
      <c r="AV129" s="21">
        <f>EXP(-LN(2)/25)*AV128+(1-EXP(-LN(2)/25))/(LN(2)/25)*Calculateur!AQ129*Calculateur!AS129*VLOOKUP('Données projet'!$B$10,Paramètres!$A$1:$I$89,3,0)*0.475*44/12</f>
        <v>0.77870166566452426</v>
      </c>
      <c r="AW129" s="21">
        <f>EXP(-LN(2)/2)*AW128+(1-EXP(-LN(2)/2))/(LN(2)/2)*AQ129*AT129*VLOOKUP('Données projet'!$B$10,Paramètres!$A$1:$I$89,3,0)*0.475*44/12</f>
        <v>3.923307418886578E-14</v>
      </c>
      <c r="AX129" s="21">
        <f t="shared" si="60"/>
        <v>2.1345784068399007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395.21779046720553</v>
      </c>
      <c r="BJ129" s="59">
        <f t="shared" si="92"/>
        <v>360.05900046417361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0.71879703272770079</v>
      </c>
      <c r="BQ129" s="21">
        <f>EXP(-LN(2)/25)*BQ128+(1-EXP(-LN(2)/25))/(LN(2)/25)*Calculateur!BL129*Calculateur!BN129*VLOOKUP('Données projet'!$B$11,Paramètres!$A$1:$I$89,3,0)*0.475*44/12</f>
        <v>0.78769860901479904</v>
      </c>
      <c r="BR129" s="21">
        <f>EXP(-LN(2)/2)*BR128+(1-EXP(-LN(2)/2))/(LN(2)/2)*BL129*BO129*VLOOKUP('Données projet'!$B$11,Paramètres!$A$1:$I$89,3,0)*0.475*44/12</f>
        <v>2.4860134621107455E-14</v>
      </c>
      <c r="BS129" s="22">
        <f t="shared" si="63"/>
        <v>1.5064956417425246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449.84356201138451</v>
      </c>
      <c r="CE129" s="59">
        <f t="shared" si="94"/>
        <v>306.61893266146666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1.2235678170984381</v>
      </c>
      <c r="CL129" s="21">
        <f>EXP(-LN(2)/25)*CL128+(1-EXP(-LN(2)/25))/(LN(2)/25)*Calculateur!CG129*Calculateur!CI129*VLOOKUP('Données projet'!$B$12,Paramètres!$A$1:$I$89,3,0)*0.475*44/12</f>
        <v>0.73287028927346087</v>
      </c>
      <c r="CM129" s="21">
        <f>EXP(-LN(2)/2)*CM128+(1-EXP(-LN(2)/2))/(LN(2)/2)*CG129*CJ129*VLOOKUP('Données projet'!$B$12,Paramètres!$A$1:$I$89,3,0)*0.475*44/12</f>
        <v>3.3981346062358686E-14</v>
      </c>
      <c r="CN129" s="22">
        <f t="shared" si="66"/>
        <v>1.9564381063719329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475.01366239340246</v>
      </c>
      <c r="CZ129" s="59">
        <f t="shared" si="96"/>
        <v>322.81767004794284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1.2988642981506473</v>
      </c>
      <c r="DG129" s="21">
        <f>EXP(-LN(2)/25)*DG128+(1-EXP(-LN(2)/25))/(LN(2)/25)*Calculateur!DB129*Calculateur!DD129*VLOOKUP('Données projet'!$B$13,Paramètres!$A$1:$I$89,3,0)*0.475*44/12</f>
        <v>0.77796999938259559</v>
      </c>
      <c r="DH129" s="21">
        <f>EXP(-LN(2)/2)*DH128+(1-EXP(-LN(2)/2))/(LN(2)/2)*DB129*DE129*VLOOKUP('Données projet'!$B$13,Paramètres!$A$1:$I$89,3,0)*0.475*44/12</f>
        <v>3.6072505820042306E-14</v>
      </c>
      <c r="DI129" s="22">
        <f t="shared" si="69"/>
        <v>2.0768342975332788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2.0572770154103635E-13</v>
      </c>
      <c r="DQ129" s="13">
        <f t="shared" si="97"/>
        <v>2.8416956338469711E-12</v>
      </c>
      <c r="DR129" s="20">
        <f t="shared" si="70"/>
        <v>5.3075956424674458E-12</v>
      </c>
      <c r="DS129" s="59">
        <f t="shared" si="71"/>
        <v>293.3333333333386</v>
      </c>
      <c r="DT129" s="59">
        <f ca="1">AVERAGE(OFFSET($DS$3,0,0,'Données projet'!$E$14+1,1))-AVERAGE(OFFSET($H$3,0,0,'Données projet'!$E$14+1,1))</f>
        <v>436.23918637269577</v>
      </c>
      <c r="DU129" s="59">
        <f t="shared" si="98"/>
        <v>611.43967996341894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0.4920952973301706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1.6770533594752456E-14</v>
      </c>
      <c r="ED129" s="22">
        <f t="shared" si="72"/>
        <v>0.49209529733018736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430.94515308997018</v>
      </c>
      <c r="T130" s="59">
        <f t="shared" si="88"/>
        <v>294.45557293177131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1.1442094262689924</v>
      </c>
      <c r="AA130" s="21">
        <f>EXP(-LN(2)/25)*AA129+(1-EXP(-LN(2)/25))/(LN(2)/25)*Calculateur!V130*Calculateur!X130*VLOOKUP('Données projet'!$B$9,Paramètres!$A$1:$I$89,3,0)*0.475*44/12</f>
        <v>0.67993007054992127</v>
      </c>
      <c r="AB130" s="21">
        <f>EXP(-LN(2)/2)*AB129+(1-EXP(-LN(2)/2))/(LN(2)/2)*V130*Y130*VLOOKUP('Données projet'!$B$9,Paramètres!$A$1:$I$89,3,0)*0.475*44/12</f>
        <v>2.2919435300638743E-14</v>
      </c>
      <c r="AC130" s="22">
        <f t="shared" si="57"/>
        <v>1.8241394968189366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319.22903094674564</v>
      </c>
      <c r="AO130" s="59">
        <f t="shared" si="90"/>
        <v>254.58690973142848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1.3292888252840416</v>
      </c>
      <c r="AV130" s="21">
        <f>EXP(-LN(2)/25)*AV129+(1-EXP(-LN(2)/25))/(LN(2)/25)*Calculateur!AQ130*Calculateur!AS130*VLOOKUP('Données projet'!$B$10,Paramètres!$A$1:$I$89,3,0)*0.475*44/12</f>
        <v>0.75740802766678694</v>
      </c>
      <c r="AW130" s="21">
        <f>EXP(-LN(2)/2)*AW129+(1-EXP(-LN(2)/2))/(LN(2)/2)*AQ130*AT130*VLOOKUP('Données projet'!$B$10,Paramètres!$A$1:$I$89,3,0)*0.475*44/12</f>
        <v>2.7741972805741903E-14</v>
      </c>
      <c r="AX130" s="21">
        <f t="shared" si="60"/>
        <v>2.0866968529508561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395.21779046720553</v>
      </c>
      <c r="BJ130" s="59">
        <f t="shared" si="92"/>
        <v>360.05900046417361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0.70470186133880985</v>
      </c>
      <c r="BQ130" s="21">
        <f>EXP(-LN(2)/25)*BQ129+(1-EXP(-LN(2)/25))/(LN(2)/25)*Calculateur!BL130*Calculateur!BN130*VLOOKUP('Données projet'!$B$11,Paramètres!$A$1:$I$89,3,0)*0.475*44/12</f>
        <v>0.76615894912801985</v>
      </c>
      <c r="BR130" s="21">
        <f>EXP(-LN(2)/2)*BR129+(1-EXP(-LN(2)/2))/(LN(2)/2)*BL130*BO130*VLOOKUP('Données projet'!$B$11,Paramètres!$A$1:$I$89,3,0)*0.475*44/12</f>
        <v>1.7578769771795544E-14</v>
      </c>
      <c r="BS130" s="22">
        <f t="shared" si="63"/>
        <v>1.4708608104668472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449.84356201138451</v>
      </c>
      <c r="CE130" s="59">
        <f t="shared" si="94"/>
        <v>306.61893266146666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1.1995743985078149</v>
      </c>
      <c r="CL130" s="21">
        <f>EXP(-LN(2)/25)*CL129+(1-EXP(-LN(2)/25))/(LN(2)/25)*Calculateur!CG130*Calculateur!CI130*VLOOKUP('Données projet'!$B$12,Paramètres!$A$1:$I$89,3,0)*0.475*44/12</f>
        <v>0.71282991267330453</v>
      </c>
      <c r="CM130" s="21">
        <f>EXP(-LN(2)/2)*CM129+(1-EXP(-LN(2)/2))/(LN(2)/2)*CG130*CJ130*VLOOKUP('Données projet'!$B$12,Paramètres!$A$1:$I$89,3,0)*0.475*44/12</f>
        <v>2.4028440234540612E-14</v>
      </c>
      <c r="CN130" s="22">
        <f t="shared" si="66"/>
        <v>1.9124043111811435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475.01366239340246</v>
      </c>
      <c r="CZ130" s="59">
        <f t="shared" si="96"/>
        <v>322.81767004794284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1.2733943614929089</v>
      </c>
      <c r="DG130" s="21">
        <f>EXP(-LN(2)/25)*DG129+(1-EXP(-LN(2)/25))/(LN(2)/25)*Calculateur!DB130*Calculateur!DD130*VLOOKUP('Données projet'!$B$13,Paramètres!$A$1:$I$89,3,0)*0.475*44/12</f>
        <v>0.75669636883781433</v>
      </c>
      <c r="DH130" s="21">
        <f>EXP(-LN(2)/2)*DH129+(1-EXP(-LN(2)/2))/(LN(2)/2)*DB130*DE130*VLOOKUP('Données projet'!$B$13,Paramètres!$A$1:$I$89,3,0)*0.475*44/12</f>
        <v>2.5507113479743118E-14</v>
      </c>
      <c r="DI130" s="22">
        <f t="shared" si="69"/>
        <v>2.0300907303307487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2.0572770154103635E-13</v>
      </c>
      <c r="DQ130" s="13">
        <f t="shared" si="97"/>
        <v>2.8416956338469711E-12</v>
      </c>
      <c r="DR130" s="20">
        <f t="shared" si="70"/>
        <v>5.3075956424674458E-12</v>
      </c>
      <c r="DS130" s="59">
        <f t="shared" si="71"/>
        <v>293.3333333333386</v>
      </c>
      <c r="DT130" s="59">
        <f ca="1">AVERAGE(OFFSET($DS$3,0,0,'Données projet'!$E$14+1,1))-AVERAGE(OFFSET($H$3,0,0,'Données projet'!$E$14+1,1))</f>
        <v>436.23918637269577</v>
      </c>
      <c r="DU130" s="59">
        <f t="shared" si="98"/>
        <v>611.43967996341894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0.48244560869802011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1.1858558028966269E-14</v>
      </c>
      <c r="ED130" s="22">
        <f t="shared" si="72"/>
        <v>0.48244560869803199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430.94515308997018</v>
      </c>
      <c r="T131" s="59">
        <f t="shared" si="88"/>
        <v>294.45557293177131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1.1217721773186957</v>
      </c>
      <c r="AA131" s="21">
        <f>EXP(-LN(2)/25)*AA130+(1-EXP(-LN(2)/25))/(LN(2)/25)*Calculateur!V131*Calculateur!X131*VLOOKUP('Données projet'!$B$9,Paramètres!$A$1:$I$89,3,0)*0.475*44/12</f>
        <v>0.66133734701476532</v>
      </c>
      <c r="AB131" s="21">
        <f>EXP(-LN(2)/2)*AB130+(1-EXP(-LN(2)/2))/(LN(2)/2)*V131*Y131*VLOOKUP('Données projet'!$B$9,Paramètres!$A$1:$I$89,3,0)*0.475*44/12</f>
        <v>1.6206488122047992E-14</v>
      </c>
      <c r="AC131" s="22">
        <f t="shared" si="57"/>
        <v>1.7831095243334774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319.22903094674564</v>
      </c>
      <c r="AO131" s="59">
        <f t="shared" si="90"/>
        <v>254.58690973142848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1.3032222822063464</v>
      </c>
      <c r="AV131" s="21">
        <f>EXP(-LN(2)/25)*AV130+(1-EXP(-LN(2)/25))/(LN(2)/25)*Calculateur!AQ131*Calculateur!AS131*VLOOKUP('Données projet'!$B$10,Paramètres!$A$1:$I$89,3,0)*0.475*44/12</f>
        <v>0.73669666531988154</v>
      </c>
      <c r="AW131" s="21">
        <f>EXP(-LN(2)/2)*AW130+(1-EXP(-LN(2)/2))/(LN(2)/2)*AQ131*AT131*VLOOKUP('Données projet'!$B$10,Paramètres!$A$1:$I$89,3,0)*0.475*44/12</f>
        <v>1.9616537094432893E-14</v>
      </c>
      <c r="AX131" s="21">
        <f t="shared" si="60"/>
        <v>2.0399189475262474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395.21779046720553</v>
      </c>
      <c r="BJ131" s="59">
        <f t="shared" si="92"/>
        <v>360.05900046417361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0.69088308766364948</v>
      </c>
      <c r="BQ131" s="21">
        <f>EXP(-LN(2)/25)*BQ130+(1-EXP(-LN(2)/25))/(LN(2)/25)*Calculateur!BL131*Calculateur!BN131*VLOOKUP('Données projet'!$B$11,Paramètres!$A$1:$I$89,3,0)*0.475*44/12</f>
        <v>0.74520829237356612</v>
      </c>
      <c r="BR131" s="21">
        <f>EXP(-LN(2)/2)*BR130+(1-EXP(-LN(2)/2))/(LN(2)/2)*BL131*BO131*VLOOKUP('Données projet'!$B$11,Paramètres!$A$1:$I$89,3,0)*0.475*44/12</f>
        <v>1.2430067310553728E-14</v>
      </c>
      <c r="BS131" s="22">
        <f t="shared" si="63"/>
        <v>1.4360913800372281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449.84356201138451</v>
      </c>
      <c r="CE131" s="59">
        <f t="shared" si="94"/>
        <v>306.61893266146666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1.1760514762212135</v>
      </c>
      <c r="CL131" s="21">
        <f>EXP(-LN(2)/25)*CL130+(1-EXP(-LN(2)/25))/(LN(2)/25)*Calculateur!CG131*Calculateur!CI131*VLOOKUP('Données projet'!$B$12,Paramètres!$A$1:$I$89,3,0)*0.475*44/12</f>
        <v>0.69333754122515712</v>
      </c>
      <c r="CM131" s="21">
        <f>EXP(-LN(2)/2)*CM130+(1-EXP(-LN(2)/2))/(LN(2)/2)*CG131*CJ131*VLOOKUP('Données projet'!$B$12,Paramètres!$A$1:$I$89,3,0)*0.475*44/12</f>
        <v>1.6990673031179343E-14</v>
      </c>
      <c r="CN131" s="22">
        <f t="shared" si="66"/>
        <v>1.8693890174463876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475.01366239340246</v>
      </c>
      <c r="CZ131" s="59">
        <f t="shared" si="96"/>
        <v>322.81767004794284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1.2484238747579013</v>
      </c>
      <c r="DG131" s="21">
        <f>EXP(-LN(2)/25)*DG130+(1-EXP(-LN(2)/25))/(LN(2)/25)*Calculateur!DB131*Calculateur!DD131*VLOOKUP('Données projet'!$B$13,Paramètres!$A$1:$I$89,3,0)*0.475*44/12</f>
        <v>0.73600446683901166</v>
      </c>
      <c r="DH131" s="21">
        <f>EXP(-LN(2)/2)*DH130+(1-EXP(-LN(2)/2))/(LN(2)/2)*DB131*DE131*VLOOKUP('Données projet'!$B$13,Paramètres!$A$1:$I$89,3,0)*0.475*44/12</f>
        <v>1.8036252910021153E-14</v>
      </c>
      <c r="DI131" s="22">
        <f t="shared" si="69"/>
        <v>1.9844283415969308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2.0572770154103635E-13</v>
      </c>
      <c r="DQ131" s="13">
        <f t="shared" si="97"/>
        <v>2.8416956338469711E-12</v>
      </c>
      <c r="DR131" s="20">
        <f t="shared" si="70"/>
        <v>5.3075956424674458E-12</v>
      </c>
      <c r="DS131" s="59">
        <f t="shared" si="71"/>
        <v>293.3333333333386</v>
      </c>
      <c r="DT131" s="59">
        <f ca="1">AVERAGE(OFFSET($DS$3,0,0,'Données projet'!$E$14+1,1))-AVERAGE(OFFSET($H$3,0,0,'Données projet'!$E$14+1,1))</f>
        <v>436.23918637269577</v>
      </c>
      <c r="DU131" s="59">
        <f t="shared" si="98"/>
        <v>611.43967996341894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0.4729851445742172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8.3852667973762278E-15</v>
      </c>
      <c r="ED131" s="22">
        <f t="shared" si="72"/>
        <v>0.47298514457422558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430.94515308997018</v>
      </c>
      <c r="T132" s="59">
        <f t="shared" si="88"/>
        <v>294.45557293177131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1.0997749091349438</v>
      </c>
      <c r="AA132" s="21">
        <f>EXP(-LN(2)/25)*AA131+(1-EXP(-LN(2)/25))/(LN(2)/25)*Calculateur!V132*Calculateur!X132*VLOOKUP('Données projet'!$B$9,Paramètres!$A$1:$I$89,3,0)*0.475*44/12</f>
        <v>0.64325304248242698</v>
      </c>
      <c r="AB132" s="21">
        <f>EXP(-LN(2)/2)*AB131+(1-EXP(-LN(2)/2))/(LN(2)/2)*V132*Y132*VLOOKUP('Données projet'!$B$9,Paramètres!$A$1:$I$89,3,0)*0.475*44/12</f>
        <v>1.1459717650319372E-14</v>
      </c>
      <c r="AC132" s="22">
        <f t="shared" ref="AC132:AC153" si="111">SUM(Z132:AB132)</f>
        <v>1.7430279516173823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319.22903094674564</v>
      </c>
      <c r="AO132" s="59">
        <f t="shared" si="90"/>
        <v>254.58690973142848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1.2776668881393836</v>
      </c>
      <c r="AV132" s="21">
        <f>EXP(-LN(2)/25)*AV131+(1-EXP(-LN(2)/25))/(LN(2)/25)*Calculateur!AQ132*Calculateur!AS132*VLOOKUP('Données projet'!$B$10,Paramètres!$A$1:$I$89,3,0)*0.475*44/12</f>
        <v>0.71655165626551554</v>
      </c>
      <c r="AW132" s="21">
        <f>EXP(-LN(2)/2)*AW131+(1-EXP(-LN(2)/2))/(LN(2)/2)*AQ132*AT132*VLOOKUP('Données projet'!$B$10,Paramètres!$A$1:$I$89,3,0)*0.475*44/12</f>
        <v>1.3870986402870953E-14</v>
      </c>
      <c r="AX132" s="21">
        <f t="shared" ref="AX132:AX153" si="114">SUM(AU132:AW132)</f>
        <v>1.9942185444049128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395.21779046720553</v>
      </c>
      <c r="BJ132" s="59">
        <f t="shared" si="92"/>
        <v>360.05900046417361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0.67733529171163931</v>
      </c>
      <c r="BQ132" s="21">
        <f>EXP(-LN(2)/25)*BQ131+(1-EXP(-LN(2)/25))/(LN(2)/25)*Calculateur!BL132*Calculateur!BN132*VLOOKUP('Données projet'!$B$11,Paramètres!$A$1:$I$89,3,0)*0.475*44/12</f>
        <v>0.7248305324298101</v>
      </c>
      <c r="BR132" s="21">
        <f>EXP(-LN(2)/2)*BR131+(1-EXP(-LN(2)/2))/(LN(2)/2)*BL132*BO132*VLOOKUP('Données projet'!$B$11,Paramètres!$A$1:$I$89,3,0)*0.475*44/12</f>
        <v>8.7893848858977718E-15</v>
      </c>
      <c r="BS132" s="22">
        <f t="shared" ref="BS132:BS153" si="117">SUM(BP132:BR132)</f>
        <v>1.4021658241414583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449.84356201138451</v>
      </c>
      <c r="CE132" s="59">
        <f t="shared" si="94"/>
        <v>306.61893266146666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1.1529898240930865</v>
      </c>
      <c r="CL132" s="21">
        <f>EXP(-LN(2)/25)*CL131+(1-EXP(-LN(2)/25))/(LN(2)/25)*Calculateur!CG132*Calculateur!CI132*VLOOKUP('Données projet'!$B$12,Paramètres!$A$1:$I$89,3,0)*0.475*44/12</f>
        <v>0.67437818969931851</v>
      </c>
      <c r="CM132" s="21">
        <f>EXP(-LN(2)/2)*CM131+(1-EXP(-LN(2)/2))/(LN(2)/2)*CG132*CJ132*VLOOKUP('Données projet'!$B$12,Paramètres!$A$1:$I$89,3,0)*0.475*44/12</f>
        <v>1.2014220117270306E-14</v>
      </c>
      <c r="CN132" s="22">
        <f t="shared" ref="CN132:CN153" si="120">SUM(CK132:CM132)</f>
        <v>1.8273680137924169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475.01366239340246</v>
      </c>
      <c r="CZ132" s="59">
        <f t="shared" si="96"/>
        <v>322.81767004794284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1.2239430440372743</v>
      </c>
      <c r="DG132" s="21">
        <f>EXP(-LN(2)/25)*DG131+(1-EXP(-LN(2)/25))/(LN(2)/25)*Calculateur!DB132*Calculateur!DD132*VLOOKUP('Données projet'!$B$13,Paramètres!$A$1:$I$89,3,0)*0.475*44/12</f>
        <v>0.71587838598850617</v>
      </c>
      <c r="DH132" s="21">
        <f>EXP(-LN(2)/2)*DH131+(1-EXP(-LN(2)/2))/(LN(2)/2)*DB132*DE132*VLOOKUP('Données projet'!$B$13,Paramètres!$A$1:$I$89,3,0)*0.475*44/12</f>
        <v>1.2753556739871559E-14</v>
      </c>
      <c r="DI132" s="22">
        <f t="shared" ref="DI132:DI153" si="123">SUM(DF132:DH132)</f>
        <v>1.9398214300257932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2.0572770154103635E-13</v>
      </c>
      <c r="DQ132" s="13">
        <f t="shared" si="97"/>
        <v>2.8416956338469711E-12</v>
      </c>
      <c r="DR132" s="20">
        <f t="shared" ref="DR132:DR153" si="124">(DP132+DQ132)*0.475*44/12</f>
        <v>5.3075956424674458E-12</v>
      </c>
      <c r="DS132" s="59">
        <f t="shared" ref="DS132:DS195" si="125">DR132+(DJ132+DK132)*44/12</f>
        <v>293.3333333333386</v>
      </c>
      <c r="DT132" s="59">
        <f ca="1">AVERAGE(OFFSET($DS$3,0,0,'Données projet'!$E$14+1,1))-AVERAGE(OFFSET($H$3,0,0,'Données projet'!$E$14+1,1))</f>
        <v>436.23918637269577</v>
      </c>
      <c r="DU132" s="59">
        <f t="shared" si="98"/>
        <v>611.43967996341894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0.46371019438156874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5.9292790144831345E-15</v>
      </c>
      <c r="ED132" s="22">
        <f t="shared" ref="ED132:ED153" si="126">SUM(EA132:EC132)</f>
        <v>0.46371019438157468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430.94515308997018</v>
      </c>
      <c r="T133" s="59">
        <f t="shared" ref="T133:T196" si="142">$T$3</f>
        <v>294.45557293177131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1.0782089939632664</v>
      </c>
      <c r="AA133" s="21">
        <f>EXP(-LN(2)/25)*AA132+(1-EXP(-LN(2)/25))/(LN(2)/25)*Calculateur!V133*Calculateur!X133*VLOOKUP('Données projet'!$B$9,Paramètres!$A$1:$I$89,3,0)*0.475*44/12</f>
        <v>0.62566325420853763</v>
      </c>
      <c r="AB133" s="21">
        <f>EXP(-LN(2)/2)*AB132+(1-EXP(-LN(2)/2))/(LN(2)/2)*V133*Y133*VLOOKUP('Données projet'!$B$9,Paramètres!$A$1:$I$89,3,0)*0.475*44/12</f>
        <v>8.1032440610239962E-15</v>
      </c>
      <c r="AC133" s="22">
        <f t="shared" si="111"/>
        <v>1.703872248171812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319.22903094674564</v>
      </c>
      <c r="AO133" s="59">
        <f t="shared" ref="AO133:AO196" si="144">$AO$3</f>
        <v>254.58690973142848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1.2526126197628225</v>
      </c>
      <c r="AV133" s="21">
        <f>EXP(-LN(2)/25)*AV132+(1-EXP(-LN(2)/25))/(LN(2)/25)*Calculateur!AQ133*Calculateur!AS133*VLOOKUP('Données projet'!$B$10,Paramètres!$A$1:$I$89,3,0)*0.475*44/12</f>
        <v>0.69695751354312108</v>
      </c>
      <c r="AW133" s="21">
        <f>EXP(-LN(2)/2)*AW132+(1-EXP(-LN(2)/2))/(LN(2)/2)*AQ133*AT133*VLOOKUP('Données projet'!$B$10,Paramètres!$A$1:$I$89,3,0)*0.475*44/12</f>
        <v>9.8082685472164481E-15</v>
      </c>
      <c r="AX133" s="21">
        <f t="shared" si="114"/>
        <v>1.9495701333059534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395.21779046720553</v>
      </c>
      <c r="BJ133" s="59">
        <f t="shared" ref="BJ133:BJ196" si="146">$BJ$3</f>
        <v>360.05900046417361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0.66405315977490842</v>
      </c>
      <c r="BQ133" s="21">
        <f>EXP(-LN(2)/25)*BQ132+(1-EXP(-LN(2)/25))/(LN(2)/25)*Calculateur!BL133*Calculateur!BN133*VLOOKUP('Données projet'!$B$11,Paramètres!$A$1:$I$89,3,0)*0.475*44/12</f>
        <v>0.70501000340333586</v>
      </c>
      <c r="BR133" s="21">
        <f>EXP(-LN(2)/2)*BR132+(1-EXP(-LN(2)/2))/(LN(2)/2)*BL133*BO133*VLOOKUP('Données projet'!$B$11,Paramètres!$A$1:$I$89,3,0)*0.475*44/12</f>
        <v>6.2150336552768638E-15</v>
      </c>
      <c r="BS133" s="22">
        <f t="shared" si="117"/>
        <v>1.3690631631782506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449.84356201138451</v>
      </c>
      <c r="CE133" s="59">
        <f t="shared" ref="CE133:CE196" si="148">$CE$3</f>
        <v>306.61893266146666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1.1303803968969732</v>
      </c>
      <c r="CL133" s="21">
        <f>EXP(-LN(2)/25)*CL132+(1-EXP(-LN(2)/25))/(LN(2)/25)*Calculateur!CG133*Calculateur!CI133*VLOOKUP('Données projet'!$B$12,Paramètres!$A$1:$I$89,3,0)*0.475*44/12</f>
        <v>0.65593728263798301</v>
      </c>
      <c r="CM133" s="21">
        <f>EXP(-LN(2)/2)*CM132+(1-EXP(-LN(2)/2))/(LN(2)/2)*CG133*CJ133*VLOOKUP('Données projet'!$B$12,Paramètres!$A$1:$I$89,3,0)*0.475*44/12</f>
        <v>8.4953365155896715E-15</v>
      </c>
      <c r="CN133" s="22">
        <f t="shared" si="120"/>
        <v>1.7863176795349647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475.01366239340246</v>
      </c>
      <c r="CZ133" s="59">
        <f t="shared" ref="CZ133:CZ196" si="150">$CZ$3</f>
        <v>322.81767004794284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1.1999422674752462</v>
      </c>
      <c r="DG133" s="21">
        <f>EXP(-LN(2)/25)*DG132+(1-EXP(-LN(2)/25))/(LN(2)/25)*Calculateur!DB133*Calculateur!DD133*VLOOKUP('Données projet'!$B$13,Paramètres!$A$1:$I$89,3,0)*0.475*44/12</f>
        <v>0.69630265387724233</v>
      </c>
      <c r="DH133" s="21">
        <f>EXP(-LN(2)/2)*DH132+(1-EXP(-LN(2)/2))/(LN(2)/2)*DB133*DE133*VLOOKUP('Données projet'!$B$13,Paramètres!$A$1:$I$89,3,0)*0.475*44/12</f>
        <v>9.0181264550105766E-15</v>
      </c>
      <c r="DI133" s="22">
        <f t="shared" si="123"/>
        <v>1.8962449213524977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2.0572770154103635E-13</v>
      </c>
      <c r="DQ133" s="13">
        <f t="shared" ref="DQ133:DQ153" si="151">EXP(-1.0587+0.8836*LN(DP133)+0.284)</f>
        <v>2.8416956338469711E-12</v>
      </c>
      <c r="DR133" s="20">
        <f t="shared" si="124"/>
        <v>5.3075956424674458E-12</v>
      </c>
      <c r="DS133" s="59">
        <f t="shared" si="125"/>
        <v>293.3333333333386</v>
      </c>
      <c r="DT133" s="59">
        <f ca="1">AVERAGE(OFFSET($DS$3,0,0,'Données projet'!$E$14+1,1))-AVERAGE(OFFSET($H$3,0,0,'Données projet'!$E$14+1,1))</f>
        <v>436.23918637269577</v>
      </c>
      <c r="DU133" s="59">
        <f t="shared" ref="DU133:DU196" si="152">$DU$3</f>
        <v>611.43967996341894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0.45461712030503709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4.1926333986881139E-15</v>
      </c>
      <c r="ED133" s="22">
        <f t="shared" si="126"/>
        <v>0.45461712030504131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430.94515308997018</v>
      </c>
      <c r="T134" s="59">
        <f t="shared" si="142"/>
        <v>294.45557293177131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1.0570659732341963</v>
      </c>
      <c r="AA134" s="21">
        <f>EXP(-LN(2)/25)*AA133+(1-EXP(-LN(2)/25))/(LN(2)/25)*Calculateur!V134*Calculateur!X134*VLOOKUP('Données projet'!$B$9,Paramètres!$A$1:$I$89,3,0)*0.475*44/12</f>
        <v>0.60855445962000465</v>
      </c>
      <c r="AB134" s="21">
        <f>EXP(-LN(2)/2)*AB133+(1-EXP(-LN(2)/2))/(LN(2)/2)*V134*Y134*VLOOKUP('Données projet'!$B$9,Paramètres!$A$1:$I$89,3,0)*0.475*44/12</f>
        <v>5.7298588251596858E-15</v>
      </c>
      <c r="AC134" s="22">
        <f t="shared" si="111"/>
        <v>1.6656204328542068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319.22903094674564</v>
      </c>
      <c r="AO134" s="59">
        <f t="shared" si="144"/>
        <v>254.58690973142848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1.2280496503075311</v>
      </c>
      <c r="AV134" s="21">
        <f>EXP(-LN(2)/25)*AV133+(1-EXP(-LN(2)/25))/(LN(2)/25)*Calculateur!AQ134*Calculateur!AS134*VLOOKUP('Données projet'!$B$10,Paramètres!$A$1:$I$89,3,0)*0.475*44/12</f>
        <v>0.67789917368388175</v>
      </c>
      <c r="AW134" s="21">
        <f>EXP(-LN(2)/2)*AW133+(1-EXP(-LN(2)/2))/(LN(2)/2)*AQ134*AT134*VLOOKUP('Données projet'!$B$10,Paramètres!$A$1:$I$89,3,0)*0.475*44/12</f>
        <v>6.935493201435478E-15</v>
      </c>
      <c r="AX134" s="21">
        <f t="shared" si="114"/>
        <v>1.9059488239914197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395.21779046720553</v>
      </c>
      <c r="BJ134" s="59">
        <f t="shared" si="146"/>
        <v>360.05900046417361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0.65103148234415631</v>
      </c>
      <c r="BQ134" s="21">
        <f>EXP(-LN(2)/25)*BQ133+(1-EXP(-LN(2)/25))/(LN(2)/25)*Calculateur!BL134*Calculateur!BN134*VLOOKUP('Données projet'!$B$11,Paramètres!$A$1:$I$89,3,0)*0.475*44/12</f>
        <v>0.68573146778540683</v>
      </c>
      <c r="BR134" s="21">
        <f>EXP(-LN(2)/2)*BR133+(1-EXP(-LN(2)/2))/(LN(2)/2)*BL134*BO134*VLOOKUP('Données projet'!$B$11,Paramètres!$A$1:$I$89,3,0)*0.475*44/12</f>
        <v>4.3946924429488859E-15</v>
      </c>
      <c r="BS134" s="22">
        <f t="shared" si="117"/>
        <v>1.3367629501295677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449.84356201138451</v>
      </c>
      <c r="CE134" s="59">
        <f t="shared" si="148"/>
        <v>306.61893266146666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1.1082143267777869</v>
      </c>
      <c r="CL134" s="21">
        <f>EXP(-LN(2)/25)*CL133+(1-EXP(-LN(2)/25))/(LN(2)/25)*Calculateur!CG134*Calculateur!CI134*VLOOKUP('Données projet'!$B$12,Paramètres!$A$1:$I$89,3,0)*0.475*44/12</f>
        <v>0.63800064315000482</v>
      </c>
      <c r="CM134" s="21">
        <f>EXP(-LN(2)/2)*CM133+(1-EXP(-LN(2)/2))/(LN(2)/2)*CG134*CJ134*VLOOKUP('Données projet'!$B$12,Paramètres!$A$1:$I$89,3,0)*0.475*44/12</f>
        <v>6.007110058635153E-15</v>
      </c>
      <c r="CN134" s="22">
        <f t="shared" si="120"/>
        <v>1.7462149699277976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475.01366239340246</v>
      </c>
      <c r="CZ134" s="59">
        <f t="shared" si="150"/>
        <v>322.81767004794284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1.1764121315025715</v>
      </c>
      <c r="DG134" s="21">
        <f>EXP(-LN(2)/25)*DG133+(1-EXP(-LN(2)/25))/(LN(2)/25)*Calculateur!DB134*Calculateur!DD134*VLOOKUP('Données projet'!$B$13,Paramètres!$A$1:$I$89,3,0)*0.475*44/12</f>
        <v>0.67726222119000401</v>
      </c>
      <c r="DH134" s="21">
        <f>EXP(-LN(2)/2)*DH133+(1-EXP(-LN(2)/2))/(LN(2)/2)*DB134*DE134*VLOOKUP('Données projet'!$B$13,Paramètres!$A$1:$I$89,3,0)*0.475*44/12</f>
        <v>6.3767783699357794E-15</v>
      </c>
      <c r="DI134" s="22">
        <f t="shared" si="123"/>
        <v>1.8536743526925819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2.0572770154103635E-13</v>
      </c>
      <c r="DQ134" s="13">
        <f t="shared" si="151"/>
        <v>2.8416956338469711E-12</v>
      </c>
      <c r="DR134" s="20">
        <f t="shared" si="124"/>
        <v>5.3075956424674458E-12</v>
      </c>
      <c r="DS134" s="59">
        <f t="shared" si="125"/>
        <v>293.3333333333386</v>
      </c>
      <c r="DT134" s="59">
        <f ca="1">AVERAGE(OFFSET($DS$3,0,0,'Données projet'!$E$14+1,1))-AVERAGE(OFFSET($H$3,0,0,'Données projet'!$E$14+1,1))</f>
        <v>436.23918637269577</v>
      </c>
      <c r="DU134" s="59">
        <f t="shared" si="152"/>
        <v>611.43967996341894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0.44570235586491869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2.9646395072415673E-15</v>
      </c>
      <c r="ED134" s="22">
        <f t="shared" si="126"/>
        <v>0.44570235586492163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430.94515308997018</v>
      </c>
      <c r="T135" s="59">
        <f t="shared" si="142"/>
        <v>294.45557293177131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1.0363375542456539</v>
      </c>
      <c r="AA135" s="21">
        <f>EXP(-LN(2)/25)*AA134+(1-EXP(-LN(2)/25))/(LN(2)/25)*Calculateur!V135*Calculateur!X135*VLOOKUP('Données projet'!$B$9,Paramètres!$A$1:$I$89,3,0)*0.475*44/12</f>
        <v>0.59191350591920744</v>
      </c>
      <c r="AB135" s="21">
        <f>EXP(-LN(2)/2)*AB134+(1-EXP(-LN(2)/2))/(LN(2)/2)*V135*Y135*VLOOKUP('Données projet'!$B$9,Paramètres!$A$1:$I$89,3,0)*0.475*44/12</f>
        <v>4.0516220305119981E-15</v>
      </c>
      <c r="AC135" s="22">
        <f t="shared" si="111"/>
        <v>1.6282510601648652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319.22903094674564</v>
      </c>
      <c r="AO135" s="59">
        <f t="shared" si="144"/>
        <v>254.58690973142848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1.2039683457013259</v>
      </c>
      <c r="AV135" s="21">
        <f>EXP(-LN(2)/25)*AV134+(1-EXP(-LN(2)/25))/(LN(2)/25)*Calculateur!AQ135*Calculateur!AS135*VLOOKUP('Données projet'!$B$10,Paramètres!$A$1:$I$89,3,0)*0.475*44/12</f>
        <v>0.65936198513032784</v>
      </c>
      <c r="AW135" s="21">
        <f>EXP(-LN(2)/2)*AW134+(1-EXP(-LN(2)/2))/(LN(2)/2)*AQ135*AT135*VLOOKUP('Données projet'!$B$10,Paramètres!$A$1:$I$89,3,0)*0.475*44/12</f>
        <v>4.9041342736082248E-15</v>
      </c>
      <c r="AX135" s="21">
        <f t="shared" si="114"/>
        <v>1.8633303308316587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395.21779046720553</v>
      </c>
      <c r="BJ135" s="59">
        <f t="shared" si="146"/>
        <v>360.05900046417361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0.63826515206538226</v>
      </c>
      <c r="BQ135" s="21">
        <f>EXP(-LN(2)/25)*BQ134+(1-EXP(-LN(2)/25))/(LN(2)/25)*Calculateur!BL135*Calculateur!BN135*VLOOKUP('Données projet'!$B$11,Paramètres!$A$1:$I$89,3,0)*0.475*44/12</f>
        <v>0.66698010473776426</v>
      </c>
      <c r="BR135" s="21">
        <f>EXP(-LN(2)/2)*BR134+(1-EXP(-LN(2)/2))/(LN(2)/2)*BL135*BO135*VLOOKUP('Données projet'!$B$11,Paramètres!$A$1:$I$89,3,0)*0.475*44/12</f>
        <v>3.1075168276384319E-15</v>
      </c>
      <c r="BS135" s="22">
        <f t="shared" si="117"/>
        <v>1.3052452568031496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449.84356201138451</v>
      </c>
      <c r="CE135" s="59">
        <f t="shared" si="148"/>
        <v>306.61893266146666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1.0864829197736698</v>
      </c>
      <c r="CL135" s="21">
        <f>EXP(-LN(2)/25)*CL134+(1-EXP(-LN(2)/25))/(LN(2)/25)*Calculateur!CG135*Calculateur!CI135*VLOOKUP('Données projet'!$B$12,Paramètres!$A$1:$I$89,3,0)*0.475*44/12</f>
        <v>0.62055448201207231</v>
      </c>
      <c r="CM135" s="21">
        <f>EXP(-LN(2)/2)*CM134+(1-EXP(-LN(2)/2))/(LN(2)/2)*CG135*CJ135*VLOOKUP('Données projet'!$B$12,Paramètres!$A$1:$I$89,3,0)*0.475*44/12</f>
        <v>4.2476682577948358E-15</v>
      </c>
      <c r="CN135" s="22">
        <f t="shared" si="120"/>
        <v>1.7070374017857464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475.01366239340246</v>
      </c>
      <c r="CZ135" s="59">
        <f t="shared" si="150"/>
        <v>322.81767004794284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1.1533434071443551</v>
      </c>
      <c r="DG135" s="21">
        <f>EXP(-LN(2)/25)*DG134+(1-EXP(-LN(2)/25))/(LN(2)/25)*Calculateur!DB135*Calculateur!DD135*VLOOKUP('Données projet'!$B$13,Paramètres!$A$1:$I$89,3,0)*0.475*44/12</f>
        <v>0.65874245013589106</v>
      </c>
      <c r="DH135" s="21">
        <f>EXP(-LN(2)/2)*DH134+(1-EXP(-LN(2)/2))/(LN(2)/2)*DB135*DE135*VLOOKUP('Données projet'!$B$13,Paramètres!$A$1:$I$89,3,0)*0.475*44/12</f>
        <v>4.5090632275052883E-15</v>
      </c>
      <c r="DI135" s="22">
        <f t="shared" si="123"/>
        <v>1.8120858572802505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2.0572770154103635E-13</v>
      </c>
      <c r="DQ135" s="13">
        <f t="shared" si="151"/>
        <v>2.8416956338469711E-12</v>
      </c>
      <c r="DR135" s="20">
        <f t="shared" si="124"/>
        <v>5.3075956424674458E-12</v>
      </c>
      <c r="DS135" s="59">
        <f t="shared" si="125"/>
        <v>293.3333333333386</v>
      </c>
      <c r="DT135" s="59">
        <f ca="1">AVERAGE(OFFSET($DS$3,0,0,'Données projet'!$E$14+1,1))-AVERAGE(OFFSET($H$3,0,0,'Données projet'!$E$14+1,1))</f>
        <v>436.23918637269577</v>
      </c>
      <c r="DU135" s="59">
        <f t="shared" si="152"/>
        <v>611.43967996341894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0.43696240451800161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2.0963166993440569E-15</v>
      </c>
      <c r="ED135" s="22">
        <f t="shared" si="126"/>
        <v>0.43696240451800372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430.94515308997018</v>
      </c>
      <c r="T136" s="59">
        <f t="shared" si="142"/>
        <v>294.45557293177131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1.0160156069103896</v>
      </c>
      <c r="AA136" s="21">
        <f>EXP(-LN(2)/25)*AA135+(1-EXP(-LN(2)/25))/(LN(2)/25)*Calculateur!V136*Calculateur!X136*VLOOKUP('Données projet'!$B$9,Paramètres!$A$1:$I$89,3,0)*0.475*44/12</f>
        <v>0.57572759997246825</v>
      </c>
      <c r="AB136" s="21">
        <f>EXP(-LN(2)/2)*AB135+(1-EXP(-LN(2)/2))/(LN(2)/2)*V136*Y136*VLOOKUP('Données projet'!$B$9,Paramètres!$A$1:$I$89,3,0)*0.475*44/12</f>
        <v>2.8649294125798429E-15</v>
      </c>
      <c r="AC136" s="22">
        <f t="shared" si="111"/>
        <v>1.5917432068828608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319.22903094674564</v>
      </c>
      <c r="AO136" s="59">
        <f t="shared" si="144"/>
        <v>254.58690973142848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1.1803592607903028</v>
      </c>
      <c r="AV136" s="21">
        <f>EXP(-LN(2)/25)*AV135+(1-EXP(-LN(2)/25))/(LN(2)/25)*Calculateur!AQ136*Calculateur!AS136*VLOOKUP('Données projet'!$B$10,Paramètres!$A$1:$I$89,3,0)*0.475*44/12</f>
        <v>0.64133169697259917</v>
      </c>
      <c r="AW136" s="21">
        <f>EXP(-LN(2)/2)*AW135+(1-EXP(-LN(2)/2))/(LN(2)/2)*AQ136*AT136*VLOOKUP('Données projet'!$B$10,Paramètres!$A$1:$I$89,3,0)*0.475*44/12</f>
        <v>3.4677466007177394E-15</v>
      </c>
      <c r="AX136" s="21">
        <f t="shared" si="114"/>
        <v>1.8216909577629057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395.21779046720553</v>
      </c>
      <c r="BJ136" s="59">
        <f t="shared" si="146"/>
        <v>360.05900046417361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0.62574916173668238</v>
      </c>
      <c r="BQ136" s="21">
        <f>EXP(-LN(2)/25)*BQ135+(1-EXP(-LN(2)/25))/(LN(2)/25)*Calculateur!BL136*Calculateur!BN136*VLOOKUP('Données projet'!$B$11,Paramètres!$A$1:$I$89,3,0)*0.475*44/12</f>
        <v>0.64874149869875075</v>
      </c>
      <c r="BR136" s="21">
        <f>EXP(-LN(2)/2)*BR135+(1-EXP(-LN(2)/2))/(LN(2)/2)*BL136*BO136*VLOOKUP('Données projet'!$B$11,Paramètres!$A$1:$I$89,3,0)*0.475*44/12</f>
        <v>2.1973462214744429E-15</v>
      </c>
      <c r="BS136" s="22">
        <f t="shared" si="117"/>
        <v>1.2744906604354354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449.84356201138451</v>
      </c>
      <c r="CE136" s="59">
        <f t="shared" si="148"/>
        <v>306.61893266146666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1.0651776524060541</v>
      </c>
      <c r="CL136" s="21">
        <f>EXP(-LN(2)/25)*CL135+(1-EXP(-LN(2)/25))/(LN(2)/25)*Calculateur!CG136*Calculateur!CI136*VLOOKUP('Données projet'!$B$12,Paramètres!$A$1:$I$89,3,0)*0.475*44/12</f>
        <v>0.60358538706791032</v>
      </c>
      <c r="CM136" s="21">
        <f>EXP(-LN(2)/2)*CM135+(1-EXP(-LN(2)/2))/(LN(2)/2)*CG136*CJ136*VLOOKUP('Données projet'!$B$12,Paramètres!$A$1:$I$89,3,0)*0.475*44/12</f>
        <v>3.0035550293175765E-15</v>
      </c>
      <c r="CN136" s="22">
        <f t="shared" si="120"/>
        <v>1.6687630394739674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475.01366239340246</v>
      </c>
      <c r="CZ136" s="59">
        <f t="shared" si="150"/>
        <v>322.81767004794284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1.1307270464002708</v>
      </c>
      <c r="DG136" s="21">
        <f>EXP(-LN(2)/25)*DG135+(1-EXP(-LN(2)/25))/(LN(2)/25)*Calculateur!DB136*Calculateur!DD136*VLOOKUP('Données projet'!$B$13,Paramètres!$A$1:$I$89,3,0)*0.475*44/12</f>
        <v>0.64072910319516518</v>
      </c>
      <c r="DH136" s="21">
        <f>EXP(-LN(2)/2)*DH135+(1-EXP(-LN(2)/2))/(LN(2)/2)*DB136*DE136*VLOOKUP('Données projet'!$B$13,Paramètres!$A$1:$I$89,3,0)*0.475*44/12</f>
        <v>3.1883891849678897E-15</v>
      </c>
      <c r="DI136" s="22">
        <f t="shared" si="123"/>
        <v>1.7714561495954391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2.0572770154103635E-13</v>
      </c>
      <c r="DQ136" s="13">
        <f t="shared" si="151"/>
        <v>2.8416956338469711E-12</v>
      </c>
      <c r="DR136" s="20">
        <f t="shared" si="124"/>
        <v>5.3075956424674458E-12</v>
      </c>
      <c r="DS136" s="59">
        <f t="shared" si="125"/>
        <v>293.3333333333386</v>
      </c>
      <c r="DT136" s="59">
        <f ca="1">AVERAGE(OFFSET($DS$3,0,0,'Données projet'!$E$14+1,1))-AVERAGE(OFFSET($H$3,0,0,'Données projet'!$E$14+1,1))</f>
        <v>436.23918637269577</v>
      </c>
      <c r="DU136" s="59">
        <f t="shared" si="152"/>
        <v>611.43967996341894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0.42839383828615363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1.4823197536207836E-15</v>
      </c>
      <c r="ED136" s="22">
        <f t="shared" si="126"/>
        <v>0.42839383828615513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430.94515308997018</v>
      </c>
      <c r="T137" s="59">
        <f t="shared" si="142"/>
        <v>294.45557293177131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0.99609216056720595</v>
      </c>
      <c r="AA137" s="21">
        <f>EXP(-LN(2)/25)*AA136+(1-EXP(-LN(2)/25))/(LN(2)/25)*Calculateur!V137*Calculateur!X137*VLOOKUP('Données projet'!$B$9,Paramètres!$A$1:$I$89,3,0)*0.475*44/12</f>
        <v>0.55998429847502251</v>
      </c>
      <c r="AB137" s="21">
        <f>EXP(-LN(2)/2)*AB136+(1-EXP(-LN(2)/2))/(LN(2)/2)*V137*Y137*VLOOKUP('Données projet'!$B$9,Paramètres!$A$1:$I$89,3,0)*0.475*44/12</f>
        <v>2.0258110152559991E-15</v>
      </c>
      <c r="AC137" s="22">
        <f t="shared" si="111"/>
        <v>1.5560764590422305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319.22903094674564</v>
      </c>
      <c r="AO137" s="59">
        <f t="shared" si="144"/>
        <v>254.58690973142848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1.1572131356342652</v>
      </c>
      <c r="AV137" s="21">
        <f>EXP(-LN(2)/25)*AV136+(1-EXP(-LN(2)/25))/(LN(2)/25)*Calculateur!AQ137*Calculateur!AS137*VLOOKUP('Données projet'!$B$10,Paramètres!$A$1:$I$89,3,0)*0.475*44/12</f>
        <v>0.62379444799271533</v>
      </c>
      <c r="AW137" s="21">
        <f>EXP(-LN(2)/2)*AW136+(1-EXP(-LN(2)/2))/(LN(2)/2)*AQ137*AT137*VLOOKUP('Données projet'!$B$10,Paramètres!$A$1:$I$89,3,0)*0.475*44/12</f>
        <v>2.4520671368041128E-15</v>
      </c>
      <c r="AX137" s="21">
        <f t="shared" si="114"/>
        <v>1.781007583626983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395.21779046720553</v>
      </c>
      <c r="BJ137" s="59">
        <f t="shared" si="146"/>
        <v>360.05900046417361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0.61347860234432794</v>
      </c>
      <c r="BQ137" s="21">
        <f>EXP(-LN(2)/25)*BQ136+(1-EXP(-LN(2)/25))/(LN(2)/25)*Calculateur!BL137*Calculateur!BN137*VLOOKUP('Données projet'!$B$11,Paramètres!$A$1:$I$89,3,0)*0.475*44/12</f>
        <v>0.63100162830100071</v>
      </c>
      <c r="BR137" s="21">
        <f>EXP(-LN(2)/2)*BR136+(1-EXP(-LN(2)/2))/(LN(2)/2)*BL137*BO137*VLOOKUP('Données projet'!$B$11,Paramètres!$A$1:$I$89,3,0)*0.475*44/12</f>
        <v>1.553758413819216E-15</v>
      </c>
      <c r="BS137" s="22">
        <f t="shared" si="117"/>
        <v>1.2444802306453302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449.84356201138451</v>
      </c>
      <c r="CE137" s="59">
        <f t="shared" si="148"/>
        <v>306.61893266146666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1.0442901683365873</v>
      </c>
      <c r="CL137" s="21">
        <f>EXP(-LN(2)/25)*CL136+(1-EXP(-LN(2)/25))/(LN(2)/25)*Calculateur!CG137*Calculateur!CI137*VLOOKUP('Données projet'!$B$12,Paramètres!$A$1:$I$89,3,0)*0.475*44/12</f>
        <v>0.58708031291736229</v>
      </c>
      <c r="CM137" s="21">
        <f>EXP(-LN(2)/2)*CM136+(1-EXP(-LN(2)/2))/(LN(2)/2)*CG137*CJ137*VLOOKUP('Données projet'!$B$12,Paramètres!$A$1:$I$89,3,0)*0.475*44/12</f>
        <v>2.1238341288974179E-15</v>
      </c>
      <c r="CN137" s="22">
        <f t="shared" si="120"/>
        <v>1.6313704812539518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475.01366239340246</v>
      </c>
      <c r="CZ137" s="59">
        <f t="shared" si="150"/>
        <v>322.81767004794284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1.10855417869576</v>
      </c>
      <c r="DG137" s="21">
        <f>EXP(-LN(2)/25)*DG136+(1-EXP(-LN(2)/25))/(LN(2)/25)*Calculateur!DB137*Calculateur!DD137*VLOOKUP('Données projet'!$B$13,Paramètres!$A$1:$I$89,3,0)*0.475*44/12</f>
        <v>0.62320833217381422</v>
      </c>
      <c r="DH137" s="21">
        <f>EXP(-LN(2)/2)*DH136+(1-EXP(-LN(2)/2))/(LN(2)/2)*DB137*DE137*VLOOKUP('Données projet'!$B$13,Paramètres!$A$1:$I$89,3,0)*0.475*44/12</f>
        <v>2.2545316137526441E-15</v>
      </c>
      <c r="DI137" s="22">
        <f t="shared" si="123"/>
        <v>1.7317625108695764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2.0572770154103635E-13</v>
      </c>
      <c r="DQ137" s="13">
        <f t="shared" si="151"/>
        <v>2.8416956338469711E-12</v>
      </c>
      <c r="DR137" s="20">
        <f t="shared" si="124"/>
        <v>5.3075956424674458E-12</v>
      </c>
      <c r="DS137" s="59">
        <f t="shared" si="125"/>
        <v>293.3333333333386</v>
      </c>
      <c r="DT137" s="59">
        <f ca="1">AVERAGE(OFFSET($DS$3,0,0,'Données projet'!$E$14+1,1))-AVERAGE(OFFSET($H$3,0,0,'Données projet'!$E$14+1,1))</f>
        <v>436.23918637269577</v>
      </c>
      <c r="DU137" s="59">
        <f t="shared" si="152"/>
        <v>611.43967996341894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0.41999329641180283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1.0481583496720285E-15</v>
      </c>
      <c r="ED137" s="22">
        <f t="shared" si="126"/>
        <v>0.41999329641180388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430.94515308997018</v>
      </c>
      <c r="T138" s="59">
        <f t="shared" si="142"/>
        <v>294.45557293177131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0.97655940085470982</v>
      </c>
      <c r="AA138" s="21">
        <f>EXP(-LN(2)/25)*AA137+(1-EXP(-LN(2)/25))/(LN(2)/25)*Calculateur!V138*Calculateur!X138*VLOOKUP('Données projet'!$B$9,Paramètres!$A$1:$I$89,3,0)*0.475*44/12</f>
        <v>0.54467149838492868</v>
      </c>
      <c r="AB138" s="21">
        <f>EXP(-LN(2)/2)*AB137+(1-EXP(-LN(2)/2))/(LN(2)/2)*V138*Y138*VLOOKUP('Données projet'!$B$9,Paramètres!$A$1:$I$89,3,0)*0.475*44/12</f>
        <v>1.4324647062899214E-15</v>
      </c>
      <c r="AC138" s="22">
        <f t="shared" si="111"/>
        <v>1.5212308992396397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319.22903094674564</v>
      </c>
      <c r="AO138" s="59">
        <f t="shared" si="144"/>
        <v>254.58690973142848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1.1345208918747951</v>
      </c>
      <c r="AV138" s="21">
        <f>EXP(-LN(2)/25)*AV137+(1-EXP(-LN(2)/25))/(LN(2)/25)*Calculateur!AQ138*Calculateur!AS138*VLOOKUP('Données projet'!$B$10,Paramètres!$A$1:$I$89,3,0)*0.475*44/12</f>
        <v>0.60673675600843024</v>
      </c>
      <c r="AW138" s="21">
        <f>EXP(-LN(2)/2)*AW137+(1-EXP(-LN(2)/2))/(LN(2)/2)*AQ138*AT138*VLOOKUP('Données projet'!$B$10,Paramètres!$A$1:$I$89,3,0)*0.475*44/12</f>
        <v>1.7338733003588701E-15</v>
      </c>
      <c r="AX138" s="21">
        <f t="shared" si="114"/>
        <v>1.7412576478832271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395.21779046720553</v>
      </c>
      <c r="BJ138" s="59">
        <f t="shared" si="146"/>
        <v>360.05900046417361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0.6014486611373554</v>
      </c>
      <c r="BQ138" s="21">
        <f>EXP(-LN(2)/25)*BQ137+(1-EXP(-LN(2)/25))/(LN(2)/25)*Calculateur!BL138*Calculateur!BN138*VLOOKUP('Données projet'!$B$11,Paramètres!$A$1:$I$89,3,0)*0.475*44/12</f>
        <v>0.61374685559217634</v>
      </c>
      <c r="BR138" s="21">
        <f>EXP(-LN(2)/2)*BR137+(1-EXP(-LN(2)/2))/(LN(2)/2)*BL138*BO138*VLOOKUP('Données projet'!$B$11,Paramètres!$A$1:$I$89,3,0)*0.475*44/12</f>
        <v>1.0986731107372215E-15</v>
      </c>
      <c r="BS138" s="22">
        <f t="shared" si="117"/>
        <v>1.2151955167295327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449.84356201138451</v>
      </c>
      <c r="CE138" s="59">
        <f t="shared" si="148"/>
        <v>306.61893266146666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1.0238122750896155</v>
      </c>
      <c r="CL138" s="21">
        <f>EXP(-LN(2)/25)*CL137+(1-EXP(-LN(2)/25))/(LN(2)/25)*Calculateur!CG138*Calculateur!CI138*VLOOKUP('Données projet'!$B$12,Paramètres!$A$1:$I$89,3,0)*0.475*44/12</f>
        <v>0.57102657088742514</v>
      </c>
      <c r="CM138" s="21">
        <f>EXP(-LN(2)/2)*CM137+(1-EXP(-LN(2)/2))/(LN(2)/2)*CG138*CJ138*VLOOKUP('Données projet'!$B$12,Paramètres!$A$1:$I$89,3,0)*0.475*44/12</f>
        <v>1.5017775146587882E-15</v>
      </c>
      <c r="CN138" s="22">
        <f t="shared" si="120"/>
        <v>1.5948388459770422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475.01366239340246</v>
      </c>
      <c r="CZ138" s="59">
        <f t="shared" si="150"/>
        <v>322.81767004794284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1.0868161074028209</v>
      </c>
      <c r="DG138" s="21">
        <f>EXP(-LN(2)/25)*DG137+(1-EXP(-LN(2)/25))/(LN(2)/25)*Calculateur!DB138*Calculateur!DD138*VLOOKUP('Données projet'!$B$13,Paramètres!$A$1:$I$89,3,0)*0.475*44/12</f>
        <v>0.60616666755741944</v>
      </c>
      <c r="DH138" s="21">
        <f>EXP(-LN(2)/2)*DH137+(1-EXP(-LN(2)/2))/(LN(2)/2)*DB138*DE138*VLOOKUP('Données projet'!$B$13,Paramètres!$A$1:$I$89,3,0)*0.475*44/12</f>
        <v>1.5941945924839448E-15</v>
      </c>
      <c r="DI138" s="22">
        <f t="shared" si="123"/>
        <v>1.6929827749602417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2.0572770154103635E-13</v>
      </c>
      <c r="DQ138" s="13">
        <f t="shared" si="151"/>
        <v>2.8416956338469711E-12</v>
      </c>
      <c r="DR138" s="20">
        <f t="shared" si="124"/>
        <v>5.3075956424674458E-12</v>
      </c>
      <c r="DS138" s="59">
        <f t="shared" si="125"/>
        <v>293.3333333333386</v>
      </c>
      <c r="DT138" s="59">
        <f ca="1">AVERAGE(OFFSET($DS$3,0,0,'Données projet'!$E$14+1,1))-AVERAGE(OFFSET($H$3,0,0,'Données projet'!$E$14+1,1))</f>
        <v>436.23918637269577</v>
      </c>
      <c r="DU138" s="59">
        <f t="shared" si="152"/>
        <v>611.43967996341894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0.41175748403978346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7.4115987681039182E-16</v>
      </c>
      <c r="ED138" s="22">
        <f t="shared" si="126"/>
        <v>0.41175748403978418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430.94515308997018</v>
      </c>
      <c r="T139" s="59">
        <f t="shared" si="142"/>
        <v>294.45557293177131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0.95740966664636873</v>
      </c>
      <c r="AA139" s="21">
        <f>EXP(-LN(2)/25)*AA138+(1-EXP(-LN(2)/25))/(LN(2)/25)*Calculateur!V139*Calculateur!X139*VLOOKUP('Données projet'!$B$9,Paramètres!$A$1:$I$89,3,0)*0.475*44/12</f>
        <v>0.52977742761856361</v>
      </c>
      <c r="AB139" s="21">
        <f>EXP(-LN(2)/2)*AB138+(1-EXP(-LN(2)/2))/(LN(2)/2)*V139*Y139*VLOOKUP('Données projet'!$B$9,Paramètres!$A$1:$I$89,3,0)*0.475*44/12</f>
        <v>1.0129055076279995E-15</v>
      </c>
      <c r="AC139" s="22">
        <f t="shared" si="111"/>
        <v>1.4871870942649335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319.22903094674564</v>
      </c>
      <c r="AO139" s="59">
        <f t="shared" si="144"/>
        <v>254.58690973142848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1.1122736291745461</v>
      </c>
      <c r="AV139" s="21">
        <f>EXP(-LN(2)/25)*AV138+(1-EXP(-LN(2)/25))/(LN(2)/25)*Calculateur!AQ139*Calculateur!AS139*VLOOKUP('Données projet'!$B$10,Paramètres!$A$1:$I$89,3,0)*0.475*44/12</f>
        <v>0.59014550750848038</v>
      </c>
      <c r="AW139" s="21">
        <f>EXP(-LN(2)/2)*AW138+(1-EXP(-LN(2)/2))/(LN(2)/2)*AQ139*AT139*VLOOKUP('Données projet'!$B$10,Paramètres!$A$1:$I$89,3,0)*0.475*44/12</f>
        <v>1.2260335684020566E-15</v>
      </c>
      <c r="AX139" s="21">
        <f t="shared" si="114"/>
        <v>1.7024191366830279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395.21779046720553</v>
      </c>
      <c r="BJ139" s="59">
        <f t="shared" si="146"/>
        <v>360.05900046417361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0.58965461973991196</v>
      </c>
      <c r="BQ139" s="21">
        <f>EXP(-LN(2)/25)*BQ138+(1-EXP(-LN(2)/25))/(LN(2)/25)*Calculateur!BL139*Calculateur!BN139*VLOOKUP('Données projet'!$B$11,Paramètres!$A$1:$I$89,3,0)*0.475*44/12</f>
        <v>0.59696391555046391</v>
      </c>
      <c r="BR139" s="21">
        <f>EXP(-LN(2)/2)*BR138+(1-EXP(-LN(2)/2))/(LN(2)/2)*BL139*BO139*VLOOKUP('Données projet'!$B$11,Paramètres!$A$1:$I$89,3,0)*0.475*44/12</f>
        <v>7.7687920690960798E-16</v>
      </c>
      <c r="BS139" s="22">
        <f t="shared" si="117"/>
        <v>1.1866185352903764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449.84356201138451</v>
      </c>
      <c r="CE139" s="59">
        <f t="shared" si="148"/>
        <v>306.61893266146666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1.0037359408389352</v>
      </c>
      <c r="CL139" s="21">
        <f>EXP(-LN(2)/25)*CL138+(1-EXP(-LN(2)/25))/(LN(2)/25)*Calculateur!CG139*Calculateur!CI139*VLOOKUP('Données projet'!$B$12,Paramètres!$A$1:$I$89,3,0)*0.475*44/12</f>
        <v>0.55541181927752625</v>
      </c>
      <c r="CM139" s="21">
        <f>EXP(-LN(2)/2)*CM138+(1-EXP(-LN(2)/2))/(LN(2)/2)*CG139*CJ139*VLOOKUP('Données projet'!$B$12,Paramètres!$A$1:$I$89,3,0)*0.475*44/12</f>
        <v>1.0619170644487089E-15</v>
      </c>
      <c r="CN139" s="22">
        <f t="shared" si="120"/>
        <v>1.5591477601164627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475.01366239340246</v>
      </c>
      <c r="CZ139" s="59">
        <f t="shared" si="150"/>
        <v>322.81767004794284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1.0655043064290219</v>
      </c>
      <c r="DG139" s="21">
        <f>EXP(-LN(2)/25)*DG138+(1-EXP(-LN(2)/25))/(LN(2)/25)*Calculateur!DB139*Calculateur!DD139*VLOOKUP('Données projet'!$B$13,Paramètres!$A$1:$I$89,3,0)*0.475*44/12</f>
        <v>0.58959100815614218</v>
      </c>
      <c r="DH139" s="21">
        <f>EXP(-LN(2)/2)*DH138+(1-EXP(-LN(2)/2))/(LN(2)/2)*DB139*DE139*VLOOKUP('Données projet'!$B$13,Paramètres!$A$1:$I$89,3,0)*0.475*44/12</f>
        <v>1.1272658068763221E-15</v>
      </c>
      <c r="DI139" s="22">
        <f t="shared" si="123"/>
        <v>1.6550953145851652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2.0572770154103635E-13</v>
      </c>
      <c r="DQ139" s="13">
        <f t="shared" si="151"/>
        <v>2.8416956338469711E-12</v>
      </c>
      <c r="DR139" s="20">
        <f t="shared" si="124"/>
        <v>5.3075956424674458E-12</v>
      </c>
      <c r="DS139" s="59">
        <f t="shared" si="125"/>
        <v>293.3333333333386</v>
      </c>
      <c r="DT139" s="59">
        <f ca="1">AVERAGE(OFFSET($DS$3,0,0,'Données projet'!$E$14+1,1))-AVERAGE(OFFSET($H$3,0,0,'Données projet'!$E$14+1,1))</f>
        <v>436.23918637269577</v>
      </c>
      <c r="DU139" s="59">
        <f t="shared" si="152"/>
        <v>611.43967996341894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0.40368317092502987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5.2407917483601424E-16</v>
      </c>
      <c r="ED139" s="22">
        <f t="shared" si="126"/>
        <v>0.40368317092503037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430.94515308997018</v>
      </c>
      <c r="T140" s="59">
        <f t="shared" si="142"/>
        <v>294.45557293177131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0.93863544704566859</v>
      </c>
      <c r="AA140" s="21">
        <f>EXP(-LN(2)/25)*AA139+(1-EXP(-LN(2)/25))/(LN(2)/25)*Calculateur!V140*Calculateur!X140*VLOOKUP('Données projet'!$B$9,Paramètres!$A$1:$I$89,3,0)*0.475*44/12</f>
        <v>0.51529063600054992</v>
      </c>
      <c r="AB140" s="21">
        <f>EXP(-LN(2)/2)*AB139+(1-EXP(-LN(2)/2))/(LN(2)/2)*V140*Y140*VLOOKUP('Données projet'!$B$9,Paramètres!$A$1:$I$89,3,0)*0.475*44/12</f>
        <v>7.1623235314496072E-16</v>
      </c>
      <c r="AC140" s="22">
        <f t="shared" si="111"/>
        <v>1.4539260830462191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319.22903094674564</v>
      </c>
      <c r="AO140" s="59">
        <f t="shared" si="144"/>
        <v>254.58690973142848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1.0904626217263587</v>
      </c>
      <c r="AV140" s="21">
        <f>EXP(-LN(2)/25)*AV139+(1-EXP(-LN(2)/25))/(LN(2)/25)*Calculateur!AQ140*Calculateur!AS140*VLOOKUP('Données projet'!$B$10,Paramètres!$A$1:$I$89,3,0)*0.475*44/12</f>
        <v>0.5740079475712575</v>
      </c>
      <c r="AW140" s="21">
        <f>EXP(-LN(2)/2)*AW139+(1-EXP(-LN(2)/2))/(LN(2)/2)*AQ140*AT140*VLOOKUP('Données projet'!$B$10,Paramètres!$A$1:$I$89,3,0)*0.475*44/12</f>
        <v>8.6693665017943514E-16</v>
      </c>
      <c r="AX140" s="21">
        <f t="shared" si="114"/>
        <v>1.6644705692976172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395.21779046720553</v>
      </c>
      <c r="BJ140" s="59">
        <f t="shared" si="146"/>
        <v>360.05900046417361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0.57809185230061744</v>
      </c>
      <c r="BQ140" s="21">
        <f>EXP(-LN(2)/25)*BQ139+(1-EXP(-LN(2)/25))/(LN(2)/25)*Calculateur!BL140*Calculateur!BN140*VLOOKUP('Données projet'!$B$11,Paramètres!$A$1:$I$89,3,0)*0.475*44/12</f>
        <v>0.5806399058867685</v>
      </c>
      <c r="BR140" s="21">
        <f>EXP(-LN(2)/2)*BR139+(1-EXP(-LN(2)/2))/(LN(2)/2)*BL140*BO140*VLOOKUP('Données projet'!$B$11,Paramètres!$A$1:$I$89,3,0)*0.475*44/12</f>
        <v>5.4933655536861074E-16</v>
      </c>
      <c r="BS140" s="22">
        <f t="shared" si="117"/>
        <v>1.1587317581873864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449.84356201138451</v>
      </c>
      <c r="CE140" s="59">
        <f t="shared" si="148"/>
        <v>306.61893266146666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0.98405329125755614</v>
      </c>
      <c r="CL140" s="21">
        <f>EXP(-LN(2)/25)*CL139+(1-EXP(-LN(2)/25))/(LN(2)/25)*Calculateur!CG140*Calculateur!CI140*VLOOKUP('Données projet'!$B$12,Paramètres!$A$1:$I$89,3,0)*0.475*44/12</f>
        <v>0.54022405387154415</v>
      </c>
      <c r="CM140" s="21">
        <f>EXP(-LN(2)/2)*CM139+(1-EXP(-LN(2)/2))/(LN(2)/2)*CG140*CJ140*VLOOKUP('Données projet'!$B$12,Paramètres!$A$1:$I$89,3,0)*0.475*44/12</f>
        <v>7.5088875732939412E-16</v>
      </c>
      <c r="CN140" s="22">
        <f t="shared" si="120"/>
        <v>1.524277345129101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475.01366239340246</v>
      </c>
      <c r="CZ140" s="59">
        <f t="shared" si="150"/>
        <v>322.81767004794284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1.0446104168734041</v>
      </c>
      <c r="DG140" s="21">
        <f>EXP(-LN(2)/25)*DG139+(1-EXP(-LN(2)/25))/(LN(2)/25)*Calculateur!DB140*Calculateur!DD140*VLOOKUP('Données projet'!$B$13,Paramètres!$A$1:$I$89,3,0)*0.475*44/12</f>
        <v>0.57346861103286884</v>
      </c>
      <c r="DH140" s="21">
        <f>EXP(-LN(2)/2)*DH139+(1-EXP(-LN(2)/2))/(LN(2)/2)*DB140*DE140*VLOOKUP('Données projet'!$B$13,Paramètres!$A$1:$I$89,3,0)*0.475*44/12</f>
        <v>7.9709729624197242E-16</v>
      </c>
      <c r="DI140" s="22">
        <f t="shared" si="123"/>
        <v>1.6180790279062738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2.0572770154103635E-13</v>
      </c>
      <c r="DQ140" s="13">
        <f t="shared" si="151"/>
        <v>2.8416956338469711E-12</v>
      </c>
      <c r="DR140" s="20">
        <f t="shared" si="124"/>
        <v>5.3075956424674458E-12</v>
      </c>
      <c r="DS140" s="59">
        <f t="shared" si="125"/>
        <v>293.3333333333386</v>
      </c>
      <c r="DT140" s="59">
        <f ca="1">AVERAGE(OFFSET($DS$3,0,0,'Données projet'!$E$14+1,1))-AVERAGE(OFFSET($H$3,0,0,'Données projet'!$E$14+1,1))</f>
        <v>436.23918637269577</v>
      </c>
      <c r="DU140" s="59">
        <f t="shared" si="152"/>
        <v>611.43967996341894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0.39576719016561185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3.7057993840519591E-16</v>
      </c>
      <c r="ED140" s="22">
        <f t="shared" si="126"/>
        <v>0.39576719016561224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430.94515308997018</v>
      </c>
      <c r="T141" s="59">
        <f t="shared" si="142"/>
        <v>294.45557293177131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0.92022937844019492</v>
      </c>
      <c r="AA141" s="21">
        <f>EXP(-LN(2)/25)*AA140+(1-EXP(-LN(2)/25))/(LN(2)/25)*Calculateur!V141*Calculateur!X141*VLOOKUP('Données projet'!$B$9,Paramètres!$A$1:$I$89,3,0)*0.475*44/12</f>
        <v>0.50119998646115804</v>
      </c>
      <c r="AB141" s="21">
        <f>EXP(-LN(2)/2)*AB140+(1-EXP(-LN(2)/2))/(LN(2)/2)*V141*Y141*VLOOKUP('Données projet'!$B$9,Paramètres!$A$1:$I$89,3,0)*0.475*44/12</f>
        <v>5.0645275381399977E-16</v>
      </c>
      <c r="AC141" s="22">
        <f t="shared" si="111"/>
        <v>1.4214293649013534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319.22903094674564</v>
      </c>
      <c r="AO141" s="59">
        <f t="shared" si="144"/>
        <v>254.58690973142848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1.0690793148308293</v>
      </c>
      <c r="AV141" s="21">
        <f>EXP(-LN(2)/25)*AV140+(1-EXP(-LN(2)/25))/(LN(2)/25)*Calculateur!AQ141*Calculateur!AS141*VLOOKUP('Données projet'!$B$10,Paramètres!$A$1:$I$89,3,0)*0.475*44/12</f>
        <v>0.55831167005915538</v>
      </c>
      <c r="AW141" s="21">
        <f>EXP(-LN(2)/2)*AW140+(1-EXP(-LN(2)/2))/(LN(2)/2)*AQ141*AT141*VLOOKUP('Données projet'!$B$10,Paramètres!$A$1:$I$89,3,0)*0.475*44/12</f>
        <v>6.130167842010284E-16</v>
      </c>
      <c r="AX141" s="21">
        <f t="shared" si="114"/>
        <v>1.6273909848899855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395.21779046720553</v>
      </c>
      <c r="BJ141" s="59">
        <f t="shared" si="146"/>
        <v>360.05900046417361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0.56675582367821575</v>
      </c>
      <c r="BQ141" s="21">
        <f>EXP(-LN(2)/25)*BQ140+(1-EXP(-LN(2)/25))/(LN(2)/25)*Calculateur!BL141*Calculateur!BN141*VLOOKUP('Données projet'!$B$11,Paramètres!$A$1:$I$89,3,0)*0.475*44/12</f>
        <v>0.56476227712576921</v>
      </c>
      <c r="BR141" s="21">
        <f>EXP(-LN(2)/2)*BR140+(1-EXP(-LN(2)/2))/(LN(2)/2)*BL141*BO141*VLOOKUP('Données projet'!$B$11,Paramètres!$A$1:$I$89,3,0)*0.475*44/12</f>
        <v>3.8843960345480399E-16</v>
      </c>
      <c r="BS141" s="22">
        <f t="shared" si="117"/>
        <v>1.1315181008039854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449.84356201138451</v>
      </c>
      <c r="CE141" s="59">
        <f t="shared" si="148"/>
        <v>306.61893266146666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0.964756606429237</v>
      </c>
      <c r="CL141" s="21">
        <f>EXP(-LN(2)/25)*CL140+(1-EXP(-LN(2)/25))/(LN(2)/25)*Calculateur!CG141*Calculateur!CI141*VLOOKUP('Données projet'!$B$12,Paramètres!$A$1:$I$89,3,0)*0.475*44/12</f>
        <v>0.52545159870927849</v>
      </c>
      <c r="CM141" s="21">
        <f>EXP(-LN(2)/2)*CM140+(1-EXP(-LN(2)/2))/(LN(2)/2)*CG141*CJ141*VLOOKUP('Données projet'!$B$12,Paramètres!$A$1:$I$89,3,0)*0.475*44/12</f>
        <v>5.3095853222435447E-16</v>
      </c>
      <c r="CN141" s="22">
        <f t="shared" si="120"/>
        <v>1.4902082051385159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475.01366239340246</v>
      </c>
      <c r="CZ141" s="59">
        <f t="shared" si="150"/>
        <v>322.81767004794284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1.0241262437479577</v>
      </c>
      <c r="DG141" s="21">
        <f>EXP(-LN(2)/25)*DG140+(1-EXP(-LN(2)/25))/(LN(2)/25)*Calculateur!DB141*Calculateur!DD141*VLOOKUP('Données projet'!$B$13,Paramètres!$A$1:$I$89,3,0)*0.475*44/12</f>
        <v>0.55778708170677149</v>
      </c>
      <c r="DH141" s="21">
        <f>EXP(-LN(2)/2)*DH140+(1-EXP(-LN(2)/2))/(LN(2)/2)*DB141*DE141*VLOOKUP('Données projet'!$B$13,Paramètres!$A$1:$I$89,3,0)*0.475*44/12</f>
        <v>5.6363290343816104E-16</v>
      </c>
      <c r="DI141" s="22">
        <f t="shared" si="123"/>
        <v>1.5819133254547297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2.0572770154103635E-13</v>
      </c>
      <c r="DQ141" s="13">
        <f t="shared" si="151"/>
        <v>2.8416956338469711E-12</v>
      </c>
      <c r="DR141" s="20">
        <f t="shared" si="124"/>
        <v>5.3075956424674458E-12</v>
      </c>
      <c r="DS141" s="59">
        <f t="shared" si="125"/>
        <v>293.3333333333386</v>
      </c>
      <c r="DT141" s="59">
        <f ca="1">AVERAGE(OFFSET($DS$3,0,0,'Données projet'!$E$14+1,1))-AVERAGE(OFFSET($H$3,0,0,'Données projet'!$E$14+1,1))</f>
        <v>436.23918637269577</v>
      </c>
      <c r="DU141" s="59">
        <f t="shared" si="152"/>
        <v>611.43967996341894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0.38800643696061449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2.6203958741800712E-16</v>
      </c>
      <c r="ED141" s="22">
        <f t="shared" si="126"/>
        <v>0.38800643696061476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430.94515308997018</v>
      </c>
      <c r="T142" s="59">
        <f t="shared" si="142"/>
        <v>294.45557293177131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0.90218424161348132</v>
      </c>
      <c r="AA142" s="21">
        <f>EXP(-LN(2)/25)*AA141+(1-EXP(-LN(2)/25))/(LN(2)/25)*Calculateur!V142*Calculateur!X142*VLOOKUP('Données projet'!$B$9,Paramètres!$A$1:$I$89,3,0)*0.475*44/12</f>
        <v>0.48749464647441587</v>
      </c>
      <c r="AB142" s="21">
        <f>EXP(-LN(2)/2)*AB141+(1-EXP(-LN(2)/2))/(LN(2)/2)*V142*Y142*VLOOKUP('Données projet'!$B$9,Paramètres!$A$1:$I$89,3,0)*0.475*44/12</f>
        <v>3.5811617657248036E-16</v>
      </c>
      <c r="AC142" s="22">
        <f t="shared" si="111"/>
        <v>1.3896788880878976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319.22903094674564</v>
      </c>
      <c r="AO142" s="59">
        <f t="shared" si="144"/>
        <v>254.58690973142848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1.0481153215409917</v>
      </c>
      <c r="AV142" s="21">
        <f>EXP(-LN(2)/25)*AV141+(1-EXP(-LN(2)/25))/(LN(2)/25)*Calculateur!AQ142*Calculateur!AS142*VLOOKUP('Données projet'!$B$10,Paramètres!$A$1:$I$89,3,0)*0.475*44/12</f>
        <v>0.54304460808105304</v>
      </c>
      <c r="AW142" s="21">
        <f>EXP(-LN(2)/2)*AW141+(1-EXP(-LN(2)/2))/(LN(2)/2)*AQ142*AT142*VLOOKUP('Données projet'!$B$10,Paramètres!$A$1:$I$89,3,0)*0.475*44/12</f>
        <v>4.3346832508971762E-16</v>
      </c>
      <c r="AX142" s="21">
        <f t="shared" si="114"/>
        <v>1.5911599296220453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395.21779046720553</v>
      </c>
      <c r="BJ142" s="59">
        <f t="shared" si="146"/>
        <v>360.05900046417361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0.55564208766280465</v>
      </c>
      <c r="BQ142" s="21">
        <f>EXP(-LN(2)/25)*BQ141+(1-EXP(-LN(2)/25))/(LN(2)/25)*Calculateur!BL142*Calculateur!BN142*VLOOKUP('Données projet'!$B$11,Paramètres!$A$1:$I$89,3,0)*0.475*44/12</f>
        <v>0.54931882295820766</v>
      </c>
      <c r="BR142" s="21">
        <f>EXP(-LN(2)/2)*BR141+(1-EXP(-LN(2)/2))/(LN(2)/2)*BL142*BO142*VLOOKUP('Données projet'!$B$11,Paramètres!$A$1:$I$89,3,0)*0.475*44/12</f>
        <v>2.7466827768430537E-16</v>
      </c>
      <c r="BS142" s="22">
        <f t="shared" si="117"/>
        <v>1.1049609106210125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449.84356201138451</v>
      </c>
      <c r="CE142" s="59">
        <f t="shared" si="148"/>
        <v>306.61893266146666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0.94583831782058558</v>
      </c>
      <c r="CL142" s="21">
        <f>EXP(-LN(2)/25)*CL141+(1-EXP(-LN(2)/25))/(LN(2)/25)*Calculateur!CG142*Calculateur!CI142*VLOOKUP('Données projet'!$B$12,Paramètres!$A$1:$I$89,3,0)*0.475*44/12</f>
        <v>0.51108309711027466</v>
      </c>
      <c r="CM142" s="21">
        <f>EXP(-LN(2)/2)*CM141+(1-EXP(-LN(2)/2))/(LN(2)/2)*CG142*CJ142*VLOOKUP('Données projet'!$B$12,Paramètres!$A$1:$I$89,3,0)*0.475*44/12</f>
        <v>3.7544437866469706E-16</v>
      </c>
      <c r="CN142" s="22">
        <f t="shared" si="120"/>
        <v>1.4569214149308607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475.01366239340246</v>
      </c>
      <c r="CZ142" s="59">
        <f t="shared" si="150"/>
        <v>322.81767004794284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1.0040437527633894</v>
      </c>
      <c r="DG142" s="21">
        <f>EXP(-LN(2)/25)*DG141+(1-EXP(-LN(2)/25))/(LN(2)/25)*Calculateur!DB142*Calculateur!DD142*VLOOKUP('Données projet'!$B$13,Paramètres!$A$1:$I$89,3,0)*0.475*44/12</f>
        <v>0.54253436462475202</v>
      </c>
      <c r="DH142" s="21">
        <f>EXP(-LN(2)/2)*DH141+(1-EXP(-LN(2)/2))/(LN(2)/2)*DB142*DE142*VLOOKUP('Données projet'!$B$13,Paramètres!$A$1:$I$89,3,0)*0.475*44/12</f>
        <v>3.9854864812098621E-16</v>
      </c>
      <c r="DI142" s="22">
        <f t="shared" si="123"/>
        <v>1.5465781173881419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2.0572770154103635E-13</v>
      </c>
      <c r="DQ142" s="13">
        <f t="shared" si="151"/>
        <v>2.8416956338469711E-12</v>
      </c>
      <c r="DR142" s="20">
        <f t="shared" si="124"/>
        <v>5.3075956424674458E-12</v>
      </c>
      <c r="DS142" s="59">
        <f t="shared" si="125"/>
        <v>293.3333333333386</v>
      </c>
      <c r="DT142" s="59">
        <f ca="1">AVERAGE(OFFSET($DS$3,0,0,'Données projet'!$E$14+1,1))-AVERAGE(OFFSET($H$3,0,0,'Données projet'!$E$14+1,1))</f>
        <v>436.23918637269577</v>
      </c>
      <c r="DU142" s="59">
        <f t="shared" si="152"/>
        <v>611.43967996341894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0.38039786739237508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1.8528996920259795E-16</v>
      </c>
      <c r="ED142" s="22">
        <f t="shared" si="126"/>
        <v>0.38039786739237524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430.94515308997018</v>
      </c>
      <c r="T143" s="59">
        <f t="shared" si="142"/>
        <v>294.45557293177131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0.88449295891349289</v>
      </c>
      <c r="AA143" s="21">
        <f>EXP(-LN(2)/25)*AA142+(1-EXP(-LN(2)/25))/(LN(2)/25)*Calculateur!V143*Calculateur!X143*VLOOKUP('Données projet'!$B$9,Paramètres!$A$1:$I$89,3,0)*0.475*44/12</f>
        <v>0.47416407973034369</v>
      </c>
      <c r="AB143" s="21">
        <f>EXP(-LN(2)/2)*AB142+(1-EXP(-LN(2)/2))/(LN(2)/2)*V143*Y143*VLOOKUP('Données projet'!$B$9,Paramètres!$A$1:$I$89,3,0)*0.475*44/12</f>
        <v>2.5322637690699988E-16</v>
      </c>
      <c r="AC143" s="22">
        <f t="shared" si="111"/>
        <v>1.3586570386438368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319.22903094674564</v>
      </c>
      <c r="AO143" s="59">
        <f t="shared" si="144"/>
        <v>254.58690973142848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1.0275624193727946</v>
      </c>
      <c r="AV143" s="21">
        <f>EXP(-LN(2)/25)*AV142+(1-EXP(-LN(2)/25))/(LN(2)/25)*Calculateur!AQ143*Calculateur!AS143*VLOOKUP('Données projet'!$B$10,Paramètres!$A$1:$I$89,3,0)*0.475*44/12</f>
        <v>0.52819502471560187</v>
      </c>
      <c r="AW143" s="21">
        <f>EXP(-LN(2)/2)*AW142+(1-EXP(-LN(2)/2))/(LN(2)/2)*AQ143*AT143*VLOOKUP('Données projet'!$B$10,Paramètres!$A$1:$I$89,3,0)*0.475*44/12</f>
        <v>3.0650839210051425E-16</v>
      </c>
      <c r="AX143" s="21">
        <f t="shared" si="114"/>
        <v>1.5557574440883968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395.21779046720553</v>
      </c>
      <c r="BJ143" s="59">
        <f t="shared" si="146"/>
        <v>360.05900046417361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0.54474628523194613</v>
      </c>
      <c r="BQ143" s="21">
        <f>EXP(-LN(2)/25)*BQ142+(1-EXP(-LN(2)/25))/(LN(2)/25)*Calculateur!BL143*Calculateur!BN143*VLOOKUP('Données projet'!$B$11,Paramètres!$A$1:$I$89,3,0)*0.475*44/12</f>
        <v>0.53429767085699409</v>
      </c>
      <c r="BR143" s="21">
        <f>EXP(-LN(2)/2)*BR142+(1-EXP(-LN(2)/2))/(LN(2)/2)*BL143*BO143*VLOOKUP('Données projet'!$B$11,Paramètres!$A$1:$I$89,3,0)*0.475*44/12</f>
        <v>1.9421980172740199E-16</v>
      </c>
      <c r="BS143" s="22">
        <f t="shared" si="117"/>
        <v>1.0790439560889404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449.84356201138451</v>
      </c>
      <c r="CE143" s="59">
        <f t="shared" si="148"/>
        <v>306.61893266146666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0.92729100531253317</v>
      </c>
      <c r="CL143" s="21">
        <f>EXP(-LN(2)/25)*CL142+(1-EXP(-LN(2)/25))/(LN(2)/25)*Calculateur!CG143*Calculateur!CI143*VLOOKUP('Données projet'!$B$12,Paramètres!$A$1:$I$89,3,0)*0.475*44/12</f>
        <v>0.49710750294310224</v>
      </c>
      <c r="CM143" s="21">
        <f>EXP(-LN(2)/2)*CM142+(1-EXP(-LN(2)/2))/(LN(2)/2)*CG143*CJ143*VLOOKUP('Données projet'!$B$12,Paramètres!$A$1:$I$89,3,0)*0.475*44/12</f>
        <v>2.6547926611217723E-16</v>
      </c>
      <c r="CN143" s="22">
        <f t="shared" si="120"/>
        <v>1.4243985082556356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475.01366239340246</v>
      </c>
      <c r="CZ143" s="59">
        <f t="shared" si="150"/>
        <v>322.81767004794284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0.98435506717791843</v>
      </c>
      <c r="DG143" s="21">
        <f>EXP(-LN(2)/25)*DG142+(1-EXP(-LN(2)/25))/(LN(2)/25)*Calculateur!DB143*Calculateur!DD143*VLOOKUP('Données projet'!$B$13,Paramètres!$A$1:$I$89,3,0)*0.475*44/12</f>
        <v>0.5276987338934459</v>
      </c>
      <c r="DH143" s="21">
        <f>EXP(-LN(2)/2)*DH142+(1-EXP(-LN(2)/2))/(LN(2)/2)*DB143*DE143*VLOOKUP('Données projet'!$B$13,Paramètres!$A$1:$I$89,3,0)*0.475*44/12</f>
        <v>2.8181645171908052E-16</v>
      </c>
      <c r="DI143" s="22">
        <f t="shared" si="123"/>
        <v>1.5120538010713644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2.0572770154103635E-13</v>
      </c>
      <c r="DQ143" s="13">
        <f t="shared" si="151"/>
        <v>2.8416956338469711E-12</v>
      </c>
      <c r="DR143" s="20">
        <f t="shared" si="124"/>
        <v>5.3075956424674458E-12</v>
      </c>
      <c r="DS143" s="59">
        <f t="shared" si="125"/>
        <v>293.3333333333386</v>
      </c>
      <c r="DT143" s="59">
        <f ca="1">AVERAGE(OFFSET($DS$3,0,0,'Données projet'!$E$14+1,1))-AVERAGE(OFFSET($H$3,0,0,'Données projet'!$E$14+1,1))</f>
        <v>436.23918637269577</v>
      </c>
      <c r="DU143" s="59">
        <f t="shared" si="152"/>
        <v>611.43967996341894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0.37293849723259964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1.3101979370900356E-16</v>
      </c>
      <c r="ED143" s="22">
        <f t="shared" si="126"/>
        <v>0.37293849723259975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430.94515308997018</v>
      </c>
      <c r="T144" s="59">
        <f t="shared" si="142"/>
        <v>294.45557293177131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0.86714859147663426</v>
      </c>
      <c r="AA144" s="21">
        <f>EXP(-LN(2)/25)*AA143+(1-EXP(-LN(2)/25))/(LN(2)/25)*Calculateur!V144*Calculateur!X144*VLOOKUP('Données projet'!$B$9,Paramètres!$A$1:$I$89,3,0)*0.475*44/12</f>
        <v>0.46119803803491222</v>
      </c>
      <c r="AB144" s="21">
        <f>EXP(-LN(2)/2)*AB143+(1-EXP(-LN(2)/2))/(LN(2)/2)*V144*Y144*VLOOKUP('Données projet'!$B$9,Paramètres!$A$1:$I$89,3,0)*0.475*44/12</f>
        <v>1.7905808828624018E-16</v>
      </c>
      <c r="AC144" s="22">
        <f t="shared" si="111"/>
        <v>1.3283466295115467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319.22903094674564</v>
      </c>
      <c r="AO144" s="59">
        <f t="shared" si="144"/>
        <v>254.58690973142848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1.0074125470800834</v>
      </c>
      <c r="AV144" s="21">
        <f>EXP(-LN(2)/25)*AV143+(1-EXP(-LN(2)/25))/(LN(2)/25)*Calculateur!AQ144*Calculateur!AS144*VLOOKUP('Données projet'!$B$10,Paramètres!$A$1:$I$89,3,0)*0.475*44/12</f>
        <v>0.51375150398818459</v>
      </c>
      <c r="AW144" s="21">
        <f>EXP(-LN(2)/2)*AW143+(1-EXP(-LN(2)/2))/(LN(2)/2)*AQ144*AT144*VLOOKUP('Données projet'!$B$10,Paramètres!$A$1:$I$89,3,0)*0.475*44/12</f>
        <v>2.1673416254485886E-16</v>
      </c>
      <c r="AX144" s="21">
        <f t="shared" si="114"/>
        <v>1.5211640510682682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395.21779046720553</v>
      </c>
      <c r="BJ144" s="59">
        <f t="shared" si="146"/>
        <v>360.05900046417361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0.53406414284097348</v>
      </c>
      <c r="BQ144" s="21">
        <f>EXP(-LN(2)/25)*BQ143+(1-EXP(-LN(2)/25))/(LN(2)/25)*Calculateur!BL144*Calculateur!BN144*VLOOKUP('Données projet'!$B$11,Paramètres!$A$1:$I$89,3,0)*0.475*44/12</f>
        <v>0.51968727294991623</v>
      </c>
      <c r="BR144" s="21">
        <f>EXP(-LN(2)/2)*BR143+(1-EXP(-LN(2)/2))/(LN(2)/2)*BL144*BO144*VLOOKUP('Données projet'!$B$11,Paramètres!$A$1:$I$89,3,0)*0.475*44/12</f>
        <v>1.3733413884215268E-16</v>
      </c>
      <c r="BS144" s="22">
        <f t="shared" si="117"/>
        <v>1.05375141579089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449.84356201138451</v>
      </c>
      <c r="CE144" s="59">
        <f t="shared" si="148"/>
        <v>306.61893266146666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0.90910739429002008</v>
      </c>
      <c r="CL144" s="21">
        <f>EXP(-LN(2)/25)*CL143+(1-EXP(-LN(2)/25))/(LN(2)/25)*Calculateur!CG144*Calculateur!CI144*VLOOKUP('Données projet'!$B$12,Paramètres!$A$1:$I$89,3,0)*0.475*44/12</f>
        <v>0.48351407213337566</v>
      </c>
      <c r="CM144" s="21">
        <f>EXP(-LN(2)/2)*CM143+(1-EXP(-LN(2)/2))/(LN(2)/2)*CG144*CJ144*VLOOKUP('Données projet'!$B$12,Paramètres!$A$1:$I$89,3,0)*0.475*44/12</f>
        <v>1.8772218933234853E-16</v>
      </c>
      <c r="CN144" s="22">
        <f t="shared" si="120"/>
        <v>1.392621466423396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475.01366239340246</v>
      </c>
      <c r="CZ144" s="59">
        <f t="shared" si="150"/>
        <v>322.81767004794284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0.9650524647078661</v>
      </c>
      <c r="DG144" s="21">
        <f>EXP(-LN(2)/25)*DG143+(1-EXP(-LN(2)/25))/(LN(2)/25)*Calculateur!DB144*Calculateur!DD144*VLOOKUP('Données projet'!$B$13,Paramètres!$A$1:$I$89,3,0)*0.475*44/12</f>
        <v>0.51326878426465927</v>
      </c>
      <c r="DH144" s="21">
        <f>EXP(-LN(2)/2)*DH143+(1-EXP(-LN(2)/2))/(LN(2)/2)*DB144*DE144*VLOOKUP('Données projet'!$B$13,Paramètres!$A$1:$I$89,3,0)*0.475*44/12</f>
        <v>1.9927432406049311E-16</v>
      </c>
      <c r="DI144" s="22">
        <f t="shared" si="123"/>
        <v>1.4783212489725257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2.0572770154103635E-13</v>
      </c>
      <c r="DQ144" s="13">
        <f t="shared" si="151"/>
        <v>2.8416956338469711E-12</v>
      </c>
      <c r="DR144" s="20">
        <f t="shared" si="124"/>
        <v>5.3075956424674458E-12</v>
      </c>
      <c r="DS144" s="59">
        <f t="shared" si="125"/>
        <v>293.3333333333386</v>
      </c>
      <c r="DT144" s="59">
        <f ca="1">AVERAGE(OFFSET($DS$3,0,0,'Données projet'!$E$14+1,1))-AVERAGE(OFFSET($H$3,0,0,'Données projet'!$E$14+1,1))</f>
        <v>436.23918637269577</v>
      </c>
      <c r="DU144" s="59">
        <f t="shared" si="152"/>
        <v>611.43967996341894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0.36562540077189087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9.2644984601298977E-17</v>
      </c>
      <c r="ED144" s="22">
        <f t="shared" si="126"/>
        <v>0.36562540077189098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430.94515308997018</v>
      </c>
      <c r="T145" s="59">
        <f t="shared" si="142"/>
        <v>294.45557293177131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0.85014433650619292</v>
      </c>
      <c r="AA145" s="21">
        <f>EXP(-LN(2)/25)*AA144+(1-EXP(-LN(2)/25))/(LN(2)/25)*Calculateur!V145*Calculateur!X145*VLOOKUP('Données projet'!$B$9,Paramètres!$A$1:$I$89,3,0)*0.475*44/12</f>
        <v>0.44858655343149678</v>
      </c>
      <c r="AB145" s="21">
        <f>EXP(-LN(2)/2)*AB144+(1-EXP(-LN(2)/2))/(LN(2)/2)*V145*Y145*VLOOKUP('Données projet'!$B$9,Paramètres!$A$1:$I$89,3,0)*0.475*44/12</f>
        <v>1.2661318845349994E-16</v>
      </c>
      <c r="AC145" s="22">
        <f t="shared" si="111"/>
        <v>1.2987308899376899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319.22903094674564</v>
      </c>
      <c r="AO145" s="59">
        <f t="shared" si="144"/>
        <v>254.58690973142848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0.98765780149282378</v>
      </c>
      <c r="AV145" s="21">
        <f>EXP(-LN(2)/25)*AV144+(1-EXP(-LN(2)/25))/(LN(2)/25)*Calculateur!AQ145*Calculateur!AS145*VLOOKUP('Données projet'!$B$10,Paramètres!$A$1:$I$89,3,0)*0.475*44/12</f>
        <v>0.4997029420946103</v>
      </c>
      <c r="AW145" s="21">
        <f>EXP(-LN(2)/2)*AW144+(1-EXP(-LN(2)/2))/(LN(2)/2)*AQ145*AT145*VLOOKUP('Données projet'!$B$10,Paramètres!$A$1:$I$89,3,0)*0.475*44/12</f>
        <v>1.5325419605025715E-16</v>
      </c>
      <c r="AX145" s="21">
        <f t="shared" si="114"/>
        <v>1.4873607435874343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395.21779046720553</v>
      </c>
      <c r="BJ145" s="59">
        <f t="shared" si="146"/>
        <v>360.05900046417361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0.52359147074682433</v>
      </c>
      <c r="BQ145" s="21">
        <f>EXP(-LN(2)/25)*BQ144+(1-EXP(-LN(2)/25))/(LN(2)/25)*Calculateur!BL145*Calculateur!BN145*VLOOKUP('Données projet'!$B$11,Paramètres!$A$1:$I$89,3,0)*0.475*44/12</f>
        <v>0.50547639714193482</v>
      </c>
      <c r="BR145" s="21">
        <f>EXP(-LN(2)/2)*BR144+(1-EXP(-LN(2)/2))/(LN(2)/2)*BL145*BO145*VLOOKUP('Données projet'!$B$11,Paramètres!$A$1:$I$89,3,0)*0.475*44/12</f>
        <v>9.7109900863700997E-17</v>
      </c>
      <c r="BS145" s="22">
        <f t="shared" si="117"/>
        <v>1.029067867888759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449.84356201138451</v>
      </c>
      <c r="CE145" s="59">
        <f t="shared" si="148"/>
        <v>306.61893266146666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0.89128035278875095</v>
      </c>
      <c r="CL145" s="21">
        <f>EXP(-LN(2)/25)*CL144+(1-EXP(-LN(2)/25))/(LN(2)/25)*Calculateur!CG145*Calculateur!CI145*VLOOKUP('Données projet'!$B$12,Paramètres!$A$1:$I$89,3,0)*0.475*44/12</f>
        <v>0.47029235440398853</v>
      </c>
      <c r="CM145" s="21">
        <f>EXP(-LN(2)/2)*CM144+(1-EXP(-LN(2)/2))/(LN(2)/2)*CG145*CJ145*VLOOKUP('Données projet'!$B$12,Paramètres!$A$1:$I$89,3,0)*0.475*44/12</f>
        <v>1.3273963305608862E-16</v>
      </c>
      <c r="CN145" s="22">
        <f t="shared" si="120"/>
        <v>1.3615727071927397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475.01366239340246</v>
      </c>
      <c r="CZ145" s="59">
        <f t="shared" si="150"/>
        <v>322.81767004794284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0.94612837449882659</v>
      </c>
      <c r="DG145" s="21">
        <f>EXP(-LN(2)/25)*DG144+(1-EXP(-LN(2)/25))/(LN(2)/25)*Calculateur!DB145*Calculateur!DD145*VLOOKUP('Données projet'!$B$13,Paramètres!$A$1:$I$89,3,0)*0.475*44/12</f>
        <v>0.49923342236730989</v>
      </c>
      <c r="DH145" s="21">
        <f>EXP(-LN(2)/2)*DH144+(1-EXP(-LN(2)/2))/(LN(2)/2)*DB145*DE145*VLOOKUP('Données projet'!$B$13,Paramètres!$A$1:$I$89,3,0)*0.475*44/12</f>
        <v>1.4090822585954026E-16</v>
      </c>
      <c r="DI145" s="22">
        <f t="shared" si="123"/>
        <v>1.4453617968661367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2.0572770154103635E-13</v>
      </c>
      <c r="DQ145" s="13">
        <f t="shared" si="151"/>
        <v>2.8416956338469711E-12</v>
      </c>
      <c r="DR145" s="20">
        <f t="shared" si="124"/>
        <v>5.3075956424674458E-12</v>
      </c>
      <c r="DS145" s="59">
        <f t="shared" si="125"/>
        <v>293.3333333333386</v>
      </c>
      <c r="DT145" s="59">
        <f ca="1">AVERAGE(OFFSET($DS$3,0,0,'Données projet'!$E$14+1,1))-AVERAGE(OFFSET($H$3,0,0,'Données projet'!$E$14+1,1))</f>
        <v>436.23918637269577</v>
      </c>
      <c r="DU145" s="59">
        <f t="shared" si="152"/>
        <v>611.43967996341894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0.35845570967222823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6.550989685450178E-17</v>
      </c>
      <c r="ED145" s="22">
        <f t="shared" si="126"/>
        <v>0.35845570967222828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430.94515308997018</v>
      </c>
      <c r="T146" s="59">
        <f t="shared" si="142"/>
        <v>294.45557293177131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0.83347352460415047</v>
      </c>
      <c r="AA146" s="21">
        <f>EXP(-LN(2)/25)*AA145+(1-EXP(-LN(2)/25))/(LN(2)/25)*Calculateur!V146*Calculateur!X146*VLOOKUP('Données projet'!$B$9,Paramètres!$A$1:$I$89,3,0)*0.475*44/12</f>
        <v>0.43631993053777091</v>
      </c>
      <c r="AB146" s="21">
        <f>EXP(-LN(2)/2)*AB145+(1-EXP(-LN(2)/2))/(LN(2)/2)*V146*Y146*VLOOKUP('Données projet'!$B$9,Paramètres!$A$1:$I$89,3,0)*0.475*44/12</f>
        <v>8.952904414312009E-17</v>
      </c>
      <c r="AC146" s="22">
        <f t="shared" si="111"/>
        <v>1.2697934551419214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319.22903094674564</v>
      </c>
      <c r="AO146" s="59">
        <f t="shared" si="144"/>
        <v>254.58690973142848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0.96829043441732521</v>
      </c>
      <c r="AV146" s="21">
        <f>EXP(-LN(2)/25)*AV145+(1-EXP(-LN(2)/25))/(LN(2)/25)*Calculateur!AQ146*Calculateur!AS146*VLOOKUP('Données projet'!$B$10,Paramètres!$A$1:$I$89,3,0)*0.475*44/12</f>
        <v>0.48603853886479753</v>
      </c>
      <c r="AW146" s="21">
        <f>EXP(-LN(2)/2)*AW145+(1-EXP(-LN(2)/2))/(LN(2)/2)*AQ146*AT146*VLOOKUP('Données projet'!$B$10,Paramètres!$A$1:$I$89,3,0)*0.475*44/12</f>
        <v>1.0836708127242944E-16</v>
      </c>
      <c r="AX146" s="21">
        <f t="shared" si="114"/>
        <v>1.4543289732821227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395.21779046720553</v>
      </c>
      <c r="BJ146" s="59">
        <f t="shared" si="146"/>
        <v>360.05900046417361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0.51332416136474213</v>
      </c>
      <c r="BQ146" s="21">
        <f>EXP(-LN(2)/25)*BQ145+(1-EXP(-LN(2)/25))/(LN(2)/25)*Calculateur!BL146*Calculateur!BN146*VLOOKUP('Données projet'!$B$11,Paramètres!$A$1:$I$89,3,0)*0.475*44/12</f>
        <v>0.49165411848024015</v>
      </c>
      <c r="BR146" s="21">
        <f>EXP(-LN(2)/2)*BR145+(1-EXP(-LN(2)/2))/(LN(2)/2)*BL146*BO146*VLOOKUP('Données projet'!$B$11,Paramètres!$A$1:$I$89,3,0)*0.475*44/12</f>
        <v>6.8667069421076342E-17</v>
      </c>
      <c r="BS146" s="22">
        <f t="shared" si="117"/>
        <v>1.0049782798449822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449.84356201138451</v>
      </c>
      <c r="CE146" s="59">
        <f t="shared" si="148"/>
        <v>306.61893266146666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0.87380288869790002</v>
      </c>
      <c r="CL146" s="21">
        <f>EXP(-LN(2)/25)*CL145+(1-EXP(-LN(2)/25))/(LN(2)/25)*Calculateur!CG146*Calculateur!CI146*VLOOKUP('Données projet'!$B$12,Paramètres!$A$1:$I$89,3,0)*0.475*44/12</f>
        <v>0.45743218524121143</v>
      </c>
      <c r="CM146" s="21">
        <f>EXP(-LN(2)/2)*CM145+(1-EXP(-LN(2)/2))/(LN(2)/2)*CG146*CJ146*VLOOKUP('Données projet'!$B$12,Paramètres!$A$1:$I$89,3,0)*0.475*44/12</f>
        <v>9.3861094666174265E-17</v>
      </c>
      <c r="CN146" s="22">
        <f t="shared" si="120"/>
        <v>1.3312350739391114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475.01366239340246</v>
      </c>
      <c r="CZ146" s="59">
        <f t="shared" si="150"/>
        <v>322.81767004794284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0.92757537415623104</v>
      </c>
      <c r="DG146" s="21">
        <f>EXP(-LN(2)/25)*DG145+(1-EXP(-LN(2)/25))/(LN(2)/25)*Calculateur!DB146*Calculateur!DD146*VLOOKUP('Données projet'!$B$13,Paramètres!$A$1:$I$89,3,0)*0.475*44/12</f>
        <v>0.48558185817913113</v>
      </c>
      <c r="DH146" s="21">
        <f>EXP(-LN(2)/2)*DH145+(1-EXP(-LN(2)/2))/(LN(2)/2)*DB146*DE146*VLOOKUP('Données projet'!$B$13,Paramètres!$A$1:$I$89,3,0)*0.475*44/12</f>
        <v>9.9637162030246553E-17</v>
      </c>
      <c r="DI146" s="22">
        <f t="shared" si="123"/>
        <v>1.4131572323353621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2.0572770154103635E-13</v>
      </c>
      <c r="DQ146" s="13">
        <f t="shared" si="151"/>
        <v>2.8416956338469711E-12</v>
      </c>
      <c r="DR146" s="20">
        <f t="shared" si="124"/>
        <v>5.3075956424674458E-12</v>
      </c>
      <c r="DS146" s="59">
        <f t="shared" si="125"/>
        <v>293.3333333333386</v>
      </c>
      <c r="DT146" s="59">
        <f ca="1">AVERAGE(OFFSET($DS$3,0,0,'Données projet'!$E$14+1,1))-AVERAGE(OFFSET($H$3,0,0,'Données projet'!$E$14+1,1))</f>
        <v>436.23918637269577</v>
      </c>
      <c r="DU146" s="59">
        <f t="shared" si="152"/>
        <v>611.43967996341894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0.35142661184195018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4.6322492300649489E-17</v>
      </c>
      <c r="ED146" s="22">
        <f t="shared" si="126"/>
        <v>0.35142661184195023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430.94515308997018</v>
      </c>
      <c r="T147" s="59">
        <f t="shared" si="142"/>
        <v>294.45557293177131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0.81712961715531585</v>
      </c>
      <c r="AA147" s="21">
        <f>EXP(-LN(2)/25)*AA146+(1-EXP(-LN(2)/25))/(LN(2)/25)*Calculateur!V147*Calculateur!X147*VLOOKUP('Données projet'!$B$9,Paramètres!$A$1:$I$89,3,0)*0.475*44/12</f>
        <v>0.42438873909214764</v>
      </c>
      <c r="AB147" s="21">
        <f>EXP(-LN(2)/2)*AB146+(1-EXP(-LN(2)/2))/(LN(2)/2)*V147*Y147*VLOOKUP('Données projet'!$B$9,Paramètres!$A$1:$I$89,3,0)*0.475*44/12</f>
        <v>6.3306594226749971E-17</v>
      </c>
      <c r="AC147" s="22">
        <f t="shared" si="111"/>
        <v>1.2415183562474634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319.22903094674564</v>
      </c>
      <c r="AO147" s="59">
        <f t="shared" si="144"/>
        <v>254.58690973142848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0.94930284959724964</v>
      </c>
      <c r="AV147" s="21">
        <f>EXP(-LN(2)/25)*AV146+(1-EXP(-LN(2)/25))/(LN(2)/25)*Calculateur!AQ147*Calculateur!AS147*VLOOKUP('Données projet'!$B$10,Paramètres!$A$1:$I$89,3,0)*0.475*44/12</f>
        <v>0.47274778945988372</v>
      </c>
      <c r="AW147" s="21">
        <f>EXP(-LN(2)/2)*AW146+(1-EXP(-LN(2)/2))/(LN(2)/2)*AQ147*AT147*VLOOKUP('Données projet'!$B$10,Paramètres!$A$1:$I$89,3,0)*0.475*44/12</f>
        <v>7.6627098025128587E-17</v>
      </c>
      <c r="AX147" s="21">
        <f t="shared" si="114"/>
        <v>1.4220506390571335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395.21779046720553</v>
      </c>
      <c r="BJ147" s="59">
        <f t="shared" si="146"/>
        <v>360.05900046417361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0.50325818765720221</v>
      </c>
      <c r="BQ147" s="21">
        <f>EXP(-LN(2)/25)*BQ146+(1-EXP(-LN(2)/25))/(LN(2)/25)*Calculateur!BL147*Calculateur!BN147*VLOOKUP('Données projet'!$B$11,Paramètres!$A$1:$I$89,3,0)*0.475*44/12</f>
        <v>0.47820981075543156</v>
      </c>
      <c r="BR147" s="21">
        <f>EXP(-LN(2)/2)*BR146+(1-EXP(-LN(2)/2))/(LN(2)/2)*BL147*BO147*VLOOKUP('Données projet'!$B$11,Paramètres!$A$1:$I$89,3,0)*0.475*44/12</f>
        <v>4.8554950431850499E-17</v>
      </c>
      <c r="BS147" s="22">
        <f t="shared" si="117"/>
        <v>0.98146799841263377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449.84356201138451</v>
      </c>
      <c r="CE147" s="59">
        <f t="shared" si="148"/>
        <v>306.61893266146666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0.85666814701767013</v>
      </c>
      <c r="CL147" s="21">
        <f>EXP(-LN(2)/25)*CL146+(1-EXP(-LN(2)/25))/(LN(2)/25)*Calculateur!CG147*Calculateur!CI147*VLOOKUP('Données projet'!$B$12,Paramètres!$A$1:$I$89,3,0)*0.475*44/12</f>
        <v>0.44492367808047734</v>
      </c>
      <c r="CM147" s="21">
        <f>EXP(-LN(2)/2)*CM146+(1-EXP(-LN(2)/2))/(LN(2)/2)*CG147*CJ147*VLOOKUP('Données projet'!$B$12,Paramètres!$A$1:$I$89,3,0)*0.475*44/12</f>
        <v>6.6369816528044309E-17</v>
      </c>
      <c r="CN147" s="22">
        <f t="shared" si="120"/>
        <v>1.3015918250981475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475.01366239340246</v>
      </c>
      <c r="CZ147" s="59">
        <f t="shared" si="150"/>
        <v>322.81767004794284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0.90938618683414096</v>
      </c>
      <c r="DG147" s="21">
        <f>EXP(-LN(2)/25)*DG146+(1-EXP(-LN(2)/25))/(LN(2)/25)*Calculateur!DB147*Calculateur!DD147*VLOOKUP('Données projet'!$B$13,Paramètres!$A$1:$I$89,3,0)*0.475*44/12</f>
        <v>0.47230359673158268</v>
      </c>
      <c r="DH147" s="21">
        <f>EXP(-LN(2)/2)*DH146+(1-EXP(-LN(2)/2))/(LN(2)/2)*DB147*DE147*VLOOKUP('Données projet'!$B$13,Paramètres!$A$1:$I$89,3,0)*0.475*44/12</f>
        <v>7.0454112929770129E-17</v>
      </c>
      <c r="DI147" s="22">
        <f t="shared" si="123"/>
        <v>1.3816897835657236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2.0572770154103635E-13</v>
      </c>
      <c r="DQ147" s="13">
        <f t="shared" si="151"/>
        <v>2.8416956338469711E-12</v>
      </c>
      <c r="DR147" s="20">
        <f t="shared" si="124"/>
        <v>5.3075956424674458E-12</v>
      </c>
      <c r="DS147" s="59">
        <f t="shared" si="125"/>
        <v>293.3333333333386</v>
      </c>
      <c r="DT147" s="59">
        <f ca="1">AVERAGE(OFFSET($DS$3,0,0,'Données projet'!$E$14+1,1))-AVERAGE(OFFSET($H$3,0,0,'Données projet'!$E$14+1,1))</f>
        <v>436.23918637269577</v>
      </c>
      <c r="DU147" s="59">
        <f t="shared" si="152"/>
        <v>611.43967996341894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0.34453535033279753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3.275494842725089E-17</v>
      </c>
      <c r="ED147" s="22">
        <f t="shared" si="126"/>
        <v>0.34453535033279759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430.94515308997018</v>
      </c>
      <c r="T148" s="59">
        <f t="shared" si="142"/>
        <v>294.45557293177131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0.80110620376275365</v>
      </c>
      <c r="AA148" s="21">
        <f>EXP(-LN(2)/25)*AA147+(1-EXP(-LN(2)/25))/(LN(2)/25)*Calculateur!V148*Calculateur!X148*VLOOKUP('Données projet'!$B$9,Paramètres!$A$1:$I$89,3,0)*0.475*44/12</f>
        <v>0.41278380670403902</v>
      </c>
      <c r="AB148" s="21">
        <f>EXP(-LN(2)/2)*AB147+(1-EXP(-LN(2)/2))/(LN(2)/2)*V148*Y148*VLOOKUP('Données projet'!$B$9,Paramètres!$A$1:$I$89,3,0)*0.475*44/12</f>
        <v>4.4764522071560045E-17</v>
      </c>
      <c r="AC148" s="22">
        <f t="shared" si="111"/>
        <v>1.2138900104667927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319.22903094674564</v>
      </c>
      <c r="AO148" s="59">
        <f t="shared" si="144"/>
        <v>254.58690973142848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0.93068759973421256</v>
      </c>
      <c r="AV148" s="21">
        <f>EXP(-LN(2)/25)*AV147+(1-EXP(-LN(2)/25))/(LN(2)/25)*Calculateur!AQ148*Calculateur!AS148*VLOOKUP('Données projet'!$B$10,Paramètres!$A$1:$I$89,3,0)*0.475*44/12</f>
        <v>0.4598204762963774</v>
      </c>
      <c r="AW148" s="21">
        <f>EXP(-LN(2)/2)*AW147+(1-EXP(-LN(2)/2))/(LN(2)/2)*AQ148*AT148*VLOOKUP('Données projet'!$B$10,Paramètres!$A$1:$I$89,3,0)*0.475*44/12</f>
        <v>5.4183540636214733E-17</v>
      </c>
      <c r="AX148" s="21">
        <f t="shared" si="114"/>
        <v>1.3905080760305899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395.21779046720553</v>
      </c>
      <c r="BJ148" s="59">
        <f t="shared" si="146"/>
        <v>360.05900046417361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0.49338960155442946</v>
      </c>
      <c r="BQ148" s="21">
        <f>EXP(-LN(2)/25)*BQ147+(1-EXP(-LN(2)/25))/(LN(2)/25)*Calculateur!BL148*Calculateur!BN148*VLOOKUP('Données projet'!$B$11,Paramètres!$A$1:$I$89,3,0)*0.475*44/12</f>
        <v>0.46513313833236331</v>
      </c>
      <c r="BR148" s="21">
        <f>EXP(-LN(2)/2)*BR147+(1-EXP(-LN(2)/2))/(LN(2)/2)*BL148*BO148*VLOOKUP('Données projet'!$B$11,Paramètres!$A$1:$I$89,3,0)*0.475*44/12</f>
        <v>3.4333534710538171E-17</v>
      </c>
      <c r="BS148" s="22">
        <f t="shared" si="117"/>
        <v>0.95852273988679282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449.84356201138451</v>
      </c>
      <c r="CE148" s="59">
        <f t="shared" si="148"/>
        <v>306.61893266146666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0.83986940717062919</v>
      </c>
      <c r="CL148" s="21">
        <f>EXP(-LN(2)/25)*CL147+(1-EXP(-LN(2)/25))/(LN(2)/25)*Calculateur!CG148*Calculateur!CI148*VLOOKUP('Données projet'!$B$12,Paramètres!$A$1:$I$89,3,0)*0.475*44/12</f>
        <v>0.43275721670584733</v>
      </c>
      <c r="CM148" s="21">
        <f>EXP(-LN(2)/2)*CM147+(1-EXP(-LN(2)/2))/(LN(2)/2)*CG148*CJ148*VLOOKUP('Données projet'!$B$12,Paramètres!$A$1:$I$89,3,0)*0.475*44/12</f>
        <v>4.6930547333087133E-17</v>
      </c>
      <c r="CN148" s="22">
        <f t="shared" si="120"/>
        <v>1.2726266238764765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475.01366239340246</v>
      </c>
      <c r="CZ148" s="59">
        <f t="shared" si="150"/>
        <v>322.81767004794284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0.8915536783811282</v>
      </c>
      <c r="DG148" s="21">
        <f>EXP(-LN(2)/25)*DG147+(1-EXP(-LN(2)/25))/(LN(2)/25)*Calculateur!DB148*Calculateur!DD148*VLOOKUP('Données projet'!$B$13,Paramètres!$A$1:$I$89,3,0)*0.475*44/12</f>
        <v>0.45938843004159086</v>
      </c>
      <c r="DH148" s="21">
        <f>EXP(-LN(2)/2)*DH147+(1-EXP(-LN(2)/2))/(LN(2)/2)*DB148*DE148*VLOOKUP('Données projet'!$B$13,Paramètres!$A$1:$I$89,3,0)*0.475*44/12</f>
        <v>4.9818581015123276E-17</v>
      </c>
      <c r="DI148" s="22">
        <f t="shared" si="123"/>
        <v>1.3509421084227191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2.0572770154103635E-13</v>
      </c>
      <c r="DQ148" s="13">
        <f t="shared" si="151"/>
        <v>2.8416956338469711E-12</v>
      </c>
      <c r="DR148" s="20">
        <f t="shared" si="124"/>
        <v>5.3075956424674458E-12</v>
      </c>
      <c r="DS148" s="59">
        <f t="shared" si="125"/>
        <v>293.3333333333386</v>
      </c>
      <c r="DT148" s="59">
        <f ca="1">AVERAGE(OFFSET($DS$3,0,0,'Données projet'!$E$14+1,1))-AVERAGE(OFFSET($H$3,0,0,'Données projet'!$E$14+1,1))</f>
        <v>436.23918637269577</v>
      </c>
      <c r="DU148" s="59">
        <f t="shared" si="152"/>
        <v>611.43967996341894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0.33777922225858492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2.3161246150324744E-17</v>
      </c>
      <c r="ED148" s="22">
        <f t="shared" si="126"/>
        <v>0.33777922225858492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430.94515308997018</v>
      </c>
      <c r="T149" s="59">
        <f t="shared" si="142"/>
        <v>294.45557293177131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0.78539699973350252</v>
      </c>
      <c r="AA149" s="21">
        <f>EXP(-LN(2)/25)*AA148+(1-EXP(-LN(2)/25))/(LN(2)/25)*Calculateur!V149*Calculateur!X149*VLOOKUP('Données projet'!$B$9,Paramètres!$A$1:$I$89,3,0)*0.475*44/12</f>
        <v>0.40149621180236011</v>
      </c>
      <c r="AB149" s="21">
        <f>EXP(-LN(2)/2)*AB148+(1-EXP(-LN(2)/2))/(LN(2)/2)*V149*Y149*VLOOKUP('Données projet'!$B$9,Paramètres!$A$1:$I$89,3,0)*0.475*44/12</f>
        <v>3.1653297113374985E-17</v>
      </c>
      <c r="AC149" s="22">
        <f t="shared" si="111"/>
        <v>1.1868932115358626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319.22903094674564</v>
      </c>
      <c r="AO149" s="59">
        <f t="shared" si="144"/>
        <v>254.58690973142848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0.91243738356680837</v>
      </c>
      <c r="AV149" s="21">
        <f>EXP(-LN(2)/25)*AV148+(1-EXP(-LN(2)/25))/(LN(2)/25)*Calculateur!AQ149*Calculateur!AS149*VLOOKUP('Données projet'!$B$10,Paramètres!$A$1:$I$89,3,0)*0.475*44/12</f>
        <v>0.44724666119114503</v>
      </c>
      <c r="AW149" s="21">
        <f>EXP(-LN(2)/2)*AW148+(1-EXP(-LN(2)/2))/(LN(2)/2)*AQ149*AT149*VLOOKUP('Données projet'!$B$10,Paramètres!$A$1:$I$89,3,0)*0.475*44/12</f>
        <v>3.83135490125643E-17</v>
      </c>
      <c r="AX149" s="21">
        <f t="shared" si="114"/>
        <v>1.3596840447579535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395.21779046720553</v>
      </c>
      <c r="BJ149" s="59">
        <f t="shared" si="146"/>
        <v>360.05900046417361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0.48371453240588891</v>
      </c>
      <c r="BQ149" s="21">
        <f>EXP(-LN(2)/25)*BQ148+(1-EXP(-LN(2)/25))/(LN(2)/25)*Calculateur!BL149*Calculateur!BN149*VLOOKUP('Données projet'!$B$11,Paramètres!$A$1:$I$89,3,0)*0.475*44/12</f>
        <v>0.45241404820437614</v>
      </c>
      <c r="BR149" s="21">
        <f>EXP(-LN(2)/2)*BR148+(1-EXP(-LN(2)/2))/(LN(2)/2)*BL149*BO149*VLOOKUP('Données projet'!$B$11,Paramètres!$A$1:$I$89,3,0)*0.475*44/12</f>
        <v>2.4277475215925249E-17</v>
      </c>
      <c r="BS149" s="22">
        <f t="shared" si="117"/>
        <v>0.93612858061026505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449.84356201138451</v>
      </c>
      <c r="CE149" s="59">
        <f t="shared" si="148"/>
        <v>306.61893266146666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0.82340008036576906</v>
      </c>
      <c r="CL149" s="21">
        <f>EXP(-LN(2)/25)*CL148+(1-EXP(-LN(2)/25))/(LN(2)/25)*Calculateur!CG149*Calculateur!CI149*VLOOKUP('Données projet'!$B$12,Paramètres!$A$1:$I$89,3,0)*0.475*44/12</f>
        <v>0.420923447857313</v>
      </c>
      <c r="CM149" s="21">
        <f>EXP(-LN(2)/2)*CM148+(1-EXP(-LN(2)/2))/(LN(2)/2)*CG149*CJ149*VLOOKUP('Données projet'!$B$12,Paramètres!$A$1:$I$89,3,0)*0.475*44/12</f>
        <v>3.3184908264022154E-17</v>
      </c>
      <c r="CN149" s="22">
        <f t="shared" si="120"/>
        <v>1.244323528223082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475.01366239340246</v>
      </c>
      <c r="CZ149" s="59">
        <f t="shared" si="150"/>
        <v>322.81767004794284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0.87407085454212285</v>
      </c>
      <c r="DG149" s="21">
        <f>EXP(-LN(2)/25)*DG148+(1-EXP(-LN(2)/25))/(LN(2)/25)*Calculateur!DB149*Calculateur!DD149*VLOOKUP('Données projet'!$B$13,Paramètres!$A$1:$I$89,3,0)*0.475*44/12</f>
        <v>0.44682642926391597</v>
      </c>
      <c r="DH149" s="21">
        <f>EXP(-LN(2)/2)*DH148+(1-EXP(-LN(2)/2))/(LN(2)/2)*DB149*DE149*VLOOKUP('Données projet'!$B$13,Paramètres!$A$1:$I$89,3,0)*0.475*44/12</f>
        <v>3.5227056464885065E-17</v>
      </c>
      <c r="DI149" s="22">
        <f t="shared" si="123"/>
        <v>1.3208972838060389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2.0572770154103635E-13</v>
      </c>
      <c r="DQ149" s="13">
        <f t="shared" si="151"/>
        <v>2.8416956338469711E-12</v>
      </c>
      <c r="DR149" s="20">
        <f t="shared" si="124"/>
        <v>5.3075956424674458E-12</v>
      </c>
      <c r="DS149" s="59">
        <f t="shared" si="125"/>
        <v>293.3333333333386</v>
      </c>
      <c r="DT149" s="59">
        <f ca="1">AVERAGE(OFFSET($DS$3,0,0,'Données projet'!$E$14+1,1))-AVERAGE(OFFSET($H$3,0,0,'Données projet'!$E$14+1,1))</f>
        <v>436.23918637269577</v>
      </c>
      <c r="DU149" s="59">
        <f t="shared" si="152"/>
        <v>611.43967996341894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0.33115557773507637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1.6377474213625445E-17</v>
      </c>
      <c r="ED149" s="22">
        <f t="shared" si="126"/>
        <v>0.33115557773507637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430.94515308997018</v>
      </c>
      <c r="T150" s="59">
        <f t="shared" si="142"/>
        <v>294.45557293177131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0.76999584361359663</v>
      </c>
      <c r="AA150" s="21">
        <f>EXP(-LN(2)/25)*AA149+(1-EXP(-LN(2)/25))/(LN(2)/25)*Calculateur!V150*Calculateur!X150*VLOOKUP('Données projet'!$B$9,Paramètres!$A$1:$I$89,3,0)*0.475*44/12</f>
        <v>0.39051727677685644</v>
      </c>
      <c r="AB150" s="21">
        <f>EXP(-LN(2)/2)*AB149+(1-EXP(-LN(2)/2))/(LN(2)/2)*V150*Y150*VLOOKUP('Données projet'!$B$9,Paramètres!$A$1:$I$89,3,0)*0.475*44/12</f>
        <v>2.2382261035780023E-17</v>
      </c>
      <c r="AC150" s="22">
        <f t="shared" si="111"/>
        <v>1.1605131203904531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319.22903094674564</v>
      </c>
      <c r="AO150" s="59">
        <f t="shared" si="144"/>
        <v>254.58690973142848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0.89454504300691429</v>
      </c>
      <c r="AV150" s="21">
        <f>EXP(-LN(2)/25)*AV149+(1-EXP(-LN(2)/25))/(LN(2)/25)*Calculateur!AQ150*Calculateur!AS150*VLOOKUP('Données projet'!$B$10,Paramètres!$A$1:$I$89,3,0)*0.475*44/12</f>
        <v>0.43501667772119346</v>
      </c>
      <c r="AW150" s="21">
        <f>EXP(-LN(2)/2)*AW149+(1-EXP(-LN(2)/2))/(LN(2)/2)*AQ150*AT150*VLOOKUP('Données projet'!$B$10,Paramètres!$A$1:$I$89,3,0)*0.475*44/12</f>
        <v>2.709177031810737E-17</v>
      </c>
      <c r="AX150" s="21">
        <f t="shared" si="114"/>
        <v>1.3295617207281079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395.21779046720553</v>
      </c>
      <c r="BJ150" s="59">
        <f t="shared" si="146"/>
        <v>360.05900046417361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0.47422918546214171</v>
      </c>
      <c r="BQ150" s="21">
        <f>EXP(-LN(2)/25)*BQ149+(1-EXP(-LN(2)/25))/(LN(2)/25)*Calculateur!BL150*Calculateur!BN150*VLOOKUP('Données projet'!$B$11,Paramètres!$A$1:$I$89,3,0)*0.475*44/12</f>
        <v>0.44004276226480671</v>
      </c>
      <c r="BR150" s="21">
        <f>EXP(-LN(2)/2)*BR149+(1-EXP(-LN(2)/2))/(LN(2)/2)*BL150*BO150*VLOOKUP('Données projet'!$B$11,Paramètres!$A$1:$I$89,3,0)*0.475*44/12</f>
        <v>1.7166767355269086E-17</v>
      </c>
      <c r="BS150" s="22">
        <f t="shared" si="117"/>
        <v>0.91427194772694842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449.84356201138451</v>
      </c>
      <c r="CE150" s="59">
        <f t="shared" si="148"/>
        <v>306.61893266146666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0.80725370701425481</v>
      </c>
      <c r="CL150" s="21">
        <f>EXP(-LN(2)/25)*CL149+(1-EXP(-LN(2)/25))/(LN(2)/25)*Calculateur!CG150*Calculateur!CI150*VLOOKUP('Données projet'!$B$12,Paramètres!$A$1:$I$89,3,0)*0.475*44/12</f>
        <v>0.40941327404025268</v>
      </c>
      <c r="CM150" s="21">
        <f>EXP(-LN(2)/2)*CM149+(1-EXP(-LN(2)/2))/(LN(2)/2)*CG150*CJ150*VLOOKUP('Données projet'!$B$12,Paramètres!$A$1:$I$89,3,0)*0.475*44/12</f>
        <v>2.3465273666543566E-17</v>
      </c>
      <c r="CN150" s="22">
        <f t="shared" si="120"/>
        <v>1.2166669810545074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475.01366239340246</v>
      </c>
      <c r="CZ150" s="59">
        <f t="shared" si="150"/>
        <v>322.81767004794284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0.85693085821513082</v>
      </c>
      <c r="DG150" s="21">
        <f>EXP(-LN(2)/25)*DG149+(1-EXP(-LN(2)/25))/(LN(2)/25)*Calculateur!DB150*Calculateur!DD150*VLOOKUP('Données projet'!$B$13,Paramètres!$A$1:$I$89,3,0)*0.475*44/12</f>
        <v>0.43460793705811351</v>
      </c>
      <c r="DH150" s="21">
        <f>EXP(-LN(2)/2)*DH149+(1-EXP(-LN(2)/2))/(LN(2)/2)*DB150*DE150*VLOOKUP('Données projet'!$B$13,Paramètres!$A$1:$I$89,3,0)*0.475*44/12</f>
        <v>2.4909290507561638E-17</v>
      </c>
      <c r="DI150" s="22">
        <f t="shared" si="123"/>
        <v>1.2915387952732442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2.0572770154103635E-13</v>
      </c>
      <c r="DQ150" s="13">
        <f t="shared" si="151"/>
        <v>2.8416956338469711E-12</v>
      </c>
      <c r="DR150" s="20">
        <f t="shared" si="124"/>
        <v>5.3075956424674458E-12</v>
      </c>
      <c r="DS150" s="59">
        <f t="shared" si="125"/>
        <v>293.3333333333386</v>
      </c>
      <c r="DT150" s="59">
        <f ca="1">AVERAGE(OFFSET($DS$3,0,0,'Données projet'!$E$14+1,1))-AVERAGE(OFFSET($H$3,0,0,'Données projet'!$E$14+1,1))</f>
        <v>436.23918637269577</v>
      </c>
      <c r="DU150" s="59">
        <f t="shared" si="152"/>
        <v>611.43967996341894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0.3246618188406496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1.1580623075162372E-17</v>
      </c>
      <c r="ED150" s="22">
        <f t="shared" si="126"/>
        <v>0.3246618188406496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430.94515308997018</v>
      </c>
      <c r="T151" s="59">
        <f t="shared" si="142"/>
        <v>294.45557293177131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0.7548966947714244</v>
      </c>
      <c r="AA151" s="21">
        <f>EXP(-LN(2)/25)*AA150+(1-EXP(-LN(2)/25))/(LN(2)/25)*Calculateur!V151*Calculateur!X151*VLOOKUP('Données projet'!$B$9,Paramètres!$A$1:$I$89,3,0)*0.475*44/12</f>
        <v>0.37983856130698224</v>
      </c>
      <c r="AB151" s="21">
        <f>EXP(-LN(2)/2)*AB150+(1-EXP(-LN(2)/2))/(LN(2)/2)*V151*Y151*VLOOKUP('Données projet'!$B$9,Paramètres!$A$1:$I$89,3,0)*0.475*44/12</f>
        <v>1.5826648556687493E-17</v>
      </c>
      <c r="AC151" s="22">
        <f t="shared" si="111"/>
        <v>1.1347352560784065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319.22903094674564</v>
      </c>
      <c r="AO151" s="59">
        <f t="shared" si="144"/>
        <v>254.58690973142848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0.87700356033214955</v>
      </c>
      <c r="AV151" s="21">
        <f>EXP(-LN(2)/25)*AV150+(1-EXP(-LN(2)/25))/(LN(2)/25)*Calculateur!AQ151*Calculateur!AS151*VLOOKUP('Données projet'!$B$10,Paramètres!$A$1:$I$89,3,0)*0.475*44/12</f>
        <v>0.4231211237923746</v>
      </c>
      <c r="AW151" s="21">
        <f>EXP(-LN(2)/2)*AW150+(1-EXP(-LN(2)/2))/(LN(2)/2)*AQ151*AT151*VLOOKUP('Données projet'!$B$10,Paramètres!$A$1:$I$89,3,0)*0.475*44/12</f>
        <v>1.9156774506282153E-17</v>
      </c>
      <c r="AX151" s="21">
        <f t="shared" si="114"/>
        <v>1.3001246841245242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395.21779046720553</v>
      </c>
      <c r="BJ151" s="59">
        <f t="shared" si="146"/>
        <v>360.05900046417361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0.46492984038647106</v>
      </c>
      <c r="BQ151" s="21">
        <f>EXP(-LN(2)/25)*BQ150+(1-EXP(-LN(2)/25))/(LN(2)/25)*Calculateur!BL151*Calculateur!BN151*VLOOKUP('Données projet'!$B$11,Paramètres!$A$1:$I$89,3,0)*0.475*44/12</f>
        <v>0.42800976978983241</v>
      </c>
      <c r="BR151" s="21">
        <f>EXP(-LN(2)/2)*BR150+(1-EXP(-LN(2)/2))/(LN(2)/2)*BL151*BO151*VLOOKUP('Données projet'!$B$11,Paramètres!$A$1:$I$89,3,0)*0.475*44/12</f>
        <v>1.2138737607962625E-17</v>
      </c>
      <c r="BS151" s="22">
        <f t="shared" si="117"/>
        <v>0.89293961017630341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449.84356201138451</v>
      </c>
      <c r="CE151" s="59">
        <f t="shared" si="148"/>
        <v>306.61893266146666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0.79142395419584843</v>
      </c>
      <c r="CL151" s="21">
        <f>EXP(-LN(2)/25)*CL150+(1-EXP(-LN(2)/25))/(LN(2)/25)*Calculateur!CG151*Calculateur!CI151*VLOOKUP('Données projet'!$B$12,Paramètres!$A$1:$I$89,3,0)*0.475*44/12</f>
        <v>0.3982178465315136</v>
      </c>
      <c r="CM151" s="21">
        <f>EXP(-LN(2)/2)*CM150+(1-EXP(-LN(2)/2))/(LN(2)/2)*CG151*CJ151*VLOOKUP('Données projet'!$B$12,Paramètres!$A$1:$I$89,3,0)*0.475*44/12</f>
        <v>1.6592454132011077E-17</v>
      </c>
      <c r="CN151" s="22">
        <f t="shared" si="120"/>
        <v>1.1896418007273621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475.01366239340246</v>
      </c>
      <c r="CZ151" s="59">
        <f t="shared" si="150"/>
        <v>322.81767004794284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0.84012696676174559</v>
      </c>
      <c r="DG151" s="21">
        <f>EXP(-LN(2)/25)*DG150+(1-EXP(-LN(2)/25))/(LN(2)/25)*Calculateur!DB151*Calculateur!DD151*VLOOKUP('Données projet'!$B$13,Paramètres!$A$1:$I$89,3,0)*0.475*44/12</f>
        <v>0.4227235601642213</v>
      </c>
      <c r="DH151" s="21">
        <f>EXP(-LN(2)/2)*DH150+(1-EXP(-LN(2)/2))/(LN(2)/2)*DB151*DE151*VLOOKUP('Données projet'!$B$13,Paramètres!$A$1:$I$89,3,0)*0.475*44/12</f>
        <v>1.7613528232442532E-17</v>
      </c>
      <c r="DI151" s="22">
        <f t="shared" si="123"/>
        <v>1.2628505269259669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2.0572770154103635E-13</v>
      </c>
      <c r="DQ151" s="13">
        <f t="shared" si="151"/>
        <v>2.8416956338469711E-12</v>
      </c>
      <c r="DR151" s="20">
        <f t="shared" si="124"/>
        <v>5.3075956424674458E-12</v>
      </c>
      <c r="DS151" s="59">
        <f t="shared" si="125"/>
        <v>293.3333333333386</v>
      </c>
      <c r="DT151" s="59">
        <f ca="1">AVERAGE(OFFSET($DS$3,0,0,'Données projet'!$E$14+1,1))-AVERAGE(OFFSET($H$3,0,0,'Données projet'!$E$14+1,1))</f>
        <v>436.23918637269577</v>
      </c>
      <c r="DU151" s="59">
        <f t="shared" si="152"/>
        <v>611.43967996341894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0.31829539859734068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8.1887371068127224E-18</v>
      </c>
      <c r="ED151" s="22">
        <f t="shared" si="126"/>
        <v>0.31829539859734068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430.94515308997018</v>
      </c>
      <c r="T152" s="59">
        <f t="shared" si="142"/>
        <v>294.45557293177131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0.74009363102847581</v>
      </c>
      <c r="AA152" s="21">
        <f>EXP(-LN(2)/25)*AA151+(1-EXP(-LN(2)/25))/(LN(2)/25)*Calculateur!V152*Calculateur!X152*VLOOKUP('Données projet'!$B$9,Paramètres!$A$1:$I$89,3,0)*0.475*44/12</f>
        <v>0.36945185587320101</v>
      </c>
      <c r="AB152" s="21">
        <f>EXP(-LN(2)/2)*AB151+(1-EXP(-LN(2)/2))/(LN(2)/2)*V152*Y152*VLOOKUP('Données projet'!$B$9,Paramètres!$A$1:$I$89,3,0)*0.475*44/12</f>
        <v>1.1191130517890011E-17</v>
      </c>
      <c r="AC152" s="22">
        <f t="shared" si="111"/>
        <v>1.1095454869016768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319.22903094674564</v>
      </c>
      <c r="AO152" s="59">
        <f t="shared" si="144"/>
        <v>254.58690973142848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0.85980605543338895</v>
      </c>
      <c r="AV152" s="21">
        <f>EXP(-LN(2)/25)*AV151+(1-EXP(-LN(2)/25))/(LN(2)/25)*Calculateur!AQ152*Calculateur!AS152*VLOOKUP('Données projet'!$B$10,Paramètres!$A$1:$I$89,3,0)*0.475*44/12</f>
        <v>0.41155085441129929</v>
      </c>
      <c r="AW152" s="21">
        <f>EXP(-LN(2)/2)*AW151+(1-EXP(-LN(2)/2))/(LN(2)/2)*AQ152*AT152*VLOOKUP('Données projet'!$B$10,Paramètres!$A$1:$I$89,3,0)*0.475*44/12</f>
        <v>1.3545885159053686E-17</v>
      </c>
      <c r="AX152" s="21">
        <f t="shared" si="114"/>
        <v>1.2713569098446882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395.21779046720553</v>
      </c>
      <c r="BJ152" s="59">
        <f t="shared" si="146"/>
        <v>360.05900046417361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0.45581284979569386</v>
      </c>
      <c r="BQ152" s="21">
        <f>EXP(-LN(2)/25)*BQ151+(1-EXP(-LN(2)/25))/(LN(2)/25)*Calculateur!BL152*Calculateur!BN152*VLOOKUP('Données projet'!$B$11,Paramètres!$A$1:$I$89,3,0)*0.475*44/12</f>
        <v>0.41630582012687389</v>
      </c>
      <c r="BR152" s="21">
        <f>EXP(-LN(2)/2)*BR151+(1-EXP(-LN(2)/2))/(LN(2)/2)*BL152*BO152*VLOOKUP('Données projet'!$B$11,Paramètres!$A$1:$I$89,3,0)*0.475*44/12</f>
        <v>8.5833836776345428E-18</v>
      </c>
      <c r="BS152" s="22">
        <f t="shared" si="117"/>
        <v>0.87211866992256781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449.84356201138451</v>
      </c>
      <c r="CE152" s="59">
        <f t="shared" si="148"/>
        <v>306.61893266146666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0.77590461317501513</v>
      </c>
      <c r="CL152" s="21">
        <f>EXP(-LN(2)/25)*CL151+(1-EXP(-LN(2)/25))/(LN(2)/25)*Calculateur!CG152*Calculateur!CI152*VLOOKUP('Données projet'!$B$12,Paramètres!$A$1:$I$89,3,0)*0.475*44/12</f>
        <v>0.38732855857674292</v>
      </c>
      <c r="CM152" s="21">
        <f>EXP(-LN(2)/2)*CM151+(1-EXP(-LN(2)/2))/(LN(2)/2)*CG152*CJ152*VLOOKUP('Données projet'!$B$12,Paramètres!$A$1:$I$89,3,0)*0.475*44/12</f>
        <v>1.1732636833271783E-17</v>
      </c>
      <c r="CN152" s="22">
        <f t="shared" si="120"/>
        <v>1.1632331717517581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475.01366239340246</v>
      </c>
      <c r="CZ152" s="59">
        <f t="shared" si="150"/>
        <v>322.81767004794284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0.82365258937039953</v>
      </c>
      <c r="DG152" s="21">
        <f>EXP(-LN(2)/25)*DG151+(1-EXP(-LN(2)/25))/(LN(2)/25)*Calculateur!DB152*Calculateur!DD152*VLOOKUP('Données projet'!$B$13,Paramètres!$A$1:$I$89,3,0)*0.475*44/12</f>
        <v>0.41116416218146479</v>
      </c>
      <c r="DH152" s="21">
        <f>EXP(-LN(2)/2)*DH151+(1-EXP(-LN(2)/2))/(LN(2)/2)*DB152*DE152*VLOOKUP('Données projet'!$B$13,Paramètres!$A$1:$I$89,3,0)*0.475*44/12</f>
        <v>1.2454645253780819E-17</v>
      </c>
      <c r="DI152" s="22">
        <f t="shared" si="123"/>
        <v>1.2348167515518642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2.0572770154103635E-13</v>
      </c>
      <c r="DQ152" s="13">
        <f t="shared" si="151"/>
        <v>2.8416956338469711E-12</v>
      </c>
      <c r="DR152" s="20">
        <f t="shared" si="124"/>
        <v>5.3075956424674458E-12</v>
      </c>
      <c r="DS152" s="59">
        <f t="shared" si="125"/>
        <v>293.3333333333386</v>
      </c>
      <c r="DT152" s="59">
        <f ca="1">AVERAGE(OFFSET($DS$3,0,0,'Données projet'!$E$14+1,1))-AVERAGE(OFFSET($H$3,0,0,'Données projet'!$E$14+1,1))</f>
        <v>436.23918637269577</v>
      </c>
      <c r="DU152" s="59">
        <f t="shared" si="152"/>
        <v>611.43967996341894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0.31205381997187015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5.7903115375811861E-18</v>
      </c>
      <c r="ED152" s="22">
        <f t="shared" si="126"/>
        <v>0.31205381997187015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430.94515308997018</v>
      </c>
      <c r="T153" s="59">
        <f t="shared" si="142"/>
        <v>294.45557293177131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0.72558084633654907</v>
      </c>
      <c r="AA153" s="21">
        <f>EXP(-LN(2)/25)*AA152+(1-EXP(-LN(2)/25))/(LN(2)/25)*Calculateur!V153*Calculateur!X153*VLOOKUP('Données projet'!$B$9,Paramètres!$A$1:$I$89,3,0)*0.475*44/12</f>
        <v>0.35934917544571959</v>
      </c>
      <c r="AB153" s="21">
        <f>EXP(-LN(2)/2)*AB152+(1-EXP(-LN(2)/2))/(LN(2)/2)*V153*Y153*VLOOKUP('Données projet'!$B$9,Paramètres!$A$1:$I$89,3,0)*0.475*44/12</f>
        <v>7.9133242783437463E-18</v>
      </c>
      <c r="AC153" s="22">
        <f t="shared" si="111"/>
        <v>1.0849300217822686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319.22903094674564</v>
      </c>
      <c r="AO153" s="59">
        <f t="shared" si="144"/>
        <v>254.58690973142848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0.8429457831162509</v>
      </c>
      <c r="AV153" s="21">
        <f>EXP(-LN(2)/25)*AV152+(1-EXP(-LN(2)/25))/(LN(2)/25)*Calculateur!AQ153*Calculateur!AS153*VLOOKUP('Données projet'!$B$10,Paramètres!$A$1:$I$89,3,0)*0.475*44/12</f>
        <v>0.40029697465490349</v>
      </c>
      <c r="AW153" s="21">
        <f>EXP(-LN(2)/2)*AW152+(1-EXP(-LN(2)/2))/(LN(2)/2)*AQ153*AT153*VLOOKUP('Données projet'!$B$10,Paramètres!$A$1:$I$89,3,0)*0.475*44/12</f>
        <v>9.578387253141078E-18</v>
      </c>
      <c r="AX153" s="21">
        <f t="shared" si="114"/>
        <v>1.2432427577711544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395.21779046720553</v>
      </c>
      <c r="BJ153" s="59">
        <f t="shared" si="146"/>
        <v>360.05900046417361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0.44687463782958664</v>
      </c>
      <c r="BQ153" s="21">
        <f>EXP(-LN(2)/25)*BQ152+(1-EXP(-LN(2)/25))/(LN(2)/25)*Calculateur!BL153*Calculateur!BN153*VLOOKUP('Données projet'!$B$11,Paramètres!$A$1:$I$89,3,0)*0.475*44/12</f>
        <v>0.40492191558293295</v>
      </c>
      <c r="BR153" s="21">
        <f>EXP(-LN(2)/2)*BR152+(1-EXP(-LN(2)/2))/(LN(2)/2)*BL153*BO153*VLOOKUP('Données projet'!$B$11,Paramètres!$A$1:$I$89,3,0)*0.475*44/12</f>
        <v>6.0693688039813123E-18</v>
      </c>
      <c r="BS153" s="22">
        <f t="shared" si="117"/>
        <v>0.85179655341251959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449.84356201138451</v>
      </c>
      <c r="CE153" s="59">
        <f t="shared" si="148"/>
        <v>306.61893266146666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0.76068959696573701</v>
      </c>
      <c r="CL153" s="21">
        <f>EXP(-LN(2)/25)*CL152+(1-EXP(-LN(2)/25))/(LN(2)/25)*Calculateur!CG153*Calculateur!CI153*VLOOKUP('Données projet'!$B$12,Paramètres!$A$1:$I$89,3,0)*0.475*44/12</f>
        <v>0.37673703877373826</v>
      </c>
      <c r="CM153" s="21">
        <f>EXP(-LN(2)/2)*CM152+(1-EXP(-LN(2)/2))/(LN(2)/2)*CG153*CJ153*VLOOKUP('Données projet'!$B$12,Paramètres!$A$1:$I$89,3,0)*0.475*44/12</f>
        <v>8.2962270660055386E-18</v>
      </c>
      <c r="CN153" s="22">
        <f t="shared" si="120"/>
        <v>1.1374266357394753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475.01366239340246</v>
      </c>
      <c r="CZ153" s="59">
        <f t="shared" si="150"/>
        <v>322.81767004794284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0.80750126447131976</v>
      </c>
      <c r="DG153" s="21">
        <f>EXP(-LN(2)/25)*DG152+(1-EXP(-LN(2)/25))/(LN(2)/25)*Calculateur!DB153*Calculateur!DD153*VLOOKUP('Données projet'!$B$13,Paramètres!$A$1:$I$89,3,0)*0.475*44/12</f>
        <v>0.39992085654442905</v>
      </c>
      <c r="DH153" s="21">
        <f>EXP(-LN(2)/2)*DH152+(1-EXP(-LN(2)/2))/(LN(2)/2)*DB153*DE153*VLOOKUP('Données projet'!$B$13,Paramètres!$A$1:$I$89,3,0)*0.475*44/12</f>
        <v>8.8067641162212662E-18</v>
      </c>
      <c r="DI153" s="22">
        <f t="shared" si="123"/>
        <v>1.2074221210157488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2.0572770154103635E-13</v>
      </c>
      <c r="DQ153" s="13">
        <f t="shared" si="151"/>
        <v>2.8416956338469711E-12</v>
      </c>
      <c r="DR153" s="20">
        <f t="shared" si="124"/>
        <v>5.3075956424674458E-12</v>
      </c>
      <c r="DS153" s="59">
        <f t="shared" si="125"/>
        <v>293.3333333333386</v>
      </c>
      <c r="DT153" s="59">
        <f ca="1">AVERAGE(OFFSET($DS$3,0,0,'Données projet'!$E$14+1,1))-AVERAGE(OFFSET($H$3,0,0,'Données projet'!$E$14+1,1))</f>
        <v>436.23918637269577</v>
      </c>
      <c r="DU153" s="59">
        <f t="shared" si="152"/>
        <v>611.43967996341894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0.30593463489625805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4.0943685534063612E-18</v>
      </c>
      <c r="ED153" s="22">
        <f t="shared" si="126"/>
        <v>0.30593463489625805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430.94515308997018</v>
      </c>
      <c r="T154" s="59">
        <f t="shared" si="142"/>
        <v>294.45557293177131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0.71135264850050639</v>
      </c>
      <c r="AA154" s="21">
        <f>EXP(-LN(2)/25)*AA153+(1-EXP(-LN(2)/25))/(LN(2)/25)*Calculateur!V154*Calculateur!X154*VLOOKUP('Données projet'!$B$9,Paramètres!$A$1:$I$89,3,0)*0.475*44/12</f>
        <v>0.34952275334580457</v>
      </c>
      <c r="AB154" s="21">
        <f>EXP(-LN(2)/2)*AB153+(1-EXP(-LN(2)/2))/(LN(2)/2)*V154*Y154*VLOOKUP('Données projet'!$B$9,Paramètres!$A$1:$I$89,3,0)*0.475*44/12</f>
        <v>5.5955652589450056E-18</v>
      </c>
      <c r="AC154" s="22">
        <f t="shared" ref="AC154:AC203" si="163">SUM(Z154:AB154)</f>
        <v>1.0608754018463109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319.22903094674564</v>
      </c>
      <c r="AO154" s="59">
        <f t="shared" si="144"/>
        <v>254.58690973142848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0.82641613045550122</v>
      </c>
      <c r="AV154" s="21">
        <f>EXP(-LN(2)/25)*AV153+(1-EXP(-LN(2)/25))/(LN(2)/25)*Calculateur!AQ154*Calculateur!AS154*VLOOKUP('Données projet'!$B$10,Paramètres!$A$1:$I$89,3,0)*0.475*44/12</f>
        <v>0.38935083283226213</v>
      </c>
      <c r="AW154" s="21">
        <f>EXP(-LN(2)/2)*AW153+(1-EXP(-LN(2)/2))/(LN(2)/2)*AQ154*AT154*VLOOKUP('Données projet'!$B$10,Paramètres!$A$1:$I$89,3,0)*0.475*44/12</f>
        <v>6.7729425795268448E-18</v>
      </c>
      <c r="AX154" s="21">
        <f t="shared" ref="AX154:AX203" si="166">SUM(AU154:AW154)</f>
        <v>1.2157669632877632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395.21779046720553</v>
      </c>
      <c r="BJ154" s="59">
        <f t="shared" si="146"/>
        <v>360.05900046417361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0.43811169874836381</v>
      </c>
      <c r="BQ154" s="21">
        <f>EXP(-LN(2)/25)*BQ153+(1-EXP(-LN(2)/25))/(LN(2)/25)*Calculateur!BL154*Calculateur!BN154*VLOOKUP('Données projet'!$B$11,Paramètres!$A$1:$I$89,3,0)*0.475*44/12</f>
        <v>0.39384930450739958</v>
      </c>
      <c r="BR154" s="21">
        <f>EXP(-LN(2)/2)*BR153+(1-EXP(-LN(2)/2))/(LN(2)/2)*BL154*BO154*VLOOKUP('Données projet'!$B$11,Paramètres!$A$1:$I$89,3,0)*0.475*44/12</f>
        <v>4.2916918388172714E-18</v>
      </c>
      <c r="BS154" s="22">
        <f t="shared" ref="BS154:BS203" si="169">SUM(BP154:BR154)</f>
        <v>0.83196100325576339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449.84356201138451</v>
      </c>
      <c r="CE154" s="59">
        <f t="shared" si="148"/>
        <v>306.61893266146666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0.74577293794407939</v>
      </c>
      <c r="CL154" s="21">
        <f>EXP(-LN(2)/25)*CL153+(1-EXP(-LN(2)/25))/(LN(2)/25)*Calculateur!CG154*Calculateur!CI154*VLOOKUP('Données projet'!$B$12,Paramètres!$A$1:$I$89,3,0)*0.475*44/12</f>
        <v>0.36643514463673055</v>
      </c>
      <c r="CM154" s="21">
        <f>EXP(-LN(2)/2)*CM153+(1-EXP(-LN(2)/2))/(LN(2)/2)*CG154*CJ154*VLOOKUP('Données projet'!$B$12,Paramètres!$A$1:$I$89,3,0)*0.475*44/12</f>
        <v>5.8663184166358916E-18</v>
      </c>
      <c r="CN154" s="22">
        <f t="shared" ref="CN154:CN203" si="172">SUM(CK154:CM154)</f>
        <v>1.1122080825808101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475.01366239340246</v>
      </c>
      <c r="CZ154" s="59">
        <f t="shared" si="150"/>
        <v>322.81767004794284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0.79166665720217544</v>
      </c>
      <c r="DG154" s="21">
        <f>EXP(-LN(2)/25)*DG153+(1-EXP(-LN(2)/25))/(LN(2)/25)*Calculateur!DB154*Calculateur!DD154*VLOOKUP('Données projet'!$B$13,Paramètres!$A$1:$I$89,3,0)*0.475*44/12</f>
        <v>0.38898499969129779</v>
      </c>
      <c r="DH154" s="21">
        <f>EXP(-LN(2)/2)*DH153+(1-EXP(-LN(2)/2))/(LN(2)/2)*DB154*DE154*VLOOKUP('Données projet'!$B$13,Paramètres!$A$1:$I$89,3,0)*0.475*44/12</f>
        <v>6.2273226268904095E-18</v>
      </c>
      <c r="DI154" s="22">
        <f t="shared" ref="DI154:DI203" si="175">SUM(DF154:DH154)</f>
        <v>1.1806516568934733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2.0572770154103635E-13</v>
      </c>
      <c r="DQ154" s="13">
        <f t="shared" ref="DQ154:DQ203" si="176">EXP(-1.0587+0.8836*LN(DP154)+0.284)</f>
        <v>2.8416956338469711E-12</v>
      </c>
      <c r="DR154" s="20">
        <f t="shared" ref="DR154:DR203" si="177">(DP154+DQ154)*0.475*44/12</f>
        <v>5.3075956424674458E-12</v>
      </c>
      <c r="DS154" s="59">
        <f t="shared" si="125"/>
        <v>293.3333333333386</v>
      </c>
      <c r="DT154" s="59">
        <f ca="1">AVERAGE(OFFSET($DS$3,0,0,'Données projet'!$E$14+1,1))-AVERAGE(OFFSET($H$3,0,0,'Données projet'!$E$14+1,1))</f>
        <v>436.23918637269577</v>
      </c>
      <c r="DU154" s="59">
        <f t="shared" si="152"/>
        <v>611.43967996341894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0.29993544330764432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2.895155768790593E-18</v>
      </c>
      <c r="ED154" s="22">
        <f t="shared" ref="ED154:ED203" si="178">SUM(EA154:EC154)</f>
        <v>0.29993544330764432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430.94515308997018</v>
      </c>
      <c r="T155" s="59">
        <f t="shared" si="142"/>
        <v>294.45557293177131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0.69740345694568473</v>
      </c>
      <c r="AA155" s="21">
        <f>EXP(-LN(2)/25)*AA154+(1-EXP(-LN(2)/25))/(LN(2)/25)*Calculateur!V155*Calculateur!X155*VLOOKUP('Données projet'!$B$9,Paramètres!$A$1:$I$89,3,0)*0.475*44/12</f>
        <v>0.3399650352749608</v>
      </c>
      <c r="AB155" s="21">
        <f>EXP(-LN(2)/2)*AB154+(1-EXP(-LN(2)/2))/(LN(2)/2)*V155*Y155*VLOOKUP('Données projet'!$B$9,Paramètres!$A$1:$I$89,3,0)*0.475*44/12</f>
        <v>3.9566621391718732E-18</v>
      </c>
      <c r="AC155" s="22">
        <f t="shared" si="163"/>
        <v>1.0373684922206454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319.22903094674564</v>
      </c>
      <c r="AO155" s="59">
        <f t="shared" si="144"/>
        <v>254.58690973142848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0.81021061420133622</v>
      </c>
      <c r="AV155" s="21">
        <f>EXP(-LN(2)/25)*AV154+(1-EXP(-LN(2)/25))/(LN(2)/25)*Calculateur!AQ155*Calculateur!AS155*VLOOKUP('Données projet'!$B$10,Paramètres!$A$1:$I$89,3,0)*0.475*44/12</f>
        <v>0.37870401383339347</v>
      </c>
      <c r="AW155" s="21">
        <f>EXP(-LN(2)/2)*AW154+(1-EXP(-LN(2)/2))/(LN(2)/2)*AQ155*AT155*VLOOKUP('Données projet'!$B$10,Paramètres!$A$1:$I$89,3,0)*0.475*44/12</f>
        <v>4.7891936265705398E-18</v>
      </c>
      <c r="AX155" s="21">
        <f t="shared" si="166"/>
        <v>1.1889146280347296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395.21779046720553</v>
      </c>
      <c r="BJ155" s="59">
        <f t="shared" si="146"/>
        <v>360.05900046417361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0.4295205955576587</v>
      </c>
      <c r="BQ155" s="21">
        <f>EXP(-LN(2)/25)*BQ154+(1-EXP(-LN(2)/25))/(LN(2)/25)*Calculateur!BL155*Calculateur!BN155*VLOOKUP('Données projet'!$B$11,Paramètres!$A$1:$I$89,3,0)*0.475*44/12</f>
        <v>0.38307947456400998</v>
      </c>
      <c r="BR155" s="21">
        <f>EXP(-LN(2)/2)*BR154+(1-EXP(-LN(2)/2))/(LN(2)/2)*BL155*BO155*VLOOKUP('Données projet'!$B$11,Paramètres!$A$1:$I$89,3,0)*0.475*44/12</f>
        <v>3.0346844019906562E-18</v>
      </c>
      <c r="BS155" s="22">
        <f t="shared" si="169"/>
        <v>0.81260007012166868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449.84356201138451</v>
      </c>
      <c r="CE155" s="59">
        <f t="shared" si="148"/>
        <v>306.61893266146666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0.73114878550757278</v>
      </c>
      <c r="CL155" s="21">
        <f>EXP(-LN(2)/25)*CL154+(1-EXP(-LN(2)/25))/(LN(2)/25)*Calculateur!CG155*Calculateur!CI155*VLOOKUP('Données projet'!$B$12,Paramètres!$A$1:$I$89,3,0)*0.475*44/12</f>
        <v>0.35641495633665238</v>
      </c>
      <c r="CM155" s="21">
        <f>EXP(-LN(2)/2)*CM154+(1-EXP(-LN(2)/2))/(LN(2)/2)*CG155*CJ155*VLOOKUP('Données projet'!$B$12,Paramètres!$A$1:$I$89,3,0)*0.475*44/12</f>
        <v>4.1481135330027693E-18</v>
      </c>
      <c r="CN155" s="22">
        <f t="shared" si="172"/>
        <v>1.0875637418442252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475.01366239340246</v>
      </c>
      <c r="CZ155" s="59">
        <f t="shared" si="150"/>
        <v>322.81767004794284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0.77614255692342227</v>
      </c>
      <c r="DG155" s="21">
        <f>EXP(-LN(2)/25)*DG154+(1-EXP(-LN(2)/25))/(LN(2)/25)*Calculateur!DB155*Calculateur!DD155*VLOOKUP('Données projet'!$B$13,Paramètres!$A$1:$I$89,3,0)*0.475*44/12</f>
        <v>0.37834818441890716</v>
      </c>
      <c r="DH155" s="21">
        <f>EXP(-LN(2)/2)*DH154+(1-EXP(-LN(2)/2))/(LN(2)/2)*DB155*DE155*VLOOKUP('Données projet'!$B$13,Paramètres!$A$1:$I$89,3,0)*0.475*44/12</f>
        <v>4.4033820581106331E-18</v>
      </c>
      <c r="DI155" s="22">
        <f t="shared" si="175"/>
        <v>1.1544907413423293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2.0572770154103635E-13</v>
      </c>
      <c r="DQ155" s="13">
        <f t="shared" si="176"/>
        <v>2.8416956338469711E-12</v>
      </c>
      <c r="DR155" s="20">
        <f t="shared" si="177"/>
        <v>5.3075956424674458E-12</v>
      </c>
      <c r="DS155" s="59">
        <f t="shared" si="125"/>
        <v>293.3333333333386</v>
      </c>
      <c r="DT155" s="59">
        <f ca="1">AVERAGE(OFFSET($DS$3,0,0,'Données projet'!$E$14+1,1))-AVERAGE(OFFSET($H$3,0,0,'Données projet'!$E$14+1,1))</f>
        <v>436.23918637269577</v>
      </c>
      <c r="DU155" s="59">
        <f t="shared" si="152"/>
        <v>611.43967996341894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0.29405389220693778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2.0471842767031806E-18</v>
      </c>
      <c r="ED155" s="22">
        <f t="shared" si="178"/>
        <v>0.29405389220693778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430.94515308997018</v>
      </c>
      <c r="T156" s="59">
        <f t="shared" si="142"/>
        <v>294.45557293177131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0.68372780052908644</v>
      </c>
      <c r="AA156" s="21">
        <f>EXP(-LN(2)/25)*AA155+(1-EXP(-LN(2)/25))/(LN(2)/25)*Calculateur!V156*Calculateur!X156*VLOOKUP('Données projet'!$B$9,Paramètres!$A$1:$I$89,3,0)*0.475*44/12</f>
        <v>0.33066867350738277</v>
      </c>
      <c r="AB156" s="21">
        <f>EXP(-LN(2)/2)*AB155+(1-EXP(-LN(2)/2))/(LN(2)/2)*V156*Y156*VLOOKUP('Données projet'!$B$9,Paramètres!$A$1:$I$89,3,0)*0.475*44/12</f>
        <v>2.7977826294725028E-18</v>
      </c>
      <c r="AC156" s="22">
        <f t="shared" si="163"/>
        <v>1.0143964740364693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319.22903094674564</v>
      </c>
      <c r="AO156" s="59">
        <f t="shared" si="144"/>
        <v>254.58690973142848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0.79432287823652648</v>
      </c>
      <c r="AV156" s="21">
        <f>EXP(-LN(2)/25)*AV155+(1-EXP(-LN(2)/25))/(LN(2)/25)*Calculateur!AQ156*Calculateur!AS156*VLOOKUP('Données projet'!$B$10,Paramètres!$A$1:$I$89,3,0)*0.475*44/12</f>
        <v>0.36834833265994077</v>
      </c>
      <c r="AW156" s="21">
        <f>EXP(-LN(2)/2)*AW155+(1-EXP(-LN(2)/2))/(LN(2)/2)*AQ156*AT156*VLOOKUP('Données projet'!$B$10,Paramètres!$A$1:$I$89,3,0)*0.475*44/12</f>
        <v>3.3864712897634228E-18</v>
      </c>
      <c r="AX156" s="21">
        <f t="shared" si="166"/>
        <v>1.1626712108964672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395.21779046720553</v>
      </c>
      <c r="BJ156" s="59">
        <f t="shared" si="146"/>
        <v>360.05900046417361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0.42109795866046779</v>
      </c>
      <c r="BQ156" s="21">
        <f>EXP(-LN(2)/25)*BQ155+(1-EXP(-LN(2)/25))/(LN(2)/25)*Calculateur!BL156*Calculateur!BN156*VLOOKUP('Données projet'!$B$11,Paramètres!$A$1:$I$89,3,0)*0.475*44/12</f>
        <v>0.37260414618678311</v>
      </c>
      <c r="BR156" s="21">
        <f>EXP(-LN(2)/2)*BR155+(1-EXP(-LN(2)/2))/(LN(2)/2)*BL156*BO156*VLOOKUP('Données projet'!$B$11,Paramètres!$A$1:$I$89,3,0)*0.475*44/12</f>
        <v>2.1458459194086357E-18</v>
      </c>
      <c r="BS156" s="22">
        <f t="shared" si="169"/>
        <v>0.7937021048472509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449.84356201138451</v>
      </c>
      <c r="CE156" s="59">
        <f t="shared" si="148"/>
        <v>306.61893266146666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0.71681140378049391</v>
      </c>
      <c r="CL156" s="21">
        <f>EXP(-LN(2)/25)*CL155+(1-EXP(-LN(2)/25))/(LN(2)/25)*Calculateur!CG156*Calculateur!CI156*VLOOKUP('Données projet'!$B$12,Paramètres!$A$1:$I$89,3,0)*0.475*44/12</f>
        <v>0.34666877061257867</v>
      </c>
      <c r="CM156" s="21">
        <f>EXP(-LN(2)/2)*CM155+(1-EXP(-LN(2)/2))/(LN(2)/2)*CG156*CJ156*VLOOKUP('Données projet'!$B$12,Paramètres!$A$1:$I$89,3,0)*0.475*44/12</f>
        <v>2.9331592083179458E-18</v>
      </c>
      <c r="CN156" s="22">
        <f t="shared" si="172"/>
        <v>1.0634801743930726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475.01366239340246</v>
      </c>
      <c r="CZ156" s="59">
        <f t="shared" si="150"/>
        <v>322.81767004794284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0.76092287478236931</v>
      </c>
      <c r="DG156" s="21">
        <f>EXP(-LN(2)/25)*DG155+(1-EXP(-LN(2)/25))/(LN(2)/25)*Calculateur!DB156*Calculateur!DD156*VLOOKUP('Données projet'!$B$13,Paramètres!$A$1:$I$89,3,0)*0.475*44/12</f>
        <v>0.36800223341950583</v>
      </c>
      <c r="DH156" s="21">
        <f>EXP(-LN(2)/2)*DH155+(1-EXP(-LN(2)/2))/(LN(2)/2)*DB156*DE156*VLOOKUP('Données projet'!$B$13,Paramètres!$A$1:$I$89,3,0)*0.475*44/12</f>
        <v>3.1136613134452048E-18</v>
      </c>
      <c r="DI156" s="22">
        <f t="shared" si="175"/>
        <v>1.1289251082018752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2.0572770154103635E-13</v>
      </c>
      <c r="DQ156" s="13">
        <f t="shared" si="176"/>
        <v>2.8416956338469711E-12</v>
      </c>
      <c r="DR156" s="20">
        <f t="shared" si="177"/>
        <v>5.3075956424674458E-12</v>
      </c>
      <c r="DS156" s="59">
        <f t="shared" si="125"/>
        <v>293.3333333333386</v>
      </c>
      <c r="DT156" s="59">
        <f ca="1">AVERAGE(OFFSET($DS$3,0,0,'Données projet'!$E$14+1,1))-AVERAGE(OFFSET($H$3,0,0,'Données projet'!$E$14+1,1))</f>
        <v>436.23918637269577</v>
      </c>
      <c r="DU156" s="59">
        <f t="shared" si="152"/>
        <v>611.43967996341894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0.28828767473592415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1.4475778843952965E-18</v>
      </c>
      <c r="ED156" s="22">
        <f t="shared" si="178"/>
        <v>0.28828767473592415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430.94515308997018</v>
      </c>
      <c r="T157" s="59">
        <f t="shared" si="142"/>
        <v>294.45557293177131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0.6703203153934908</v>
      </c>
      <c r="AA157" s="21">
        <f>EXP(-LN(2)/25)*AA156+(1-EXP(-LN(2)/25))/(LN(2)/25)*Calculateur!V157*Calculateur!X157*VLOOKUP('Données projet'!$B$9,Paramètres!$A$1:$I$89,3,0)*0.475*44/12</f>
        <v>0.3216265212412136</v>
      </c>
      <c r="AB157" s="21">
        <f>EXP(-LN(2)/2)*AB156+(1-EXP(-LN(2)/2))/(LN(2)/2)*V157*Y157*VLOOKUP('Données projet'!$B$9,Paramètres!$A$1:$I$89,3,0)*0.475*44/12</f>
        <v>1.9783310695859366E-18</v>
      </c>
      <c r="AC157" s="22">
        <f t="shared" si="163"/>
        <v>0.9919468366347044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319.22903094674564</v>
      </c>
      <c r="AO157" s="59">
        <f t="shared" si="144"/>
        <v>254.58690973142848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0.77874669108342454</v>
      </c>
      <c r="AV157" s="21">
        <f>EXP(-LN(2)/25)*AV156+(1-EXP(-LN(2)/25))/(LN(2)/25)*Calculateur!AQ157*Calculateur!AS157*VLOOKUP('Données projet'!$B$10,Paramètres!$A$1:$I$89,3,0)*0.475*44/12</f>
        <v>0.35827582813275777</v>
      </c>
      <c r="AW157" s="21">
        <f>EXP(-LN(2)/2)*AW156+(1-EXP(-LN(2)/2))/(LN(2)/2)*AQ157*AT157*VLOOKUP('Données projet'!$B$10,Paramètres!$A$1:$I$89,3,0)*0.475*44/12</f>
        <v>2.3945968132852703E-18</v>
      </c>
      <c r="AX157" s="21">
        <f t="shared" si="166"/>
        <v>1.1370225192161822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395.21779046720553</v>
      </c>
      <c r="BJ157" s="59">
        <f t="shared" si="146"/>
        <v>360.05900046417361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0.41284048453552952</v>
      </c>
      <c r="BQ157" s="21">
        <f>EXP(-LN(2)/25)*BQ156+(1-EXP(-LN(2)/25))/(LN(2)/25)*Calculateur!BL157*Calculateur!BN157*VLOOKUP('Données projet'!$B$11,Paramètres!$A$1:$I$89,3,0)*0.475*44/12</f>
        <v>0.36241526621490511</v>
      </c>
      <c r="BR157" s="21">
        <f>EXP(-LN(2)/2)*BR156+(1-EXP(-LN(2)/2))/(LN(2)/2)*BL157*BO157*VLOOKUP('Données projet'!$B$11,Paramètres!$A$1:$I$89,3,0)*0.475*44/12</f>
        <v>1.5173422009953281E-18</v>
      </c>
      <c r="BS157" s="22">
        <f t="shared" si="169"/>
        <v>0.77525575075043462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449.84356201138451</v>
      </c>
      <c r="CE157" s="59">
        <f t="shared" si="148"/>
        <v>306.61893266146666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0.70275516936414362</v>
      </c>
      <c r="CL157" s="21">
        <f>EXP(-LN(2)/25)*CL156+(1-EXP(-LN(2)/25))/(LN(2)/25)*Calculateur!CG157*Calculateur!CI157*VLOOKUP('Données projet'!$B$12,Paramètres!$A$1:$I$89,3,0)*0.475*44/12</f>
        <v>0.33718909484965937</v>
      </c>
      <c r="CM157" s="21">
        <f>EXP(-LN(2)/2)*CM156+(1-EXP(-LN(2)/2))/(LN(2)/2)*CG157*CJ157*VLOOKUP('Données projet'!$B$12,Paramètres!$A$1:$I$89,3,0)*0.475*44/12</f>
        <v>2.0740567665013846E-18</v>
      </c>
      <c r="CN157" s="22">
        <f t="shared" si="172"/>
        <v>1.039944264213803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475.01366239340246</v>
      </c>
      <c r="CZ157" s="59">
        <f t="shared" si="150"/>
        <v>322.81767004794284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0.7460016413250129</v>
      </c>
      <c r="DG157" s="21">
        <f>EXP(-LN(2)/25)*DG156+(1-EXP(-LN(2)/25))/(LN(2)/25)*Calculateur!DB157*Calculateur!DD157*VLOOKUP('Données projet'!$B$13,Paramètres!$A$1:$I$89,3,0)*0.475*44/12</f>
        <v>0.35793919299425309</v>
      </c>
      <c r="DH157" s="21">
        <f>EXP(-LN(2)/2)*DH156+(1-EXP(-LN(2)/2))/(LN(2)/2)*DB157*DE157*VLOOKUP('Données projet'!$B$13,Paramètres!$A$1:$I$89,3,0)*0.475*44/12</f>
        <v>2.2016910290553165E-18</v>
      </c>
      <c r="DI157" s="22">
        <f t="shared" si="175"/>
        <v>1.103940834319266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2.0572770154103635E-13</v>
      </c>
      <c r="DQ157" s="13">
        <f t="shared" si="176"/>
        <v>2.8416956338469711E-12</v>
      </c>
      <c r="DR157" s="20">
        <f t="shared" si="177"/>
        <v>5.3075956424674458E-12</v>
      </c>
      <c r="DS157" s="59">
        <f t="shared" si="125"/>
        <v>293.3333333333386</v>
      </c>
      <c r="DT157" s="59">
        <f ca="1">AVERAGE(OFFSET($DS$3,0,0,'Données projet'!$E$14+1,1))-AVERAGE(OFFSET($H$3,0,0,'Données projet'!$E$14+1,1))</f>
        <v>436.23918637269577</v>
      </c>
      <c r="DU157" s="59">
        <f t="shared" si="152"/>
        <v>611.43967996341894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0.28263452927247168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1.0235921383515903E-18</v>
      </c>
      <c r="ED157" s="22">
        <f t="shared" si="178"/>
        <v>0.28263452927247168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430.94515308997018</v>
      </c>
      <c r="T158" s="59">
        <f t="shared" si="142"/>
        <v>294.45557293177131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0.65717574286364577</v>
      </c>
      <c r="AA158" s="21">
        <f>EXP(-LN(2)/25)*AA157+(1-EXP(-LN(2)/25))/(LN(2)/25)*Calculateur!V158*Calculateur!X158*VLOOKUP('Données projet'!$B$9,Paramètres!$A$1:$I$89,3,0)*0.475*44/12</f>
        <v>0.31283162710426893</v>
      </c>
      <c r="AB158" s="21">
        <f>EXP(-LN(2)/2)*AB157+(1-EXP(-LN(2)/2))/(LN(2)/2)*V158*Y158*VLOOKUP('Données projet'!$B$9,Paramètres!$A$1:$I$89,3,0)*0.475*44/12</f>
        <v>1.3988913147362514E-18</v>
      </c>
      <c r="AC158" s="22">
        <f t="shared" si="163"/>
        <v>0.9700073699679147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319.22903094674564</v>
      </c>
      <c r="AO158" s="59">
        <f t="shared" si="144"/>
        <v>254.58690973142848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0.76347594345985892</v>
      </c>
      <c r="AV158" s="21">
        <f>EXP(-LN(2)/25)*AV157+(1-EXP(-LN(2)/25))/(LN(2)/25)*Calculateur!AQ158*Calculateur!AS158*VLOOKUP('Données projet'!$B$10,Paramètres!$A$1:$I$89,3,0)*0.475*44/12</f>
        <v>0.34847875677156054</v>
      </c>
      <c r="AW158" s="21">
        <f>EXP(-LN(2)/2)*AW157+(1-EXP(-LN(2)/2))/(LN(2)/2)*AQ158*AT158*VLOOKUP('Données projet'!$B$10,Paramètres!$A$1:$I$89,3,0)*0.475*44/12</f>
        <v>1.6932356448817118E-18</v>
      </c>
      <c r="AX158" s="21">
        <f t="shared" si="166"/>
        <v>1.1119547002314194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395.21779046720553</v>
      </c>
      <c r="BJ158" s="59">
        <f t="shared" si="146"/>
        <v>360.05900046417361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0.40474493444161941</v>
      </c>
      <c r="BQ158" s="21">
        <f>EXP(-LN(2)/25)*BQ157+(1-EXP(-LN(2)/25))/(LN(2)/25)*Calculateur!BL158*Calculateur!BN158*VLOOKUP('Données projet'!$B$11,Paramètres!$A$1:$I$89,3,0)*0.475*44/12</f>
        <v>0.35250500170166799</v>
      </c>
      <c r="BR158" s="21">
        <f>EXP(-LN(2)/2)*BR157+(1-EXP(-LN(2)/2))/(LN(2)/2)*BL158*BO158*VLOOKUP('Données projet'!$B$11,Paramètres!$A$1:$I$89,3,0)*0.475*44/12</f>
        <v>1.0729229597043178E-18</v>
      </c>
      <c r="BS158" s="22">
        <f t="shared" si="169"/>
        <v>0.75724993614328739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449.84356201138451</v>
      </c>
      <c r="CE158" s="59">
        <f t="shared" si="148"/>
        <v>306.61893266146666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0.68897456913124155</v>
      </c>
      <c r="CL158" s="21">
        <f>EXP(-LN(2)/25)*CL157+(1-EXP(-LN(2)/25))/(LN(2)/25)*Calculateur!CG158*Calculateur!CI158*VLOOKUP('Données projet'!$B$12,Paramètres!$A$1:$I$89,3,0)*0.475*44/12</f>
        <v>0.32796864131899156</v>
      </c>
      <c r="CM158" s="21">
        <f>EXP(-LN(2)/2)*CM157+(1-EXP(-LN(2)/2))/(LN(2)/2)*CG158*CJ158*VLOOKUP('Données projet'!$B$12,Paramètres!$A$1:$I$89,3,0)*0.475*44/12</f>
        <v>1.4665796041589729E-18</v>
      </c>
      <c r="CN158" s="22">
        <f t="shared" si="172"/>
        <v>1.0169432104502332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475.01366239340246</v>
      </c>
      <c r="CZ158" s="59">
        <f t="shared" si="150"/>
        <v>322.81767004794284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0.73137300415470152</v>
      </c>
      <c r="DG158" s="21">
        <f>EXP(-LN(2)/25)*DG157+(1-EXP(-LN(2)/25))/(LN(2)/25)*Calculateur!DB158*Calculateur!DD158*VLOOKUP('Données projet'!$B$13,Paramètres!$A$1:$I$89,3,0)*0.475*44/12</f>
        <v>0.34815132693862116</v>
      </c>
      <c r="DH158" s="21">
        <f>EXP(-LN(2)/2)*DH157+(1-EXP(-LN(2)/2))/(LN(2)/2)*DB158*DE158*VLOOKUP('Données projet'!$B$13,Paramètres!$A$1:$I$89,3,0)*0.475*44/12</f>
        <v>1.5568306567226024E-18</v>
      </c>
      <c r="DI158" s="22">
        <f t="shared" si="175"/>
        <v>1.0795243310933227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2.0572770154103635E-13</v>
      </c>
      <c r="DQ158" s="13">
        <f t="shared" si="176"/>
        <v>2.8416956338469711E-12</v>
      </c>
      <c r="DR158" s="20">
        <f t="shared" si="177"/>
        <v>5.3075956424674458E-12</v>
      </c>
      <c r="DS158" s="59">
        <f t="shared" si="125"/>
        <v>293.3333333333386</v>
      </c>
      <c r="DT158" s="59">
        <f ca="1">AVERAGE(OFFSET($DS$3,0,0,'Données projet'!$E$14+1,1))-AVERAGE(OFFSET($H$3,0,0,'Données projet'!$E$14+1,1))</f>
        <v>436.23918637269577</v>
      </c>
      <c r="DU158" s="59">
        <f t="shared" si="152"/>
        <v>611.43967996341894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0.27709223854347925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7.2378894219764826E-19</v>
      </c>
      <c r="ED158" s="22">
        <f t="shared" si="178"/>
        <v>0.27709223854347925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430.94515308997018</v>
      </c>
      <c r="T159" s="59">
        <f t="shared" si="142"/>
        <v>294.45557293177131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0.64428892738371335</v>
      </c>
      <c r="AA159" s="21">
        <f>EXP(-LN(2)/25)*AA158+(1-EXP(-LN(2)/25))/(LN(2)/25)*Calculateur!V159*Calculateur!X159*VLOOKUP('Données projet'!$B$9,Paramètres!$A$1:$I$89,3,0)*0.475*44/12</f>
        <v>0.30427722981000244</v>
      </c>
      <c r="AB159" s="21">
        <f>EXP(-LN(2)/2)*AB158+(1-EXP(-LN(2)/2))/(LN(2)/2)*V159*Y159*VLOOKUP('Données projet'!$B$9,Paramètres!$A$1:$I$89,3,0)*0.475*44/12</f>
        <v>9.8916553479296829E-19</v>
      </c>
      <c r="AC159" s="22">
        <f t="shared" si="163"/>
        <v>0.94856615719371584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319.22903094674564</v>
      </c>
      <c r="AO159" s="59">
        <f t="shared" si="144"/>
        <v>254.58690973142848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0.74850464588295507</v>
      </c>
      <c r="AV159" s="21">
        <f>EXP(-LN(2)/25)*AV158+(1-EXP(-LN(2)/25))/(LN(2)/25)*Calculateur!AQ159*Calculateur!AS159*VLOOKUP('Données projet'!$B$10,Paramètres!$A$1:$I$89,3,0)*0.475*44/12</f>
        <v>0.33894958684194088</v>
      </c>
      <c r="AW159" s="21">
        <f>EXP(-LN(2)/2)*AW158+(1-EXP(-LN(2)/2))/(LN(2)/2)*AQ159*AT159*VLOOKUP('Données projet'!$B$10,Paramètres!$A$1:$I$89,3,0)*0.475*44/12</f>
        <v>1.1972984066426353E-18</v>
      </c>
      <c r="AX159" s="21">
        <f t="shared" si="166"/>
        <v>1.0874542327248959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395.21779046720553</v>
      </c>
      <c r="BJ159" s="59">
        <f t="shared" si="146"/>
        <v>360.05900046417361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0.39680813314725288</v>
      </c>
      <c r="BQ159" s="21">
        <f>EXP(-LN(2)/25)*BQ158+(1-EXP(-LN(2)/25))/(LN(2)/25)*Calculateur!BL159*Calculateur!BN159*VLOOKUP('Données projet'!$B$11,Paramètres!$A$1:$I$89,3,0)*0.475*44/12</f>
        <v>0.34286573389270347</v>
      </c>
      <c r="BR159" s="21">
        <f>EXP(-LN(2)/2)*BR158+(1-EXP(-LN(2)/2))/(LN(2)/2)*BL159*BO159*VLOOKUP('Données projet'!$B$11,Paramètres!$A$1:$I$89,3,0)*0.475*44/12</f>
        <v>7.5867110049766404E-19</v>
      </c>
      <c r="BS159" s="22">
        <f t="shared" si="169"/>
        <v>0.7396738670399563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449.84356201138451</v>
      </c>
      <c r="CE159" s="59">
        <f t="shared" si="148"/>
        <v>306.61893266146666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0.6754641980635705</v>
      </c>
      <c r="CL159" s="21">
        <f>EXP(-LN(2)/25)*CL158+(1-EXP(-LN(2)/25))/(LN(2)/25)*Calculateur!CG159*Calculateur!CI159*VLOOKUP('Données projet'!$B$12,Paramètres!$A$1:$I$89,3,0)*0.475*44/12</f>
        <v>0.31900032157500247</v>
      </c>
      <c r="CM159" s="21">
        <f>EXP(-LN(2)/2)*CM158+(1-EXP(-LN(2)/2))/(LN(2)/2)*CG159*CJ159*VLOOKUP('Données projet'!$B$12,Paramètres!$A$1:$I$89,3,0)*0.475*44/12</f>
        <v>1.0370283832506923E-18</v>
      </c>
      <c r="CN159" s="22">
        <f t="shared" si="172"/>
        <v>0.99446451963857296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475.01366239340246</v>
      </c>
      <c r="CZ159" s="59">
        <f t="shared" si="150"/>
        <v>322.81767004794284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0.71703122563671229</v>
      </c>
      <c r="DG159" s="21">
        <f>EXP(-LN(2)/25)*DG158+(1-EXP(-LN(2)/25))/(LN(2)/25)*Calculateur!DB159*Calculateur!DD159*VLOOKUP('Données projet'!$B$13,Paramètres!$A$1:$I$89,3,0)*0.475*44/12</f>
        <v>0.33863111059500201</v>
      </c>
      <c r="DH159" s="21">
        <f>EXP(-LN(2)/2)*DH158+(1-EXP(-LN(2)/2))/(LN(2)/2)*DB159*DE159*VLOOKUP('Données projet'!$B$13,Paramètres!$A$1:$I$89,3,0)*0.475*44/12</f>
        <v>1.1008455145276583E-18</v>
      </c>
      <c r="DI159" s="22">
        <f t="shared" si="175"/>
        <v>1.0556623362317143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2.0572770154103635E-13</v>
      </c>
      <c r="DQ159" s="13">
        <f t="shared" si="176"/>
        <v>2.8416956338469711E-12</v>
      </c>
      <c r="DR159" s="20">
        <f t="shared" si="177"/>
        <v>5.3075956424674458E-12</v>
      </c>
      <c r="DS159" s="59">
        <f t="shared" si="125"/>
        <v>293.3333333333386</v>
      </c>
      <c r="DT159" s="59">
        <f ca="1">AVERAGE(OFFSET($DS$3,0,0,'Données projet'!$E$14+1,1))-AVERAGE(OFFSET($H$3,0,0,'Données projet'!$E$14+1,1))</f>
        <v>436.23918637269577</v>
      </c>
      <c r="DU159" s="59">
        <f t="shared" si="152"/>
        <v>611.43967996341894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0.27165862875521885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5.1179606917579515E-19</v>
      </c>
      <c r="ED159" s="22">
        <f t="shared" si="178"/>
        <v>0.27165862875521885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430.94515308997018</v>
      </c>
      <c r="T160" s="59">
        <f t="shared" si="142"/>
        <v>294.45557293177131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0.63165481449516114</v>
      </c>
      <c r="AA160" s="21">
        <f>EXP(-LN(2)/25)*AA159+(1-EXP(-LN(2)/25))/(LN(2)/25)*Calculateur!V160*Calculateur!X160*VLOOKUP('Données projet'!$B$9,Paramètres!$A$1:$I$89,3,0)*0.475*44/12</f>
        <v>0.29595675295960383</v>
      </c>
      <c r="AB160" s="21">
        <f>EXP(-LN(2)/2)*AB159+(1-EXP(-LN(2)/2))/(LN(2)/2)*V160*Y160*VLOOKUP('Données projet'!$B$9,Paramètres!$A$1:$I$89,3,0)*0.475*44/12</f>
        <v>6.994456573681257E-19</v>
      </c>
      <c r="AC160" s="22">
        <f t="shared" si="163"/>
        <v>0.92761156745476492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319.22903094674564</v>
      </c>
      <c r="AO160" s="59">
        <f t="shared" si="144"/>
        <v>254.58690973142848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0.73382692631994451</v>
      </c>
      <c r="AV160" s="21">
        <f>EXP(-LN(2)/25)*AV159+(1-EXP(-LN(2)/25))/(LN(2)/25)*Calculateur!AQ160*Calculateur!AS160*VLOOKUP('Données projet'!$B$10,Paramètres!$A$1:$I$89,3,0)*0.475*44/12</f>
        <v>0.32968099256516392</v>
      </c>
      <c r="AW160" s="21">
        <f>EXP(-LN(2)/2)*AW159+(1-EXP(-LN(2)/2))/(LN(2)/2)*AQ160*AT160*VLOOKUP('Données projet'!$B$10,Paramètres!$A$1:$I$89,3,0)*0.475*44/12</f>
        <v>8.4661782244085598E-19</v>
      </c>
      <c r="AX160" s="21">
        <f t="shared" si="166"/>
        <v>1.0635079188851084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395.21779046720553</v>
      </c>
      <c r="BJ160" s="59">
        <f t="shared" si="146"/>
        <v>360.05900046417361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0.3890269676852981</v>
      </c>
      <c r="BQ160" s="21">
        <f>EXP(-LN(2)/25)*BQ159+(1-EXP(-LN(2)/25))/(LN(2)/25)*Calculateur!BL160*Calculateur!BN160*VLOOKUP('Données projet'!$B$11,Paramètres!$A$1:$I$89,3,0)*0.475*44/12</f>
        <v>0.33349005236888218</v>
      </c>
      <c r="BR160" s="21">
        <f>EXP(-LN(2)/2)*BR159+(1-EXP(-LN(2)/2))/(LN(2)/2)*BL160*BO160*VLOOKUP('Données projet'!$B$11,Paramètres!$A$1:$I$89,3,0)*0.475*44/12</f>
        <v>5.3646147985215892E-19</v>
      </c>
      <c r="BS160" s="22">
        <f t="shared" si="169"/>
        <v>0.72251702005418028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449.84356201138451</v>
      </c>
      <c r="CE160" s="59">
        <f t="shared" si="148"/>
        <v>306.61893266146666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0.66221875713202383</v>
      </c>
      <c r="CL160" s="21">
        <f>EXP(-LN(2)/25)*CL159+(1-EXP(-LN(2)/25))/(LN(2)/25)*Calculateur!CG160*Calculateur!CI160*VLOOKUP('Données projet'!$B$12,Paramètres!$A$1:$I$89,3,0)*0.475*44/12</f>
        <v>0.31027724100603621</v>
      </c>
      <c r="CM160" s="21">
        <f>EXP(-LN(2)/2)*CM159+(1-EXP(-LN(2)/2))/(LN(2)/2)*CG160*CJ160*VLOOKUP('Données projet'!$B$12,Paramètres!$A$1:$I$89,3,0)*0.475*44/12</f>
        <v>7.3328980207948645E-19</v>
      </c>
      <c r="CN160" s="22">
        <f t="shared" si="172"/>
        <v>0.97249599813806009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475.01366239340246</v>
      </c>
      <c r="CZ160" s="59">
        <f t="shared" si="150"/>
        <v>322.81767004794284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0.70297068064783963</v>
      </c>
      <c r="DG160" s="21">
        <f>EXP(-LN(2)/25)*DG159+(1-EXP(-LN(2)/25))/(LN(2)/25)*Calculateur!DB160*Calculateur!DD160*VLOOKUP('Données projet'!$B$13,Paramètres!$A$1:$I$89,3,0)*0.475*44/12</f>
        <v>0.32937122506794553</v>
      </c>
      <c r="DH160" s="21">
        <f>EXP(-LN(2)/2)*DH159+(1-EXP(-LN(2)/2))/(LN(2)/2)*DB160*DE160*VLOOKUP('Données projet'!$B$13,Paramètres!$A$1:$I$89,3,0)*0.475*44/12</f>
        <v>7.7841532836130119E-19</v>
      </c>
      <c r="DI160" s="22">
        <f t="shared" si="175"/>
        <v>1.0323419057157852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2.0572770154103635E-13</v>
      </c>
      <c r="DQ160" s="13">
        <f t="shared" si="176"/>
        <v>2.8416956338469711E-12</v>
      </c>
      <c r="DR160" s="20">
        <f t="shared" si="177"/>
        <v>5.3075956424674458E-12</v>
      </c>
      <c r="DS160" s="59">
        <f t="shared" si="125"/>
        <v>293.3333333333386</v>
      </c>
      <c r="DT160" s="59">
        <f ca="1">AVERAGE(OFFSET($DS$3,0,0,'Données projet'!$E$14+1,1))-AVERAGE(OFFSET($H$3,0,0,'Données projet'!$E$14+1,1))</f>
        <v>436.23918637269577</v>
      </c>
      <c r="DU160" s="59">
        <f t="shared" si="152"/>
        <v>611.43967996341894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0.26633156874073149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3.6189447109882413E-19</v>
      </c>
      <c r="ED160" s="22">
        <f t="shared" si="178"/>
        <v>0.26633156874073149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430.94515308997018</v>
      </c>
      <c r="T161" s="59">
        <f t="shared" si="142"/>
        <v>294.45557293177131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0.61926844885430543</v>
      </c>
      <c r="AA161" s="21">
        <f>EXP(-LN(2)/25)*AA160+(1-EXP(-LN(2)/25))/(LN(2)/25)*Calculateur!V161*Calculateur!X161*VLOOKUP('Données projet'!$B$9,Paramètres!$A$1:$I$89,3,0)*0.475*44/12</f>
        <v>0.28786379998623424</v>
      </c>
      <c r="AB161" s="21">
        <f>EXP(-LN(2)/2)*AB160+(1-EXP(-LN(2)/2))/(LN(2)/2)*V161*Y161*VLOOKUP('Données projet'!$B$9,Paramètres!$A$1:$I$89,3,0)*0.475*44/12</f>
        <v>4.9458276739648415E-19</v>
      </c>
      <c r="AC161" s="22">
        <f t="shared" si="163"/>
        <v>0.90713224884053967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319.22903094674564</v>
      </c>
      <c r="AO161" s="59">
        <f t="shared" si="144"/>
        <v>254.58690973142848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0.7194370278850396</v>
      </c>
      <c r="AV161" s="21">
        <f>EXP(-LN(2)/25)*AV160+(1-EXP(-LN(2)/25))/(LN(2)/25)*Calculateur!AQ161*Calculateur!AS161*VLOOKUP('Données projet'!$B$10,Paramètres!$A$1:$I$89,3,0)*0.475*44/12</f>
        <v>0.32066584848629959</v>
      </c>
      <c r="AW161" s="21">
        <f>EXP(-LN(2)/2)*AW160+(1-EXP(-LN(2)/2))/(LN(2)/2)*AQ161*AT161*VLOOKUP('Données projet'!$B$10,Paramètres!$A$1:$I$89,3,0)*0.475*44/12</f>
        <v>5.9864920332131776E-19</v>
      </c>
      <c r="AX161" s="21">
        <f t="shared" si="166"/>
        <v>1.0401028763713391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395.21779046720553</v>
      </c>
      <c r="BJ161" s="59">
        <f t="shared" si="146"/>
        <v>360.05900046417361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0.38139838613200994</v>
      </c>
      <c r="BQ161" s="21">
        <f>EXP(-LN(2)/25)*BQ160+(1-EXP(-LN(2)/25))/(LN(2)/25)*Calculateur!BL161*Calculateur!BN161*VLOOKUP('Données projet'!$B$11,Paramètres!$A$1:$I$89,3,0)*0.475*44/12</f>
        <v>0.32437074934937543</v>
      </c>
      <c r="BR161" s="21">
        <f>EXP(-LN(2)/2)*BR160+(1-EXP(-LN(2)/2))/(LN(2)/2)*BL161*BO161*VLOOKUP('Données projet'!$B$11,Paramètres!$A$1:$I$89,3,0)*0.475*44/12</f>
        <v>3.7933555024883202E-19</v>
      </c>
      <c r="BS161" s="22">
        <f t="shared" si="169"/>
        <v>0.70576913548138531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449.84356201138451</v>
      </c>
      <c r="CE161" s="59">
        <f t="shared" si="148"/>
        <v>306.61893266146666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0.6492330512182235</v>
      </c>
      <c r="CL161" s="21">
        <f>EXP(-LN(2)/25)*CL160+(1-EXP(-LN(2)/25))/(LN(2)/25)*Calculateur!CG161*Calculateur!CI161*VLOOKUP('Données projet'!$B$12,Paramètres!$A$1:$I$89,3,0)*0.475*44/12</f>
        <v>0.30179269353395521</v>
      </c>
      <c r="CM161" s="21">
        <f>EXP(-LN(2)/2)*CM160+(1-EXP(-LN(2)/2))/(LN(2)/2)*CG161*CJ161*VLOOKUP('Données projet'!$B$12,Paramètres!$A$1:$I$89,3,0)*0.475*44/12</f>
        <v>5.1851419162534616E-19</v>
      </c>
      <c r="CN161" s="22">
        <f t="shared" si="172"/>
        <v>0.95102574475217871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475.01366239340246</v>
      </c>
      <c r="CZ161" s="59">
        <f t="shared" si="150"/>
        <v>322.81767004794284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0.68918585437011315</v>
      </c>
      <c r="DG161" s="21">
        <f>EXP(-LN(2)/25)*DG160+(1-EXP(-LN(2)/25))/(LN(2)/25)*Calculateur!DB161*Calculateur!DD161*VLOOKUP('Données projet'!$B$13,Paramètres!$A$1:$I$89,3,0)*0.475*44/12</f>
        <v>0.32036455159758259</v>
      </c>
      <c r="DH161" s="21">
        <f>EXP(-LN(2)/2)*DH160+(1-EXP(-LN(2)/2))/(LN(2)/2)*DB161*DE161*VLOOKUP('Données projet'!$B$13,Paramètres!$A$1:$I$89,3,0)*0.475*44/12</f>
        <v>5.5042275726382914E-19</v>
      </c>
      <c r="DI161" s="22">
        <f t="shared" si="175"/>
        <v>1.0095504059676959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2.0572770154103635E-13</v>
      </c>
      <c r="DQ161" s="13">
        <f t="shared" si="176"/>
        <v>2.8416956338469711E-12</v>
      </c>
      <c r="DR161" s="20">
        <f t="shared" si="177"/>
        <v>5.3075956424674458E-12</v>
      </c>
      <c r="DS161" s="59">
        <f t="shared" si="125"/>
        <v>293.3333333333386</v>
      </c>
      <c r="DT161" s="59">
        <f ca="1">AVERAGE(OFFSET($DS$3,0,0,'Données projet'!$E$14+1,1))-AVERAGE(OFFSET($H$3,0,0,'Données projet'!$E$14+1,1))</f>
        <v>436.23918637269577</v>
      </c>
      <c r="DU161" s="59">
        <f t="shared" si="152"/>
        <v>611.43967996341894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0.26110896912394244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2.5589803458789758E-19</v>
      </c>
      <c r="ED161" s="22">
        <f t="shared" si="178"/>
        <v>0.26110896912394244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430.94515308997018</v>
      </c>
      <c r="T162" s="59">
        <f t="shared" si="142"/>
        <v>294.45557293177131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0.60712497228872986</v>
      </c>
      <c r="AA162" s="21">
        <f>EXP(-LN(2)/25)*AA161+(1-EXP(-LN(2)/25))/(LN(2)/25)*Calculateur!V162*Calculateur!X162*VLOOKUP('Données projet'!$B$9,Paramètres!$A$1:$I$89,3,0)*0.475*44/12</f>
        <v>0.27999214923751137</v>
      </c>
      <c r="AB162" s="21">
        <f>EXP(-LN(2)/2)*AB161+(1-EXP(-LN(2)/2))/(LN(2)/2)*V162*Y162*VLOOKUP('Données projet'!$B$9,Paramètres!$A$1:$I$89,3,0)*0.475*44/12</f>
        <v>3.4972282868406285E-19</v>
      </c>
      <c r="AC162" s="22">
        <f t="shared" si="163"/>
        <v>0.88711712152624123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319.22903094674564</v>
      </c>
      <c r="AO162" s="59">
        <f t="shared" si="144"/>
        <v>254.58690973142848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0.70532930658147175</v>
      </c>
      <c r="AV162" s="21">
        <f>EXP(-LN(2)/25)*AV161+(1-EXP(-LN(2)/25))/(LN(2)/25)*Calculateur!AQ162*Calculateur!AS162*VLOOKUP('Données projet'!$B$10,Paramètres!$A$1:$I$89,3,0)*0.475*44/12</f>
        <v>0.31189722399635766</v>
      </c>
      <c r="AW162" s="21">
        <f>EXP(-LN(2)/2)*AW161+(1-EXP(-LN(2)/2))/(LN(2)/2)*AQ162*AT162*VLOOKUP('Données projet'!$B$10,Paramètres!$A$1:$I$89,3,0)*0.475*44/12</f>
        <v>4.2330891122042809E-19</v>
      </c>
      <c r="AX162" s="21">
        <f t="shared" si="166"/>
        <v>1.0172265305778294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395.21779046720553</v>
      </c>
      <c r="BJ162" s="59">
        <f t="shared" si="146"/>
        <v>360.05900046417361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0.37391939641000643</v>
      </c>
      <c r="BQ162" s="21">
        <f>EXP(-LN(2)/25)*BQ161+(1-EXP(-LN(2)/25))/(LN(2)/25)*Calculateur!BL162*Calculateur!BN162*VLOOKUP('Données projet'!$B$11,Paramètres!$A$1:$I$89,3,0)*0.475*44/12</f>
        <v>0.31550081415050041</v>
      </c>
      <c r="BR162" s="21">
        <f>EXP(-LN(2)/2)*BR161+(1-EXP(-LN(2)/2))/(LN(2)/2)*BL162*BO162*VLOOKUP('Données projet'!$B$11,Paramètres!$A$1:$I$89,3,0)*0.475*44/12</f>
        <v>2.6823073992607946E-19</v>
      </c>
      <c r="BS162" s="22">
        <f t="shared" si="169"/>
        <v>0.68942021056050684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449.84356201138451</v>
      </c>
      <c r="CE162" s="59">
        <f t="shared" si="148"/>
        <v>306.61893266146666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0.63650198707689432</v>
      </c>
      <c r="CL162" s="21">
        <f>EXP(-LN(2)/25)*CL161+(1-EXP(-LN(2)/25))/(LN(2)/25)*Calculateur!CG162*Calculateur!CI162*VLOOKUP('Données projet'!$B$12,Paramètres!$A$1:$I$89,3,0)*0.475*44/12</f>
        <v>0.2935401564586812</v>
      </c>
      <c r="CM162" s="21">
        <f>EXP(-LN(2)/2)*CM161+(1-EXP(-LN(2)/2))/(LN(2)/2)*CG162*CJ162*VLOOKUP('Données projet'!$B$12,Paramètres!$A$1:$I$89,3,0)*0.475*44/12</f>
        <v>3.6664490103974322E-19</v>
      </c>
      <c r="CN162" s="22">
        <f t="shared" si="172"/>
        <v>0.93004214353557546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475.01366239340246</v>
      </c>
      <c r="CZ162" s="59">
        <f t="shared" si="150"/>
        <v>322.81767004794284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0.67567134012777907</v>
      </c>
      <c r="DG162" s="21">
        <f>EXP(-LN(2)/25)*DG161+(1-EXP(-LN(2)/25))/(LN(2)/25)*Calculateur!DB162*Calculateur!DD162*VLOOKUP('Données projet'!$B$13,Paramètres!$A$1:$I$89,3,0)*0.475*44/12</f>
        <v>0.31160416608690711</v>
      </c>
      <c r="DH162" s="21">
        <f>EXP(-LN(2)/2)*DH161+(1-EXP(-LN(2)/2))/(LN(2)/2)*DB162*DE162*VLOOKUP('Données projet'!$B$13,Paramètres!$A$1:$I$89,3,0)*0.475*44/12</f>
        <v>3.892076641806506E-19</v>
      </c>
      <c r="DI162" s="22">
        <f t="shared" si="175"/>
        <v>0.98727550621468618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2.0572770154103635E-13</v>
      </c>
      <c r="DQ162" s="13">
        <f t="shared" si="176"/>
        <v>2.8416956338469711E-12</v>
      </c>
      <c r="DR162" s="20">
        <f t="shared" si="177"/>
        <v>5.3075956424674458E-12</v>
      </c>
      <c r="DS162" s="59">
        <f t="shared" si="125"/>
        <v>293.3333333333386</v>
      </c>
      <c r="DT162" s="59">
        <f ca="1">AVERAGE(OFFSET($DS$3,0,0,'Données projet'!$E$14+1,1))-AVERAGE(OFFSET($H$3,0,0,'Données projet'!$E$14+1,1))</f>
        <v>436.23918637269577</v>
      </c>
      <c r="DU162" s="59">
        <f t="shared" si="152"/>
        <v>611.43967996341894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0.25598878150016741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1.8094723554941207E-19</v>
      </c>
      <c r="ED162" s="22">
        <f t="shared" si="178"/>
        <v>0.25598878150016741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430.94515308997018</v>
      </c>
      <c r="T163" s="59">
        <f t="shared" si="142"/>
        <v>294.45557293177131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0.59521962189181588</v>
      </c>
      <c r="AA163" s="21">
        <f>EXP(-LN(2)/25)*AA162+(1-EXP(-LN(2)/25))/(LN(2)/25)*Calculateur!V163*Calculateur!X163*VLOOKUP('Données projet'!$B$9,Paramètres!$A$1:$I$89,3,0)*0.475*44/12</f>
        <v>0.27233574919246445</v>
      </c>
      <c r="AB163" s="21">
        <f>EXP(-LN(2)/2)*AB162+(1-EXP(-LN(2)/2))/(LN(2)/2)*V163*Y163*VLOOKUP('Données projet'!$B$9,Paramètres!$A$1:$I$89,3,0)*0.475*44/12</f>
        <v>2.4729138369824207E-19</v>
      </c>
      <c r="AC163" s="22">
        <f t="shared" si="163"/>
        <v>0.86755537108428027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319.22903094674564</v>
      </c>
      <c r="AO163" s="59">
        <f t="shared" si="144"/>
        <v>254.58690973142848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0.69149822908780656</v>
      </c>
      <c r="AV163" s="21">
        <f>EXP(-LN(2)/25)*AV162+(1-EXP(-LN(2)/25))/(LN(2)/25)*Calculateur!AQ163*Calculateur!AS163*VLOOKUP('Données projet'!$B$10,Paramètres!$A$1:$I$89,3,0)*0.475*44/12</f>
        <v>0.30336837800421512</v>
      </c>
      <c r="AW163" s="21">
        <f>EXP(-LN(2)/2)*AW162+(1-EXP(-LN(2)/2))/(LN(2)/2)*AQ163*AT163*VLOOKUP('Données projet'!$B$10,Paramètres!$A$1:$I$89,3,0)*0.475*44/12</f>
        <v>2.9932460166065893E-19</v>
      </c>
      <c r="AX163" s="21">
        <f t="shared" si="166"/>
        <v>0.99486660709202168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395.21779046720553</v>
      </c>
      <c r="BJ163" s="59">
        <f t="shared" si="146"/>
        <v>360.05900046417361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0.36658706511471811</v>
      </c>
      <c r="BQ163" s="21">
        <f>EXP(-LN(2)/25)*BQ162+(1-EXP(-LN(2)/25))/(LN(2)/25)*Calculateur!BL163*Calculateur!BN163*VLOOKUP('Données projet'!$B$11,Paramètres!$A$1:$I$89,3,0)*0.475*44/12</f>
        <v>0.30687342779608823</v>
      </c>
      <c r="BR163" s="21">
        <f>EXP(-LN(2)/2)*BR162+(1-EXP(-LN(2)/2))/(LN(2)/2)*BL163*BO163*VLOOKUP('Données projet'!$B$11,Paramètres!$A$1:$I$89,3,0)*0.475*44/12</f>
        <v>1.8966777512441601E-19</v>
      </c>
      <c r="BS163" s="22">
        <f t="shared" si="169"/>
        <v>0.67346049291080634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449.84356201138451</v>
      </c>
      <c r="CE163" s="59">
        <f t="shared" si="148"/>
        <v>306.61893266146666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0.62402057133819422</v>
      </c>
      <c r="CL163" s="21">
        <f>EXP(-LN(2)/25)*CL162+(1-EXP(-LN(2)/25))/(LN(2)/25)*Calculateur!CG163*Calculateur!CI163*VLOOKUP('Données projet'!$B$12,Paramètres!$A$1:$I$89,3,0)*0.475*44/12</f>
        <v>0.28551328544371263</v>
      </c>
      <c r="CM163" s="21">
        <f>EXP(-LN(2)/2)*CM162+(1-EXP(-LN(2)/2))/(LN(2)/2)*CG163*CJ163*VLOOKUP('Données projet'!$B$12,Paramètres!$A$1:$I$89,3,0)*0.475*44/12</f>
        <v>2.5925709581267308E-19</v>
      </c>
      <c r="CN163" s="22">
        <f t="shared" si="172"/>
        <v>0.9095338567819069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475.01366239340246</v>
      </c>
      <c r="CZ163" s="59">
        <f t="shared" si="150"/>
        <v>322.81767004794284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0.66242183726669746</v>
      </c>
      <c r="DG163" s="21">
        <f>EXP(-LN(2)/25)*DG162+(1-EXP(-LN(2)/25))/(LN(2)/25)*Calculateur!DB163*Calculateur!DD163*VLOOKUP('Données projet'!$B$13,Paramètres!$A$1:$I$89,3,0)*0.475*44/12</f>
        <v>0.30308333377870972</v>
      </c>
      <c r="DH163" s="21">
        <f>EXP(-LN(2)/2)*DH162+(1-EXP(-LN(2)/2))/(LN(2)/2)*DB163*DE163*VLOOKUP('Données projet'!$B$13,Paramètres!$A$1:$I$89,3,0)*0.475*44/12</f>
        <v>2.7521137863191457E-19</v>
      </c>
      <c r="DI163" s="22">
        <f t="shared" si="175"/>
        <v>0.96550517104540723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2.0572770154103635E-13</v>
      </c>
      <c r="DQ163" s="13">
        <f t="shared" si="176"/>
        <v>2.8416956338469711E-12</v>
      </c>
      <c r="DR163" s="20">
        <f t="shared" si="177"/>
        <v>5.3075956424674458E-12</v>
      </c>
      <c r="DS163" s="59">
        <f t="shared" si="125"/>
        <v>293.3333333333386</v>
      </c>
      <c r="DT163" s="59">
        <f ca="1">AVERAGE(OFFSET($DS$3,0,0,'Données projet'!$E$14+1,1))-AVERAGE(OFFSET($H$3,0,0,'Données projet'!$E$14+1,1))</f>
        <v>436.23918637269577</v>
      </c>
      <c r="DU163" s="59">
        <f t="shared" si="152"/>
        <v>611.43967996341894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0.25096899763268854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1.2794901729394879E-19</v>
      </c>
      <c r="ED163" s="22">
        <f t="shared" si="178"/>
        <v>0.25096899763268854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430.94515308997018</v>
      </c>
      <c r="T164" s="59">
        <f t="shared" si="142"/>
        <v>294.45557293177131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0.58354772815463873</v>
      </c>
      <c r="AA164" s="21">
        <f>EXP(-LN(2)/25)*AA163+(1-EXP(-LN(2)/25))/(LN(2)/25)*Calculateur!V164*Calculateur!X164*VLOOKUP('Données projet'!$B$9,Paramètres!$A$1:$I$89,3,0)*0.475*44/12</f>
        <v>0.26488871380928192</v>
      </c>
      <c r="AB164" s="21">
        <f>EXP(-LN(2)/2)*AB163+(1-EXP(-LN(2)/2))/(LN(2)/2)*V164*Y164*VLOOKUP('Données projet'!$B$9,Paramètres!$A$1:$I$89,3,0)*0.475*44/12</f>
        <v>1.7486141434203143E-19</v>
      </c>
      <c r="AC164" s="22">
        <f t="shared" si="163"/>
        <v>0.84843644196392065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319.22903094674564</v>
      </c>
      <c r="AO164" s="59">
        <f t="shared" si="144"/>
        <v>254.58690973142848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0.67793837058766782</v>
      </c>
      <c r="AV164" s="21">
        <f>EXP(-LN(2)/25)*AV163+(1-EXP(-LN(2)/25))/(LN(2)/25)*Calculateur!AQ164*Calculateur!AS164*VLOOKUP('Données projet'!$B$10,Paramètres!$A$1:$I$89,3,0)*0.475*44/12</f>
        <v>0.29507275375424019</v>
      </c>
      <c r="AW164" s="21">
        <f>EXP(-LN(2)/2)*AW163+(1-EXP(-LN(2)/2))/(LN(2)/2)*AQ164*AT164*VLOOKUP('Données projet'!$B$10,Paramètres!$A$1:$I$89,3,0)*0.475*44/12</f>
        <v>2.1165445561021407E-19</v>
      </c>
      <c r="AX164" s="21">
        <f t="shared" si="166"/>
        <v>0.97301112434190795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395.21779046720553</v>
      </c>
      <c r="BJ164" s="59">
        <f t="shared" si="146"/>
        <v>360.05900046417361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0.35939851636384995</v>
      </c>
      <c r="BQ164" s="21">
        <f>EXP(-LN(2)/25)*BQ163+(1-EXP(-LN(2)/25))/(LN(2)/25)*Calculateur!BL164*Calculateur!BN164*VLOOKUP('Données projet'!$B$11,Paramètres!$A$1:$I$89,3,0)*0.475*44/12</f>
        <v>0.29848195777523201</v>
      </c>
      <c r="BR164" s="21">
        <f>EXP(-LN(2)/2)*BR163+(1-EXP(-LN(2)/2))/(LN(2)/2)*BL164*BO164*VLOOKUP('Données projet'!$B$11,Paramètres!$A$1:$I$89,3,0)*0.475*44/12</f>
        <v>1.3411536996303973E-19</v>
      </c>
      <c r="BS164" s="22">
        <f t="shared" si="169"/>
        <v>0.65788047413908202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449.84356201138451</v>
      </c>
      <c r="CE164" s="59">
        <f t="shared" si="148"/>
        <v>306.61893266146666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0.61178390854921816</v>
      </c>
      <c r="CL164" s="21">
        <f>EXP(-LN(2)/25)*CL163+(1-EXP(-LN(2)/25))/(LN(2)/25)*Calculateur!CG164*Calculateur!CI164*VLOOKUP('Données projet'!$B$12,Paramètres!$A$1:$I$89,3,0)*0.475*44/12</f>
        <v>0.27770590963876318</v>
      </c>
      <c r="CM164" s="21">
        <f>EXP(-LN(2)/2)*CM163+(1-EXP(-LN(2)/2))/(LN(2)/2)*CG164*CJ164*VLOOKUP('Données projet'!$B$12,Paramètres!$A$1:$I$89,3,0)*0.475*44/12</f>
        <v>1.8332245051987161E-19</v>
      </c>
      <c r="CN164" s="22">
        <f t="shared" si="172"/>
        <v>0.88948981818798134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475.01366239340246</v>
      </c>
      <c r="CZ164" s="59">
        <f t="shared" si="150"/>
        <v>322.81767004794284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0.64943214907532287</v>
      </c>
      <c r="DG164" s="21">
        <f>EXP(-LN(2)/25)*DG163+(1-EXP(-LN(2)/25))/(LN(2)/25)*Calculateur!DB164*Calculateur!DD164*VLOOKUP('Données projet'!$B$13,Paramètres!$A$1:$I$89,3,0)*0.475*44/12</f>
        <v>0.29479550407807109</v>
      </c>
      <c r="DH164" s="21">
        <f>EXP(-LN(2)/2)*DH163+(1-EXP(-LN(2)/2))/(LN(2)/2)*DB164*DE164*VLOOKUP('Données projet'!$B$13,Paramètres!$A$1:$I$89,3,0)*0.475*44/12</f>
        <v>1.946038320903253E-19</v>
      </c>
      <c r="DI164" s="22">
        <f t="shared" si="175"/>
        <v>0.94422765315339396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2.0572770154103635E-13</v>
      </c>
      <c r="DQ164" s="13">
        <f t="shared" si="176"/>
        <v>2.8416956338469711E-12</v>
      </c>
      <c r="DR164" s="20">
        <f t="shared" si="177"/>
        <v>5.3075956424674458E-12</v>
      </c>
      <c r="DS164" s="59">
        <f t="shared" si="125"/>
        <v>293.3333333333386</v>
      </c>
      <c r="DT164" s="59">
        <f ca="1">AVERAGE(OFFSET($DS$3,0,0,'Données projet'!$E$14+1,1))-AVERAGE(OFFSET($H$3,0,0,'Données projet'!$E$14+1,1))</f>
        <v>436.23918637269577</v>
      </c>
      <c r="DU164" s="59">
        <f t="shared" si="152"/>
        <v>611.43967996341894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0.24604764866508508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9.0473617774706033E-20</v>
      </c>
      <c r="ED164" s="22">
        <f t="shared" si="178"/>
        <v>0.24604764866508508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430.94515308997018</v>
      </c>
      <c r="T165" s="59">
        <f t="shared" si="142"/>
        <v>294.45557293177131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0.5721047131344954</v>
      </c>
      <c r="AA165" s="21">
        <f>EXP(-LN(2)/25)*AA164+(1-EXP(-LN(2)/25))/(LN(2)/25)*Calculateur!V165*Calculateur!X165*VLOOKUP('Données projet'!$B$9,Paramètres!$A$1:$I$89,3,0)*0.475*44/12</f>
        <v>0.25764531800027507</v>
      </c>
      <c r="AB165" s="21">
        <f>EXP(-LN(2)/2)*AB164+(1-EXP(-LN(2)/2))/(LN(2)/2)*V165*Y165*VLOOKUP('Données projet'!$B$9,Paramètres!$A$1:$I$89,3,0)*0.475*44/12</f>
        <v>1.2364569184912104E-19</v>
      </c>
      <c r="AC165" s="22">
        <f t="shared" si="163"/>
        <v>0.82975003113477053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319.22903094674564</v>
      </c>
      <c r="AO165" s="59">
        <f t="shared" si="144"/>
        <v>254.58690973142848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0.66464441264201979</v>
      </c>
      <c r="AV165" s="21">
        <f>EXP(-LN(2)/25)*AV164+(1-EXP(-LN(2)/25))/(LN(2)/25)*Calculateur!AQ165*Calculateur!AS165*VLOOKUP('Données projet'!$B$10,Paramètres!$A$1:$I$89,3,0)*0.475*44/12</f>
        <v>0.28700397378562875</v>
      </c>
      <c r="AW165" s="21">
        <f>EXP(-LN(2)/2)*AW164+(1-EXP(-LN(2)/2))/(LN(2)/2)*AQ165*AT165*VLOOKUP('Données projet'!$B$10,Paramètres!$A$1:$I$89,3,0)*0.475*44/12</f>
        <v>1.4966230083032949E-19</v>
      </c>
      <c r="AX165" s="21">
        <f t="shared" si="166"/>
        <v>0.9516483864276486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395.21779046720553</v>
      </c>
      <c r="BJ165" s="59">
        <f t="shared" si="146"/>
        <v>360.05900046417361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0.35235093066940448</v>
      </c>
      <c r="BQ165" s="21">
        <f>EXP(-LN(2)/25)*BQ164+(1-EXP(-LN(2)/25))/(LN(2)/25)*Calculateur!BL165*Calculateur!BN165*VLOOKUP('Données projet'!$B$11,Paramètres!$A$1:$I$89,3,0)*0.475*44/12</f>
        <v>0.29031995294338431</v>
      </c>
      <c r="BR165" s="21">
        <f>EXP(-LN(2)/2)*BR164+(1-EXP(-LN(2)/2))/(LN(2)/2)*BL165*BO165*VLOOKUP('Données projet'!$B$11,Paramètres!$A$1:$I$89,3,0)*0.475*44/12</f>
        <v>9.4833887562208005E-20</v>
      </c>
      <c r="BS165" s="22">
        <f t="shared" si="169"/>
        <v>0.64267088361278879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449.84356201138451</v>
      </c>
      <c r="CE165" s="59">
        <f t="shared" si="148"/>
        <v>306.61893266146666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0.59978719925390656</v>
      </c>
      <c r="CL165" s="21">
        <f>EXP(-LN(2)/25)*CL164+(1-EXP(-LN(2)/25))/(LN(2)/25)*Calculateur!CG165*Calculateur!CI165*VLOOKUP('Données projet'!$B$12,Paramètres!$A$1:$I$89,3,0)*0.475*44/12</f>
        <v>0.27011202693577213</v>
      </c>
      <c r="CM165" s="21">
        <f>EXP(-LN(2)/2)*CM164+(1-EXP(-LN(2)/2))/(LN(2)/2)*CG165*CJ165*VLOOKUP('Données projet'!$B$12,Paramètres!$A$1:$I$89,3,0)*0.475*44/12</f>
        <v>1.2962854790633654E-19</v>
      </c>
      <c r="CN165" s="22">
        <f t="shared" si="172"/>
        <v>0.86989922618967874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475.01366239340246</v>
      </c>
      <c r="CZ165" s="59">
        <f t="shared" si="150"/>
        <v>322.81767004794284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0.63669718074645365</v>
      </c>
      <c r="DG165" s="21">
        <f>EXP(-LN(2)/25)*DG164+(1-EXP(-LN(2)/25))/(LN(2)/25)*Calculateur!DB165*Calculateur!DD165*VLOOKUP('Données projet'!$B$13,Paramètres!$A$1:$I$89,3,0)*0.475*44/12</f>
        <v>0.28673430551643442</v>
      </c>
      <c r="DH165" s="21">
        <f>EXP(-LN(2)/2)*DH164+(1-EXP(-LN(2)/2))/(LN(2)/2)*DB165*DE165*VLOOKUP('Données projet'!$B$13,Paramètres!$A$1:$I$89,3,0)*0.475*44/12</f>
        <v>1.3760568931595728E-19</v>
      </c>
      <c r="DI165" s="22">
        <f t="shared" si="175"/>
        <v>0.92343148626288807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2.0572770154103635E-13</v>
      </c>
      <c r="DQ165" s="13">
        <f t="shared" si="176"/>
        <v>2.8416956338469711E-12</v>
      </c>
      <c r="DR165" s="20">
        <f t="shared" si="177"/>
        <v>5.3075956424674458E-12</v>
      </c>
      <c r="DS165" s="59">
        <f t="shared" si="125"/>
        <v>293.3333333333386</v>
      </c>
      <c r="DT165" s="59">
        <f ca="1">AVERAGE(OFFSET($DS$3,0,0,'Données projet'!$E$14+1,1))-AVERAGE(OFFSET($H$3,0,0,'Données projet'!$E$14+1,1))</f>
        <v>436.23918637269577</v>
      </c>
      <c r="DU165" s="59">
        <f t="shared" si="152"/>
        <v>611.43967996341894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0.24122280434900983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6.3974508646974394E-20</v>
      </c>
      <c r="ED165" s="22">
        <f t="shared" si="178"/>
        <v>0.24122280434900983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430.94515308997018</v>
      </c>
      <c r="T166" s="59">
        <f t="shared" si="142"/>
        <v>294.45557293177131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0.56088608865934708</v>
      </c>
      <c r="AA166" s="21">
        <f>EXP(-LN(2)/25)*AA165+(1-EXP(-LN(2)/25))/(LN(2)/25)*Calculateur!V166*Calculateur!X166*VLOOKUP('Données projet'!$B$9,Paramètres!$A$1:$I$89,3,0)*0.475*44/12</f>
        <v>0.25059999323057913</v>
      </c>
      <c r="AB166" s="21">
        <f>EXP(-LN(2)/2)*AB165+(1-EXP(-LN(2)/2))/(LN(2)/2)*V166*Y166*VLOOKUP('Données projet'!$B$9,Paramètres!$A$1:$I$89,3,0)*0.475*44/12</f>
        <v>8.7430707171015713E-20</v>
      </c>
      <c r="AC166" s="22">
        <f t="shared" si="163"/>
        <v>0.81148608188992621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319.22903094674564</v>
      </c>
      <c r="AO166" s="59">
        <f t="shared" si="144"/>
        <v>254.58690973142848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0.6516111411031722</v>
      </c>
      <c r="AV166" s="21">
        <f>EXP(-LN(2)/25)*AV165+(1-EXP(-LN(2)/25))/(LN(2)/25)*Calculateur!AQ166*Calculateur!AS166*VLOOKUP('Données projet'!$B$10,Paramètres!$A$1:$I$89,3,0)*0.475*44/12</f>
        <v>0.27915583502957769</v>
      </c>
      <c r="AW166" s="21">
        <f>EXP(-LN(2)/2)*AW165+(1-EXP(-LN(2)/2))/(LN(2)/2)*AQ166*AT166*VLOOKUP('Données projet'!$B$10,Paramètres!$A$1:$I$89,3,0)*0.475*44/12</f>
        <v>1.0582722780510705E-19</v>
      </c>
      <c r="AX166" s="21">
        <f t="shared" si="166"/>
        <v>0.93076697613274995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395.21779046720553</v>
      </c>
      <c r="BJ166" s="59">
        <f t="shared" si="146"/>
        <v>360.05900046417361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0.34544154383182429</v>
      </c>
      <c r="BQ166" s="21">
        <f>EXP(-LN(2)/25)*BQ165+(1-EXP(-LN(2)/25))/(LN(2)/25)*Calculateur!BL166*Calculateur!BN166*VLOOKUP('Données projet'!$B$11,Paramètres!$A$1:$I$89,3,0)*0.475*44/12</f>
        <v>0.28238113856288466</v>
      </c>
      <c r="BR166" s="21">
        <f>EXP(-LN(2)/2)*BR165+(1-EXP(-LN(2)/2))/(LN(2)/2)*BL166*BO166*VLOOKUP('Données projet'!$B$11,Paramètres!$A$1:$I$89,3,0)*0.475*44/12</f>
        <v>6.7057684981519865E-20</v>
      </c>
      <c r="BS166" s="22">
        <f t="shared" si="169"/>
        <v>0.62782268239470895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449.84356201138451</v>
      </c>
      <c r="CE166" s="59">
        <f t="shared" si="148"/>
        <v>306.61893266146666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0.58802573811060588</v>
      </c>
      <c r="CL166" s="21">
        <f>EXP(-LN(2)/25)*CL165+(1-EXP(-LN(2)/25))/(LN(2)/25)*Calculateur!CG166*Calculateur!CI166*VLOOKUP('Données projet'!$B$12,Paramètres!$A$1:$I$89,3,0)*0.475*44/12</f>
        <v>0.2627257993546393</v>
      </c>
      <c r="CM166" s="21">
        <f>EXP(-LN(2)/2)*CM165+(1-EXP(-LN(2)/2))/(LN(2)/2)*CG166*CJ166*VLOOKUP('Données projet'!$B$12,Paramètres!$A$1:$I$89,3,0)*0.475*44/12</f>
        <v>9.1661225259935806E-20</v>
      </c>
      <c r="CN166" s="22">
        <f t="shared" si="172"/>
        <v>0.85075153746524523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475.01366239340246</v>
      </c>
      <c r="CZ166" s="59">
        <f t="shared" si="150"/>
        <v>322.81767004794284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0.62421193737894987</v>
      </c>
      <c r="DG166" s="21">
        <f>EXP(-LN(2)/25)*DG165+(1-EXP(-LN(2)/25))/(LN(2)/25)*Calculateur!DB166*Calculateur!DD166*VLOOKUP('Données projet'!$B$13,Paramètres!$A$1:$I$89,3,0)*0.475*44/12</f>
        <v>0.27889354085338575</v>
      </c>
      <c r="DH166" s="21">
        <f>EXP(-LN(2)/2)*DH165+(1-EXP(-LN(2)/2))/(LN(2)/2)*DB166*DE166*VLOOKUP('Données projet'!$B$13,Paramètres!$A$1:$I$89,3,0)*0.475*44/12</f>
        <v>9.7301916045162649E-20</v>
      </c>
      <c r="DI166" s="22">
        <f t="shared" si="175"/>
        <v>0.90310547823233556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2.0572770154103635E-13</v>
      </c>
      <c r="DQ166" s="13">
        <f t="shared" si="176"/>
        <v>2.8416956338469711E-12</v>
      </c>
      <c r="DR166" s="20">
        <f t="shared" si="177"/>
        <v>5.3075956424674458E-12</v>
      </c>
      <c r="DS166" s="59">
        <f t="shared" si="125"/>
        <v>293.3333333333386</v>
      </c>
      <c r="DT166" s="59">
        <f ca="1">AVERAGE(OFFSET($DS$3,0,0,'Données projet'!$E$14+1,1))-AVERAGE(OFFSET($H$3,0,0,'Données projet'!$E$14+1,1))</f>
        <v>436.23918637269577</v>
      </c>
      <c r="DU166" s="59">
        <f t="shared" si="152"/>
        <v>611.43967996341894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0.23649257228710838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4.5236808887353016E-20</v>
      </c>
      <c r="ED166" s="22">
        <f t="shared" si="178"/>
        <v>0.23649257228710838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430.94515308997018</v>
      </c>
      <c r="T167" s="59">
        <f t="shared" si="142"/>
        <v>294.45557293177131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0.54988745456747112</v>
      </c>
      <c r="AA167" s="21">
        <f>EXP(-LN(2)/25)*AA166+(1-EXP(-LN(2)/25))/(LN(2)/25)*Calculateur!V167*Calculateur!X167*VLOOKUP('Données projet'!$B$9,Paramètres!$A$1:$I$89,3,0)*0.475*44/12</f>
        <v>0.24374732323720805</v>
      </c>
      <c r="AB167" s="21">
        <f>EXP(-LN(2)/2)*AB166+(1-EXP(-LN(2)/2))/(LN(2)/2)*V167*Y167*VLOOKUP('Données projet'!$B$9,Paramètres!$A$1:$I$89,3,0)*0.475*44/12</f>
        <v>6.1822845924560518E-20</v>
      </c>
      <c r="AC167" s="22">
        <f t="shared" si="163"/>
        <v>0.79363477780467917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319.22903094674564</v>
      </c>
      <c r="AO167" s="59">
        <f t="shared" si="144"/>
        <v>254.58690973142848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0.63883344406969078</v>
      </c>
      <c r="AV167" s="21">
        <f>EXP(-LN(2)/25)*AV166+(1-EXP(-LN(2)/25))/(LN(2)/25)*Calculateur!AQ167*Calculateur!AS167*VLOOKUP('Données projet'!$B$10,Paramètres!$A$1:$I$89,3,0)*0.475*44/12</f>
        <v>0.27152230404052652</v>
      </c>
      <c r="AW167" s="21">
        <f>EXP(-LN(2)/2)*AW166+(1-EXP(-LN(2)/2))/(LN(2)/2)*AQ167*AT167*VLOOKUP('Données projet'!$B$10,Paramètres!$A$1:$I$89,3,0)*0.475*44/12</f>
        <v>7.4831150415164756E-20</v>
      </c>
      <c r="AX167" s="21">
        <f t="shared" si="166"/>
        <v>0.91035574811021736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395.21779046720553</v>
      </c>
      <c r="BJ167" s="59">
        <f t="shared" si="146"/>
        <v>360.05900046417361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0.33866764585581921</v>
      </c>
      <c r="BQ167" s="21">
        <f>EXP(-LN(2)/25)*BQ166+(1-EXP(-LN(2)/25))/(LN(2)/25)*Calculateur!BL167*Calculateur!BN167*VLOOKUP('Données projet'!$B$11,Paramètres!$A$1:$I$89,3,0)*0.475*44/12</f>
        <v>0.27465941147910389</v>
      </c>
      <c r="BR167" s="21">
        <f>EXP(-LN(2)/2)*BR166+(1-EXP(-LN(2)/2))/(LN(2)/2)*BL167*BO167*VLOOKUP('Données projet'!$B$11,Paramètres!$A$1:$I$89,3,0)*0.475*44/12</f>
        <v>4.7416943781104003E-20</v>
      </c>
      <c r="BS167" s="22">
        <f t="shared" si="169"/>
        <v>0.6133270573349231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449.84356201138451</v>
      </c>
      <c r="CE167" s="59">
        <f t="shared" si="148"/>
        <v>306.61893266146666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0.57649491204654235</v>
      </c>
      <c r="CL167" s="21">
        <f>EXP(-LN(2)/25)*CL166+(1-EXP(-LN(2)/25))/(LN(2)/25)*Calculateur!CG167*Calculateur!CI167*VLOOKUP('Données projet'!$B$12,Paramètres!$A$1:$I$89,3,0)*0.475*44/12</f>
        <v>0.25554154855513739</v>
      </c>
      <c r="CM167" s="21">
        <f>EXP(-LN(2)/2)*CM166+(1-EXP(-LN(2)/2))/(LN(2)/2)*CG167*CJ167*VLOOKUP('Données projet'!$B$12,Paramètres!$A$1:$I$89,3,0)*0.475*44/12</f>
        <v>6.481427395316827E-20</v>
      </c>
      <c r="CN167" s="22">
        <f t="shared" si="172"/>
        <v>0.83203646060167968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475.01366239340246</v>
      </c>
      <c r="CZ167" s="59">
        <f t="shared" si="150"/>
        <v>322.81767004794284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0.61197152201863636</v>
      </c>
      <c r="DG167" s="21">
        <f>EXP(-LN(2)/25)*DG166+(1-EXP(-LN(2)/25))/(LN(2)/25)*Calculateur!DB167*Calculateur!DD167*VLOOKUP('Données projet'!$B$13,Paramètres!$A$1:$I$89,3,0)*0.475*44/12</f>
        <v>0.27126718231237601</v>
      </c>
      <c r="DH167" s="21">
        <f>EXP(-LN(2)/2)*DH166+(1-EXP(-LN(2)/2))/(LN(2)/2)*DB167*DE167*VLOOKUP('Données projet'!$B$13,Paramètres!$A$1:$I$89,3,0)*0.475*44/12</f>
        <v>6.8802844657978642E-20</v>
      </c>
      <c r="DI167" s="22">
        <f t="shared" si="175"/>
        <v>0.88323870433101237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2.0572770154103635E-13</v>
      </c>
      <c r="DQ167" s="13">
        <f t="shared" si="176"/>
        <v>2.8416956338469711E-12</v>
      </c>
      <c r="DR167" s="20">
        <f t="shared" si="177"/>
        <v>5.3075956424674458E-12</v>
      </c>
      <c r="DS167" s="59">
        <f t="shared" si="125"/>
        <v>293.3333333333386</v>
      </c>
      <c r="DT167" s="59">
        <f ca="1">AVERAGE(OFFSET($DS$3,0,0,'Données projet'!$E$14+1,1))-AVERAGE(OFFSET($H$3,0,0,'Données projet'!$E$14+1,1))</f>
        <v>436.23918637269577</v>
      </c>
      <c r="DU167" s="59">
        <f t="shared" si="152"/>
        <v>611.43967996341894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0.23185509719078415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3.1987254323487197E-20</v>
      </c>
      <c r="ED167" s="22">
        <f t="shared" si="178"/>
        <v>0.23185509719078415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430.94515308997018</v>
      </c>
      <c r="T168" s="59">
        <f t="shared" si="142"/>
        <v>294.45557293177131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0.53910449698163243</v>
      </c>
      <c r="AA168" s="21">
        <f>EXP(-LN(2)/25)*AA167+(1-EXP(-LN(2)/25))/(LN(2)/25)*Calculateur!V168*Calculateur!X168*VLOOKUP('Données projet'!$B$9,Paramètres!$A$1:$I$89,3,0)*0.475*44/12</f>
        <v>0.23708203986517196</v>
      </c>
      <c r="AB168" s="21">
        <f>EXP(-LN(2)/2)*AB167+(1-EXP(-LN(2)/2))/(LN(2)/2)*V168*Y168*VLOOKUP('Données projet'!$B$9,Paramètres!$A$1:$I$89,3,0)*0.475*44/12</f>
        <v>4.3715353585507856E-20</v>
      </c>
      <c r="AC168" s="22">
        <f t="shared" si="163"/>
        <v>0.77618653684680439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319.22903094674564</v>
      </c>
      <c r="AO168" s="59">
        <f t="shared" si="144"/>
        <v>254.58690973142848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0.62630630988141034</v>
      </c>
      <c r="AV168" s="21">
        <f>EXP(-LN(2)/25)*AV167+(1-EXP(-LN(2)/25))/(LN(2)/25)*Calculateur!AQ168*Calculateur!AS168*VLOOKUP('Données projet'!$B$10,Paramètres!$A$1:$I$89,3,0)*0.475*44/12</f>
        <v>0.26409751235780093</v>
      </c>
      <c r="AW168" s="21">
        <f>EXP(-LN(2)/2)*AW167+(1-EXP(-LN(2)/2))/(LN(2)/2)*AQ168*AT168*VLOOKUP('Données projet'!$B$10,Paramètres!$A$1:$I$89,3,0)*0.475*44/12</f>
        <v>5.2913613902553535E-20</v>
      </c>
      <c r="AX168" s="21">
        <f t="shared" si="166"/>
        <v>0.89040382223921122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395.21779046720553</v>
      </c>
      <c r="BJ168" s="59">
        <f t="shared" si="146"/>
        <v>360.05900046417361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0.33202657988745377</v>
      </c>
      <c r="BQ168" s="21">
        <f>EXP(-LN(2)/25)*BQ167+(1-EXP(-LN(2)/25))/(LN(2)/25)*Calculateur!BL168*Calculateur!BN168*VLOOKUP('Données projet'!$B$11,Paramètres!$A$1:$I$89,3,0)*0.475*44/12</f>
        <v>0.2671488354284971</v>
      </c>
      <c r="BR168" s="21">
        <f>EXP(-LN(2)/2)*BR167+(1-EXP(-LN(2)/2))/(LN(2)/2)*BL168*BO168*VLOOKUP('Données projet'!$B$11,Paramètres!$A$1:$I$89,3,0)*0.475*44/12</f>
        <v>3.3528842490759933E-20</v>
      </c>
      <c r="BS168" s="22">
        <f t="shared" si="169"/>
        <v>0.59917541531595087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449.84356201138451</v>
      </c>
      <c r="CE168" s="59">
        <f t="shared" si="148"/>
        <v>306.61893266146666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0.56519019844848573</v>
      </c>
      <c r="CL168" s="21">
        <f>EXP(-LN(2)/25)*CL167+(1-EXP(-LN(2)/25))/(LN(2)/25)*Calculateur!CG168*Calculateur!CI168*VLOOKUP('Données projet'!$B$12,Paramètres!$A$1:$I$89,3,0)*0.475*44/12</f>
        <v>0.24855375147155118</v>
      </c>
      <c r="CM168" s="21">
        <f>EXP(-LN(2)/2)*CM167+(1-EXP(-LN(2)/2))/(LN(2)/2)*CG168*CJ168*VLOOKUP('Données projet'!$B$12,Paramètres!$A$1:$I$89,3,0)*0.475*44/12</f>
        <v>4.5830612629967903E-20</v>
      </c>
      <c r="CN168" s="22">
        <f t="shared" si="172"/>
        <v>0.81374394992003696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475.01366239340246</v>
      </c>
      <c r="CZ168" s="59">
        <f t="shared" si="150"/>
        <v>322.81767004794284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0.59997113373762245</v>
      </c>
      <c r="DG168" s="21">
        <f>EXP(-LN(2)/25)*DG167+(1-EXP(-LN(2)/25))/(LN(2)/25)*Calculateur!DB168*Calculateur!DD168*VLOOKUP('Données projet'!$B$13,Paramètres!$A$1:$I$89,3,0)*0.475*44/12</f>
        <v>0.26384936694672295</v>
      </c>
      <c r="DH168" s="21">
        <f>EXP(-LN(2)/2)*DH167+(1-EXP(-LN(2)/2))/(LN(2)/2)*DB168*DE168*VLOOKUP('Données projet'!$B$13,Paramètres!$A$1:$I$89,3,0)*0.475*44/12</f>
        <v>4.8650958022581325E-20</v>
      </c>
      <c r="DI168" s="22">
        <f t="shared" si="175"/>
        <v>0.86382050068434535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2.0572770154103635E-13</v>
      </c>
      <c r="DQ168" s="13">
        <f t="shared" si="176"/>
        <v>2.8416956338469711E-12</v>
      </c>
      <c r="DR168" s="20">
        <f t="shared" si="177"/>
        <v>5.3075956424674458E-12</v>
      </c>
      <c r="DS168" s="59">
        <f t="shared" si="125"/>
        <v>293.3333333333386</v>
      </c>
      <c r="DT168" s="59">
        <f ca="1">AVERAGE(OFFSET($DS$3,0,0,'Données projet'!$E$14+1,1))-AVERAGE(OFFSET($H$3,0,0,'Données projet'!$E$14+1,1))</f>
        <v>436.23918637269577</v>
      </c>
      <c r="DU168" s="59">
        <f t="shared" si="152"/>
        <v>611.43967996341894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0.22730856015251832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2.2618404443676508E-20</v>
      </c>
      <c r="ED168" s="22">
        <f t="shared" si="178"/>
        <v>0.22730856015251832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430.94515308997018</v>
      </c>
      <c r="T169" s="59">
        <f t="shared" si="142"/>
        <v>294.45557293177131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0.52853298661709736</v>
      </c>
      <c r="AA169" s="21">
        <f>EXP(-LN(2)/25)*AA168+(1-EXP(-LN(2)/25))/(LN(2)/25)*Calculateur!V169*Calculateur!X169*VLOOKUP('Données projet'!$B$9,Paramètres!$A$1:$I$89,3,0)*0.475*44/12</f>
        <v>0.23059901901745622</v>
      </c>
      <c r="AB169" s="21">
        <f>EXP(-LN(2)/2)*AB168+(1-EXP(-LN(2)/2))/(LN(2)/2)*V169*Y169*VLOOKUP('Données projet'!$B$9,Paramètres!$A$1:$I$89,3,0)*0.475*44/12</f>
        <v>3.0911422962280259E-20</v>
      </c>
      <c r="AC169" s="22">
        <f t="shared" si="163"/>
        <v>0.75913200563455363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319.22903094674564</v>
      </c>
      <c r="AO169" s="59">
        <f t="shared" si="144"/>
        <v>254.58690973142848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0.61402482515376466</v>
      </c>
      <c r="AV169" s="21">
        <f>EXP(-LN(2)/25)*AV168+(1-EXP(-LN(2)/25))/(LN(2)/25)*Calculateur!AQ169*Calculateur!AS169*VLOOKUP('Données projet'!$B$10,Paramètres!$A$1:$I$89,3,0)*0.475*44/12</f>
        <v>0.25687575199409229</v>
      </c>
      <c r="AW169" s="21">
        <f>EXP(-LN(2)/2)*AW168+(1-EXP(-LN(2)/2))/(LN(2)/2)*AQ169*AT169*VLOOKUP('Données projet'!$B$10,Paramètres!$A$1:$I$89,3,0)*0.475*44/12</f>
        <v>3.7415575207582384E-20</v>
      </c>
      <c r="AX169" s="21">
        <f t="shared" si="166"/>
        <v>0.87090057714785696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395.21779046720553</v>
      </c>
      <c r="BJ169" s="59">
        <f t="shared" si="146"/>
        <v>360.05900046417361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0.32551574117207771</v>
      </c>
      <c r="BQ169" s="21">
        <f>EXP(-LN(2)/25)*BQ168+(1-EXP(-LN(2)/25))/(LN(2)/25)*Calculateur!BL169*Calculateur!BN169*VLOOKUP('Données projet'!$B$11,Paramètres!$A$1:$I$89,3,0)*0.475*44/12</f>
        <v>0.25984363647495817</v>
      </c>
      <c r="BR169" s="21">
        <f>EXP(-LN(2)/2)*BR168+(1-EXP(-LN(2)/2))/(LN(2)/2)*BL169*BO169*VLOOKUP('Données projet'!$B$11,Paramètres!$A$1:$I$89,3,0)*0.475*44/12</f>
        <v>2.3708471890552001E-20</v>
      </c>
      <c r="BS169" s="22">
        <f t="shared" si="169"/>
        <v>0.58535937764703583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449.84356201138451</v>
      </c>
      <c r="CE169" s="59">
        <f t="shared" si="148"/>
        <v>306.61893266146666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0.55410716338889254</v>
      </c>
      <c r="CL169" s="21">
        <f>EXP(-LN(2)/25)*CL168+(1-EXP(-LN(2)/25))/(LN(2)/25)*Calculateur!CG169*Calculateur!CI169*VLOOKUP('Données projet'!$B$12,Paramètres!$A$1:$I$89,3,0)*0.475*44/12</f>
        <v>0.24175703606668789</v>
      </c>
      <c r="CM169" s="21">
        <f>EXP(-LN(2)/2)*CM168+(1-EXP(-LN(2)/2))/(LN(2)/2)*CG169*CJ169*VLOOKUP('Données projet'!$B$12,Paramètres!$A$1:$I$89,3,0)*0.475*44/12</f>
        <v>3.2407136976584135E-20</v>
      </c>
      <c r="CN169" s="22">
        <f t="shared" si="172"/>
        <v>0.7958641994555804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475.01366239340246</v>
      </c>
      <c r="CZ169" s="59">
        <f t="shared" si="150"/>
        <v>322.81767004794284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0.58820606575128509</v>
      </c>
      <c r="DG169" s="21">
        <f>EXP(-LN(2)/25)*DG168+(1-EXP(-LN(2)/25))/(LN(2)/25)*Calculateur!DB169*Calculateur!DD169*VLOOKUP('Données projet'!$B$13,Paramètres!$A$1:$I$89,3,0)*0.475*44/12</f>
        <v>0.25663439213232964</v>
      </c>
      <c r="DH169" s="21">
        <f>EXP(-LN(2)/2)*DH168+(1-EXP(-LN(2)/2))/(LN(2)/2)*DB169*DE169*VLOOKUP('Données projet'!$B$13,Paramètres!$A$1:$I$89,3,0)*0.475*44/12</f>
        <v>3.4401422328989321E-20</v>
      </c>
      <c r="DI169" s="22">
        <f t="shared" si="175"/>
        <v>0.84484045788361473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2.0572770154103635E-13</v>
      </c>
      <c r="DQ169" s="13">
        <f t="shared" si="176"/>
        <v>2.8416956338469711E-12</v>
      </c>
      <c r="DR169" s="20">
        <f t="shared" si="177"/>
        <v>5.3075956424674458E-12</v>
      </c>
      <c r="DS169" s="59">
        <f t="shared" si="125"/>
        <v>293.3333333333386</v>
      </c>
      <c r="DT169" s="59">
        <f ca="1">AVERAGE(OFFSET($DS$3,0,0,'Données projet'!$E$14+1,1))-AVERAGE(OFFSET($H$3,0,0,'Données projet'!$E$14+1,1))</f>
        <v>436.23918637269577</v>
      </c>
      <c r="DU169" s="59">
        <f t="shared" si="152"/>
        <v>611.43967996341894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0.22285117793245912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1.5993627161743599E-20</v>
      </c>
      <c r="ED169" s="22">
        <f t="shared" si="178"/>
        <v>0.22285117793245912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430.94515308997018</v>
      </c>
      <c r="T170" s="59">
        <f t="shared" si="142"/>
        <v>294.45557293177131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0.51816877712282616</v>
      </c>
      <c r="AA170" s="21">
        <f>EXP(-LN(2)/25)*AA169+(1-EXP(-LN(2)/25))/(LN(2)/25)*Calculateur!V170*Calculateur!X170*VLOOKUP('Données projet'!$B$9,Paramètres!$A$1:$I$89,3,0)*0.475*44/12</f>
        <v>0.2242932767157485</v>
      </c>
      <c r="AB170" s="21">
        <f>EXP(-LN(2)/2)*AB169+(1-EXP(-LN(2)/2))/(LN(2)/2)*V170*Y170*VLOOKUP('Données projet'!$B$9,Paramètres!$A$1:$I$89,3,0)*0.475*44/12</f>
        <v>2.1857676792753928E-20</v>
      </c>
      <c r="AC170" s="22">
        <f t="shared" si="163"/>
        <v>0.74246205383857466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319.22903094674564</v>
      </c>
      <c r="AO170" s="59">
        <f t="shared" si="144"/>
        <v>254.58690973142848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0.60198417285066208</v>
      </c>
      <c r="AV170" s="21">
        <f>EXP(-LN(2)/25)*AV169+(1-EXP(-LN(2)/25))/(LN(2)/25)*Calculateur!AQ170*Calculateur!AS170*VLOOKUP('Données projet'!$B$10,Paramètres!$A$1:$I$89,3,0)*0.475*44/12</f>
        <v>0.24985147104730515</v>
      </c>
      <c r="AW170" s="21">
        <f>EXP(-LN(2)/2)*AW169+(1-EXP(-LN(2)/2))/(LN(2)/2)*AQ170*AT170*VLOOKUP('Données projet'!$B$10,Paramètres!$A$1:$I$89,3,0)*0.475*44/12</f>
        <v>2.645680695127677E-20</v>
      </c>
      <c r="AX170" s="21">
        <f t="shared" si="166"/>
        <v>0.85183564389796729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395.21779046720553</v>
      </c>
      <c r="BJ170" s="59">
        <f t="shared" si="146"/>
        <v>360.05900046417361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0.31913257603269068</v>
      </c>
      <c r="BQ170" s="21">
        <f>EXP(-LN(2)/25)*BQ169+(1-EXP(-LN(2)/25))/(LN(2)/25)*Calculateur!BL170*Calculateur!BN170*VLOOKUP('Données projet'!$B$11,Paramètres!$A$1:$I$89,3,0)*0.475*44/12</f>
        <v>0.25273819857096746</v>
      </c>
      <c r="BR170" s="21">
        <f>EXP(-LN(2)/2)*BR169+(1-EXP(-LN(2)/2))/(LN(2)/2)*BL170*BO170*VLOOKUP('Données projet'!$B$11,Paramètres!$A$1:$I$89,3,0)*0.475*44/12</f>
        <v>1.6764421245379966E-20</v>
      </c>
      <c r="BS170" s="22">
        <f t="shared" si="169"/>
        <v>0.57187077460365821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449.84356201138451</v>
      </c>
      <c r="CE170" s="59">
        <f t="shared" si="148"/>
        <v>306.61893266146666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0.54324145988683403</v>
      </c>
      <c r="CL170" s="21">
        <f>EXP(-LN(2)/25)*CL169+(1-EXP(-LN(2)/25))/(LN(2)/25)*Calculateur!CG170*Calculateur!CI170*VLOOKUP('Données projet'!$B$12,Paramètres!$A$1:$I$89,3,0)*0.475*44/12</f>
        <v>0.23514617720199432</v>
      </c>
      <c r="CM170" s="21">
        <f>EXP(-LN(2)/2)*CM169+(1-EXP(-LN(2)/2))/(LN(2)/2)*CG170*CJ170*VLOOKUP('Données projet'!$B$12,Paramètres!$A$1:$I$89,3,0)*0.475*44/12</f>
        <v>2.2915306314983952E-20</v>
      </c>
      <c r="CN170" s="22">
        <f t="shared" si="172"/>
        <v>0.7783876370888283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475.01366239340246</v>
      </c>
      <c r="CZ170" s="59">
        <f t="shared" si="150"/>
        <v>322.81767004794284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0.5766717035721769</v>
      </c>
      <c r="DG170" s="21">
        <f>EXP(-LN(2)/25)*DG169+(1-EXP(-LN(2)/25))/(LN(2)/25)*Calculateur!DB170*Calculateur!DD170*VLOOKUP('Données projet'!$B$13,Paramètres!$A$1:$I$89,3,0)*0.475*44/12</f>
        <v>0.24961671118365494</v>
      </c>
      <c r="DH170" s="21">
        <f>EXP(-LN(2)/2)*DH169+(1-EXP(-LN(2)/2))/(LN(2)/2)*DB170*DE170*VLOOKUP('Données projet'!$B$13,Paramètres!$A$1:$I$89,3,0)*0.475*44/12</f>
        <v>2.4325479011290662E-20</v>
      </c>
      <c r="DI170" s="22">
        <f t="shared" si="175"/>
        <v>0.82628841475583181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2.0572770154103635E-13</v>
      </c>
      <c r="DQ170" s="13">
        <f t="shared" si="176"/>
        <v>2.8416956338469711E-12</v>
      </c>
      <c r="DR170" s="20">
        <f t="shared" si="177"/>
        <v>5.3075956424674458E-12</v>
      </c>
      <c r="DS170" s="59">
        <f t="shared" si="125"/>
        <v>293.3333333333386</v>
      </c>
      <c r="DT170" s="59">
        <f ca="1">AVERAGE(OFFSET($DS$3,0,0,'Données projet'!$E$14+1,1))-AVERAGE(OFFSET($H$3,0,0,'Données projet'!$E$14+1,1))</f>
        <v>436.23918637269577</v>
      </c>
      <c r="DU170" s="59">
        <f t="shared" si="152"/>
        <v>611.43967996341894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0.21848120225900058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1.1309202221838254E-20</v>
      </c>
      <c r="ED170" s="22">
        <f t="shared" si="178"/>
        <v>0.21848120225900058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430.94515308997018</v>
      </c>
      <c r="T171" s="59">
        <f t="shared" si="142"/>
        <v>294.45557293177131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0.50800780345519403</v>
      </c>
      <c r="AA171" s="21">
        <f>EXP(-LN(2)/25)*AA170+(1-EXP(-LN(2)/25))/(LN(2)/25)*Calculateur!V171*Calculateur!X171*VLOOKUP('Données projet'!$B$9,Paramètres!$A$1:$I$89,3,0)*0.475*44/12</f>
        <v>0.21815996526888556</v>
      </c>
      <c r="AB171" s="21">
        <f>EXP(-LN(2)/2)*AB170+(1-EXP(-LN(2)/2))/(LN(2)/2)*V171*Y171*VLOOKUP('Données projet'!$B$9,Paramètres!$A$1:$I$89,3,0)*0.475*44/12</f>
        <v>1.545571148114013E-20</v>
      </c>
      <c r="AC171" s="22">
        <f t="shared" si="163"/>
        <v>0.72616776872407962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319.22903094674564</v>
      </c>
      <c r="AO171" s="59">
        <f t="shared" si="144"/>
        <v>254.58690973142848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0.59017963039515065</v>
      </c>
      <c r="AV171" s="21">
        <f>EXP(-LN(2)/25)*AV170+(1-EXP(-LN(2)/25))/(LN(2)/25)*Calculateur!AQ171*Calculateur!AS171*VLOOKUP('Données projet'!$B$10,Paramètres!$A$1:$I$89,3,0)*0.475*44/12</f>
        <v>0.24301926943239877</v>
      </c>
      <c r="AW171" s="21">
        <f>EXP(-LN(2)/2)*AW170+(1-EXP(-LN(2)/2))/(LN(2)/2)*AQ171*AT171*VLOOKUP('Données projet'!$B$10,Paramètres!$A$1:$I$89,3,0)*0.475*44/12</f>
        <v>1.8707787603791195E-20</v>
      </c>
      <c r="AX171" s="21">
        <f t="shared" si="166"/>
        <v>0.83319889982754947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395.21779046720553</v>
      </c>
      <c r="BJ171" s="59">
        <f t="shared" si="146"/>
        <v>360.05900046417361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0.31287458086834075</v>
      </c>
      <c r="BQ171" s="21">
        <f>EXP(-LN(2)/25)*BQ170+(1-EXP(-LN(2)/25))/(LN(2)/25)*Calculateur!BL171*Calculateur!BN171*VLOOKUP('Données projet'!$B$11,Paramètres!$A$1:$I$89,3,0)*0.475*44/12</f>
        <v>0.24582705924012013</v>
      </c>
      <c r="BR171" s="21">
        <f>EXP(-LN(2)/2)*BR170+(1-EXP(-LN(2)/2))/(LN(2)/2)*BL171*BO171*VLOOKUP('Données projet'!$B$11,Paramètres!$A$1:$I$89,3,0)*0.475*44/12</f>
        <v>1.1854235945276001E-20</v>
      </c>
      <c r="BS171" s="22">
        <f t="shared" si="169"/>
        <v>0.55870164010846091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449.84356201138451</v>
      </c>
      <c r="CE171" s="59">
        <f t="shared" si="148"/>
        <v>306.61893266146666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0.53258882620302617</v>
      </c>
      <c r="CL171" s="21">
        <f>EXP(-LN(2)/25)*CL170+(1-EXP(-LN(2)/25))/(LN(2)/25)*Calculateur!CG171*Calculateur!CI171*VLOOKUP('Données projet'!$B$12,Paramètres!$A$1:$I$89,3,0)*0.475*44/12</f>
        <v>0.22871609262060577</v>
      </c>
      <c r="CM171" s="21">
        <f>EXP(-LN(2)/2)*CM170+(1-EXP(-LN(2)/2))/(LN(2)/2)*CG171*CJ171*VLOOKUP('Données projet'!$B$12,Paramètres!$A$1:$I$89,3,0)*0.475*44/12</f>
        <v>1.6203568488292068E-20</v>
      </c>
      <c r="CN171" s="22">
        <f t="shared" si="172"/>
        <v>0.76130491882363194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475.01366239340246</v>
      </c>
      <c r="CZ171" s="59">
        <f t="shared" si="150"/>
        <v>322.81767004794284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0.56536352320013472</v>
      </c>
      <c r="DG171" s="21">
        <f>EXP(-LN(2)/25)*DG170+(1-EXP(-LN(2)/25))/(LN(2)/25)*Calculateur!DB171*Calculateur!DD171*VLOOKUP('Données projet'!$B$13,Paramètres!$A$1:$I$89,3,0)*0.475*44/12</f>
        <v>0.24279092908956557</v>
      </c>
      <c r="DH171" s="21">
        <f>EXP(-LN(2)/2)*DH170+(1-EXP(-LN(2)/2))/(LN(2)/2)*DB171*DE171*VLOOKUP('Données projet'!$B$13,Paramètres!$A$1:$I$89,3,0)*0.475*44/12</f>
        <v>1.7200711164494661E-20</v>
      </c>
      <c r="DI171" s="22">
        <f t="shared" si="175"/>
        <v>0.80815445228970029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2.0572770154103635E-13</v>
      </c>
      <c r="DQ171" s="13">
        <f t="shared" si="176"/>
        <v>2.8416956338469711E-12</v>
      </c>
      <c r="DR171" s="20">
        <f t="shared" si="177"/>
        <v>5.3075956424674458E-12</v>
      </c>
      <c r="DS171" s="59">
        <f t="shared" si="125"/>
        <v>293.3333333333386</v>
      </c>
      <c r="DT171" s="59">
        <f ca="1">AVERAGE(OFFSET($DS$3,0,0,'Données projet'!$E$14+1,1))-AVERAGE(OFFSET($H$3,0,0,'Données projet'!$E$14+1,1))</f>
        <v>436.23918637269577</v>
      </c>
      <c r="DU171" s="59">
        <f t="shared" si="152"/>
        <v>611.43967996341894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0.21419691914307659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7.9968135808717993E-21</v>
      </c>
      <c r="ED171" s="22">
        <f t="shared" si="178"/>
        <v>0.21419691914307659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430.94515308997018</v>
      </c>
      <c r="T172" s="59">
        <f t="shared" si="142"/>
        <v>294.45557293177131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0.4980460802836022</v>
      </c>
      <c r="AA172" s="21">
        <f>EXP(-LN(2)/25)*AA171+(1-EXP(-LN(2)/25))/(LN(2)/25)*Calculateur!V172*Calculateur!X172*VLOOKUP('Données projet'!$B$9,Paramètres!$A$1:$I$89,3,0)*0.475*44/12</f>
        <v>0.21219436954607393</v>
      </c>
      <c r="AB172" s="21">
        <f>EXP(-LN(2)/2)*AB171+(1-EXP(-LN(2)/2))/(LN(2)/2)*V172*Y172*VLOOKUP('Données projet'!$B$9,Paramètres!$A$1:$I$89,3,0)*0.475*44/12</f>
        <v>1.0928838396376964E-20</v>
      </c>
      <c r="AC172" s="22">
        <f t="shared" si="163"/>
        <v>0.71024044982967616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319.22903094674564</v>
      </c>
      <c r="AO172" s="59">
        <f t="shared" si="144"/>
        <v>254.58690973142848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0.57860656781713182</v>
      </c>
      <c r="AV172" s="21">
        <f>EXP(-LN(2)/25)*AV171+(1-EXP(-LN(2)/25))/(LN(2)/25)*Calculateur!AQ172*Calculateur!AS172*VLOOKUP('Données projet'!$B$10,Paramètres!$A$1:$I$89,3,0)*0.475*44/12</f>
        <v>0.23637389472994186</v>
      </c>
      <c r="AW172" s="21">
        <f>EXP(-LN(2)/2)*AW171+(1-EXP(-LN(2)/2))/(LN(2)/2)*AQ172*AT172*VLOOKUP('Données projet'!$B$10,Paramètres!$A$1:$I$89,3,0)*0.475*44/12</f>
        <v>1.3228403475638388E-20</v>
      </c>
      <c r="AX172" s="21">
        <f t="shared" si="166"/>
        <v>0.81498046254707368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395.21779046720553</v>
      </c>
      <c r="BJ172" s="59">
        <f t="shared" si="146"/>
        <v>360.05900046417361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0.30673930117216358</v>
      </c>
      <c r="BQ172" s="21">
        <f>EXP(-LN(2)/25)*BQ171+(1-EXP(-LN(2)/25))/(LN(2)/25)*Calculateur!BL172*Calculateur!BN172*VLOOKUP('Données projet'!$B$11,Paramètres!$A$1:$I$89,3,0)*0.475*44/12</f>
        <v>0.23910490537771584</v>
      </c>
      <c r="BR172" s="21">
        <f>EXP(-LN(2)/2)*BR171+(1-EXP(-LN(2)/2))/(LN(2)/2)*BL172*BO172*VLOOKUP('Données projet'!$B$11,Paramètres!$A$1:$I$89,3,0)*0.475*44/12</f>
        <v>8.3822106226899832E-21</v>
      </c>
      <c r="BS172" s="22">
        <f t="shared" si="169"/>
        <v>0.54584420654987942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449.84356201138451</v>
      </c>
      <c r="CE172" s="59">
        <f t="shared" si="148"/>
        <v>306.61893266146666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0.52214508416829286</v>
      </c>
      <c r="CL172" s="21">
        <f>EXP(-LN(2)/25)*CL171+(1-EXP(-LN(2)/25))/(LN(2)/25)*Calculateur!CG172*Calculateur!CI172*VLOOKUP('Données projet'!$B$12,Paramètres!$A$1:$I$89,3,0)*0.475*44/12</f>
        <v>0.22246183904023872</v>
      </c>
      <c r="CM172" s="21">
        <f>EXP(-LN(2)/2)*CM171+(1-EXP(-LN(2)/2))/(LN(2)/2)*CG172*CJ172*VLOOKUP('Données projet'!$B$12,Paramètres!$A$1:$I$89,3,0)*0.475*44/12</f>
        <v>1.1457653157491976E-20</v>
      </c>
      <c r="CN172" s="22">
        <f t="shared" si="172"/>
        <v>0.74460692320853161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475.01366239340246</v>
      </c>
      <c r="CZ172" s="59">
        <f t="shared" si="150"/>
        <v>322.81767004794284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0.55427708934787934</v>
      </c>
      <c r="DG172" s="21">
        <f>EXP(-LN(2)/25)*DG171+(1-EXP(-LN(2)/25))/(LN(2)/25)*Calculateur!DB172*Calculateur!DD172*VLOOKUP('Données projet'!$B$13,Paramètres!$A$1:$I$89,3,0)*0.475*44/12</f>
        <v>0.23615179836579134</v>
      </c>
      <c r="DH172" s="21">
        <f>EXP(-LN(2)/2)*DH171+(1-EXP(-LN(2)/2))/(LN(2)/2)*DB172*DE172*VLOOKUP('Données projet'!$B$13,Paramètres!$A$1:$I$89,3,0)*0.475*44/12</f>
        <v>1.2162739505645331E-20</v>
      </c>
      <c r="DI172" s="22">
        <f t="shared" si="175"/>
        <v>0.7904288877136707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2.0572770154103635E-13</v>
      </c>
      <c r="DQ172" s="13">
        <f t="shared" si="176"/>
        <v>2.8416956338469711E-12</v>
      </c>
      <c r="DR172" s="20">
        <f t="shared" si="177"/>
        <v>5.3075956424674458E-12</v>
      </c>
      <c r="DS172" s="59">
        <f t="shared" si="125"/>
        <v>293.3333333333386</v>
      </c>
      <c r="DT172" s="59">
        <f ca="1">AVERAGE(OFFSET($DS$3,0,0,'Données projet'!$E$14+1,1))-AVERAGE(OFFSET($H$3,0,0,'Données projet'!$E$14+1,1))</f>
        <v>436.23918637269577</v>
      </c>
      <c r="DU172" s="59">
        <f t="shared" si="152"/>
        <v>611.43967996341894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0.20999664820590119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5.654601110919127E-21</v>
      </c>
      <c r="ED172" s="22">
        <f t="shared" si="178"/>
        <v>0.20999664820590119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430.94515308997018</v>
      </c>
      <c r="T173" s="59">
        <f t="shared" si="142"/>
        <v>294.45557293177131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0.48827970042735414</v>
      </c>
      <c r="AA173" s="21">
        <f>EXP(-LN(2)/25)*AA172+(1-EXP(-LN(2)/25))/(LN(2)/25)*Calculateur!V173*Calculateur!X173*VLOOKUP('Données projet'!$B$9,Paramètres!$A$1:$I$89,3,0)*0.475*44/12</f>
        <v>0.20639190335201962</v>
      </c>
      <c r="AB173" s="21">
        <f>EXP(-LN(2)/2)*AB172+(1-EXP(-LN(2)/2))/(LN(2)/2)*V173*Y173*VLOOKUP('Données projet'!$B$9,Paramètres!$A$1:$I$89,3,0)*0.475*44/12</f>
        <v>7.7278557405700648E-21</v>
      </c>
      <c r="AC173" s="22">
        <f t="shared" si="163"/>
        <v>0.69467160377937376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319.22903094674564</v>
      </c>
      <c r="AO173" s="59">
        <f t="shared" si="144"/>
        <v>254.58690973142848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0.56726044593739677</v>
      </c>
      <c r="AV173" s="21">
        <f>EXP(-LN(2)/25)*AV172+(1-EXP(-LN(2)/25))/(LN(2)/25)*Calculateur!AQ173*Calculateur!AS173*VLOOKUP('Données projet'!$B$10,Paramètres!$A$1:$I$89,3,0)*0.475*44/12</f>
        <v>0.2299102381481887</v>
      </c>
      <c r="AW173" s="21">
        <f>EXP(-LN(2)/2)*AW172+(1-EXP(-LN(2)/2))/(LN(2)/2)*AQ173*AT173*VLOOKUP('Données projet'!$B$10,Paramètres!$A$1:$I$89,3,0)*0.475*44/12</f>
        <v>9.353893801895599E-21</v>
      </c>
      <c r="AX173" s="21">
        <f t="shared" si="166"/>
        <v>0.79717068408558545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395.21779046720553</v>
      </c>
      <c r="BJ173" s="59">
        <f t="shared" si="146"/>
        <v>360.05900046417361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0.30072433056867731</v>
      </c>
      <c r="BQ173" s="21">
        <f>EXP(-LN(2)/25)*BQ172+(1-EXP(-LN(2)/25))/(LN(2)/25)*Calculateur!BL173*Calculateur!BN173*VLOOKUP('Données projet'!$B$11,Paramètres!$A$1:$I$89,3,0)*0.475*44/12</f>
        <v>0.23256656916618171</v>
      </c>
      <c r="BR173" s="21">
        <f>EXP(-LN(2)/2)*BR172+(1-EXP(-LN(2)/2))/(LN(2)/2)*BL173*BO173*VLOOKUP('Données projet'!$B$11,Paramètres!$A$1:$I$89,3,0)*0.475*44/12</f>
        <v>5.9271179726380003E-21</v>
      </c>
      <c r="BS173" s="22">
        <f t="shared" si="169"/>
        <v>0.53329089973485899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449.84356201138451</v>
      </c>
      <c r="CE173" s="59">
        <f t="shared" si="148"/>
        <v>306.61893266146666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0.51190613754480696</v>
      </c>
      <c r="CL173" s="21">
        <f>EXP(-LN(2)/25)*CL172+(1-EXP(-LN(2)/25))/(LN(2)/25)*Calculateur!CG173*Calculateur!CI173*VLOOKUP('Données projet'!$B$12,Paramètres!$A$1:$I$89,3,0)*0.475*44/12</f>
        <v>0.21637860835292372</v>
      </c>
      <c r="CM173" s="21">
        <f>EXP(-LN(2)/2)*CM172+(1-EXP(-LN(2)/2))/(LN(2)/2)*CG173*CJ173*VLOOKUP('Données projet'!$B$12,Paramètres!$A$1:$I$89,3,0)*0.475*44/12</f>
        <v>8.1017842441460338E-21</v>
      </c>
      <c r="CN173" s="22">
        <f t="shared" si="172"/>
        <v>0.72828474589773062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475.01366239340246</v>
      </c>
      <c r="CZ173" s="59">
        <f t="shared" si="150"/>
        <v>322.81767004794284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0.54340805370140977</v>
      </c>
      <c r="DG173" s="21">
        <f>EXP(-LN(2)/25)*DG172+(1-EXP(-LN(2)/25))/(LN(2)/25)*Calculateur!DB173*Calculateur!DD173*VLOOKUP('Données projet'!$B$13,Paramètres!$A$1:$I$89,3,0)*0.475*44/12</f>
        <v>0.22969421502079543</v>
      </c>
      <c r="DH173" s="21">
        <f>EXP(-LN(2)/2)*DH172+(1-EXP(-LN(2)/2))/(LN(2)/2)*DB173*DE173*VLOOKUP('Données projet'!$B$13,Paramètres!$A$1:$I$89,3,0)*0.475*44/12</f>
        <v>8.6003555822473303E-21</v>
      </c>
      <c r="DI173" s="22">
        <f t="shared" si="175"/>
        <v>0.77310226872220522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2.0572770154103635E-13</v>
      </c>
      <c r="DQ173" s="13">
        <f t="shared" si="176"/>
        <v>2.8416956338469711E-12</v>
      </c>
      <c r="DR173" s="20">
        <f t="shared" si="177"/>
        <v>5.3075956424674458E-12</v>
      </c>
      <c r="DS173" s="59">
        <f t="shared" si="125"/>
        <v>293.3333333333386</v>
      </c>
      <c r="DT173" s="59">
        <f ca="1">AVERAGE(OFFSET($DS$3,0,0,'Données projet'!$E$14+1,1))-AVERAGE(OFFSET($H$3,0,0,'Données projet'!$E$14+1,1))</f>
        <v>436.23918637269577</v>
      </c>
      <c r="DU173" s="59">
        <f t="shared" si="152"/>
        <v>611.43967996341894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0.20587874201989151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3.9984067904358996E-21</v>
      </c>
      <c r="ED173" s="22">
        <f t="shared" si="178"/>
        <v>0.20587874201989151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430.94515308997018</v>
      </c>
      <c r="T174" s="59">
        <f t="shared" si="142"/>
        <v>294.45557293177131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0.47870483332318359</v>
      </c>
      <c r="AA174" s="21">
        <f>EXP(-LN(2)/25)*AA173+(1-EXP(-LN(2)/25))/(LN(2)/25)*Calculateur!V174*Calculateur!X174*VLOOKUP('Données projet'!$B$9,Paramètres!$A$1:$I$89,3,0)*0.475*44/12</f>
        <v>0.20074810590118017</v>
      </c>
      <c r="AB174" s="21">
        <f>EXP(-LN(2)/2)*AB173+(1-EXP(-LN(2)/2))/(LN(2)/2)*V174*Y174*VLOOKUP('Données projet'!$B$9,Paramètres!$A$1:$I$89,3,0)*0.475*44/12</f>
        <v>5.4644191981884821E-21</v>
      </c>
      <c r="AC174" s="22">
        <f t="shared" si="163"/>
        <v>0.67945293922436378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319.22903094674564</v>
      </c>
      <c r="AO174" s="59">
        <f t="shared" si="144"/>
        <v>254.58690973142848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0.55613681458727227</v>
      </c>
      <c r="AV174" s="21">
        <f>EXP(-LN(2)/25)*AV173+(1-EXP(-LN(2)/25))/(LN(2)/25)*Calculateur!AQ174*Calculateur!AS174*VLOOKUP('Données projet'!$B$10,Paramètres!$A$1:$I$89,3,0)*0.475*44/12</f>
        <v>0.22362333059557252</v>
      </c>
      <c r="AW174" s="21">
        <f>EXP(-LN(2)/2)*AW173+(1-EXP(-LN(2)/2))/(LN(2)/2)*AQ174*AT174*VLOOKUP('Données projet'!$B$10,Paramètres!$A$1:$I$89,3,0)*0.475*44/12</f>
        <v>6.6142017378191949E-21</v>
      </c>
      <c r="AX174" s="21">
        <f t="shared" si="166"/>
        <v>0.77976014518284475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395.21779046720553</v>
      </c>
      <c r="BJ174" s="59">
        <f t="shared" si="146"/>
        <v>360.05900046417361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0.29482730986995559</v>
      </c>
      <c r="BQ174" s="21">
        <f>EXP(-LN(2)/25)*BQ173+(1-EXP(-LN(2)/25))/(LN(2)/25)*Calculateur!BL174*Calculateur!BN174*VLOOKUP('Données projet'!$B$11,Paramètres!$A$1:$I$89,3,0)*0.475*44/12</f>
        <v>0.22620702410218813</v>
      </c>
      <c r="BR174" s="21">
        <f>EXP(-LN(2)/2)*BR173+(1-EXP(-LN(2)/2))/(LN(2)/2)*BL174*BO174*VLOOKUP('Données projet'!$B$11,Paramètres!$A$1:$I$89,3,0)*0.475*44/12</f>
        <v>4.1911053113449916E-21</v>
      </c>
      <c r="BS174" s="22">
        <f t="shared" si="169"/>
        <v>0.52103433397214372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449.84356201138451</v>
      </c>
      <c r="CE174" s="59">
        <f t="shared" si="148"/>
        <v>306.61893266146666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0.50186797041946685</v>
      </c>
      <c r="CL174" s="21">
        <f>EXP(-LN(2)/25)*CL173+(1-EXP(-LN(2)/25))/(LN(2)/25)*Calculateur!CG174*Calculateur!CI174*VLOOKUP('Données projet'!$B$12,Paramètres!$A$1:$I$89,3,0)*0.475*44/12</f>
        <v>0.21046172392865656</v>
      </c>
      <c r="CM174" s="21">
        <f>EXP(-LN(2)/2)*CM173+(1-EXP(-LN(2)/2))/(LN(2)/2)*CG174*CJ174*VLOOKUP('Données projet'!$B$12,Paramètres!$A$1:$I$89,3,0)*0.475*44/12</f>
        <v>5.7288265787459879E-21</v>
      </c>
      <c r="CN174" s="22">
        <f t="shared" si="172"/>
        <v>0.71232969434812343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475.01366239340246</v>
      </c>
      <c r="CZ174" s="59">
        <f t="shared" si="150"/>
        <v>322.81767004794284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0.5327521532145103</v>
      </c>
      <c r="DG174" s="21">
        <f>EXP(-LN(2)/25)*DG173+(1-EXP(-LN(2)/25))/(LN(2)/25)*Calculateur!DB174*Calculateur!DD174*VLOOKUP('Données projet'!$B$13,Paramètres!$A$1:$I$89,3,0)*0.475*44/12</f>
        <v>0.22341321463195798</v>
      </c>
      <c r="DH174" s="21">
        <f>EXP(-LN(2)/2)*DH173+(1-EXP(-LN(2)/2))/(LN(2)/2)*DB174*DE174*VLOOKUP('Données projet'!$B$13,Paramètres!$A$1:$I$89,3,0)*0.475*44/12</f>
        <v>6.0813697528226656E-21</v>
      </c>
      <c r="DI174" s="22">
        <f t="shared" si="175"/>
        <v>0.75616536784646826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2.0572770154103635E-13</v>
      </c>
      <c r="DQ174" s="13">
        <f t="shared" si="176"/>
        <v>2.8416956338469711E-12</v>
      </c>
      <c r="DR174" s="20">
        <f t="shared" si="177"/>
        <v>5.3075956424674458E-12</v>
      </c>
      <c r="DS174" s="59">
        <f t="shared" si="125"/>
        <v>293.3333333333386</v>
      </c>
      <c r="DT174" s="59">
        <f ca="1">AVERAGE(OFFSET($DS$3,0,0,'Données projet'!$E$14+1,1))-AVERAGE(OFFSET($H$3,0,0,'Données projet'!$E$14+1,1))</f>
        <v>436.23918637269577</v>
      </c>
      <c r="DU174" s="59">
        <f t="shared" si="152"/>
        <v>611.43967996341894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0.20184158546251471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2.8273005554595635E-21</v>
      </c>
      <c r="ED174" s="22">
        <f t="shared" si="178"/>
        <v>0.20184158546251471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430.94515308997018</v>
      </c>
      <c r="T175" s="59">
        <f t="shared" si="142"/>
        <v>294.45557293177131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0.46931772352283352</v>
      </c>
      <c r="AA175" s="21">
        <f>EXP(-LN(2)/25)*AA174+(1-EXP(-LN(2)/25))/(LN(2)/25)*Calculateur!V175*Calculateur!X175*VLOOKUP('Données projet'!$B$9,Paramètres!$A$1:$I$89,3,0)*0.475*44/12</f>
        <v>0.19525863838842833</v>
      </c>
      <c r="AB175" s="21">
        <f>EXP(-LN(2)/2)*AB174+(1-EXP(-LN(2)/2))/(LN(2)/2)*V175*Y175*VLOOKUP('Données projet'!$B$9,Paramètres!$A$1:$I$89,3,0)*0.475*44/12</f>
        <v>3.8639278702850324E-21</v>
      </c>
      <c r="AC175" s="22">
        <f t="shared" si="163"/>
        <v>0.6645763619112619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319.22903094674564</v>
      </c>
      <c r="AO175" s="59">
        <f t="shared" si="144"/>
        <v>254.58690973142848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0.54523131086317855</v>
      </c>
      <c r="AV175" s="21">
        <f>EXP(-LN(2)/25)*AV174+(1-EXP(-LN(2)/25))/(LN(2)/25)*Calculateur!AQ175*Calculateur!AS175*VLOOKUP('Données projet'!$B$10,Paramètres!$A$1:$I$89,3,0)*0.475*44/12</f>
        <v>0.21750833886059673</v>
      </c>
      <c r="AW175" s="21">
        <f>EXP(-LN(2)/2)*AW174+(1-EXP(-LN(2)/2))/(LN(2)/2)*AQ175*AT175*VLOOKUP('Données projet'!$B$10,Paramètres!$A$1:$I$89,3,0)*0.475*44/12</f>
        <v>4.6769469009478003E-21</v>
      </c>
      <c r="AX175" s="21">
        <f t="shared" si="166"/>
        <v>0.76273964972377528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395.21779046720553</v>
      </c>
      <c r="BJ175" s="59">
        <f t="shared" si="146"/>
        <v>360.05900046417361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0.28904592615030833</v>
      </c>
      <c r="BQ175" s="21">
        <f>EXP(-LN(2)/25)*BQ174+(1-EXP(-LN(2)/25))/(LN(2)/25)*Calculateur!BL175*Calculateur!BN175*VLOOKUP('Données projet'!$B$11,Paramètres!$A$1:$I$89,3,0)*0.475*44/12</f>
        <v>0.22002138113240341</v>
      </c>
      <c r="BR175" s="21">
        <f>EXP(-LN(2)/2)*BR174+(1-EXP(-LN(2)/2))/(LN(2)/2)*BL175*BO175*VLOOKUP('Données projet'!$B$11,Paramètres!$A$1:$I$89,3,0)*0.475*44/12</f>
        <v>2.9635589863190002E-21</v>
      </c>
      <c r="BS175" s="22">
        <f t="shared" si="169"/>
        <v>0.50906730728271177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449.84356201138451</v>
      </c>
      <c r="CE175" s="59">
        <f t="shared" si="148"/>
        <v>306.61893266146666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0.49202664562877729</v>
      </c>
      <c r="CL175" s="21">
        <f>EXP(-LN(2)/25)*CL174+(1-EXP(-LN(2)/25))/(LN(2)/25)*Calculateur!CG175*Calculateur!CI175*VLOOKUP('Données projet'!$B$12,Paramètres!$A$1:$I$89,3,0)*0.475*44/12</f>
        <v>0.2047066370201264</v>
      </c>
      <c r="CM175" s="21">
        <f>EXP(-LN(2)/2)*CM174+(1-EXP(-LN(2)/2))/(LN(2)/2)*CG175*CJ175*VLOOKUP('Données projet'!$B$12,Paramètres!$A$1:$I$89,3,0)*0.475*44/12</f>
        <v>4.0508921220730169E-21</v>
      </c>
      <c r="CN175" s="22">
        <f t="shared" si="172"/>
        <v>0.69673328264890366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475.01366239340246</v>
      </c>
      <c r="CZ175" s="59">
        <f t="shared" si="150"/>
        <v>322.81767004794284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0.52230520843670136</v>
      </c>
      <c r="DG175" s="21">
        <f>EXP(-LN(2)/25)*DG174+(1-EXP(-LN(2)/25))/(LN(2)/25)*Calculateur!DB175*Calculateur!DD175*VLOOKUP('Données projet'!$B$13,Paramètres!$A$1:$I$89,3,0)*0.475*44/12</f>
        <v>0.21730396852905676</v>
      </c>
      <c r="DH175" s="21">
        <f>EXP(-LN(2)/2)*DH174+(1-EXP(-LN(2)/2))/(LN(2)/2)*DB175*DE175*VLOOKUP('Données projet'!$B$13,Paramètres!$A$1:$I$89,3,0)*0.475*44/12</f>
        <v>4.3001777911236651E-21</v>
      </c>
      <c r="DI175" s="22">
        <f t="shared" si="175"/>
        <v>0.73960917696575812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2.0572770154103635E-13</v>
      </c>
      <c r="DQ175" s="13">
        <f t="shared" si="176"/>
        <v>2.8416956338469711E-12</v>
      </c>
      <c r="DR175" s="20">
        <f t="shared" si="177"/>
        <v>5.3075956424674458E-12</v>
      </c>
      <c r="DS175" s="59">
        <f t="shared" si="125"/>
        <v>293.3333333333386</v>
      </c>
      <c r="DT175" s="59">
        <f ca="1">AVERAGE(OFFSET($DS$3,0,0,'Données projet'!$E$14+1,1))-AVERAGE(OFFSET($H$3,0,0,'Données projet'!$E$14+1,1))</f>
        <v>436.23918637269577</v>
      </c>
      <c r="DU175" s="59">
        <f t="shared" si="152"/>
        <v>611.43967996341894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0.1978835950828057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1.9992033952179498E-21</v>
      </c>
      <c r="ED175" s="22">
        <f t="shared" si="178"/>
        <v>0.1978835950828057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430.94515308997018</v>
      </c>
      <c r="T176" s="59">
        <f t="shared" si="142"/>
        <v>294.45557293177131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0.46011468922009674</v>
      </c>
      <c r="AA176" s="21">
        <f>EXP(-LN(2)/25)*AA175+(1-EXP(-LN(2)/25))/(LN(2)/25)*Calculateur!V176*Calculateur!X176*VLOOKUP('Données projet'!$B$9,Paramètres!$A$1:$I$89,3,0)*0.475*44/12</f>
        <v>0.18991928065349123</v>
      </c>
      <c r="AB176" s="21">
        <f>EXP(-LN(2)/2)*AB175+(1-EXP(-LN(2)/2))/(LN(2)/2)*V176*Y176*VLOOKUP('Données projet'!$B$9,Paramètres!$A$1:$I$89,3,0)*0.475*44/12</f>
        <v>2.732209599094241E-21</v>
      </c>
      <c r="AC176" s="22">
        <f t="shared" si="163"/>
        <v>0.65003396987358797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319.22903094674564</v>
      </c>
      <c r="AO176" s="59">
        <f t="shared" si="144"/>
        <v>254.58690973142848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0.53453965741541387</v>
      </c>
      <c r="AV176" s="21">
        <f>EXP(-LN(2)/25)*AV175+(1-EXP(-LN(2)/25))/(LN(2)/25)*Calculateur!AQ176*Calculateur!AS176*VLOOKUP('Données projet'!$B$10,Paramètres!$A$1:$I$89,3,0)*0.475*44/12</f>
        <v>0.2115605618961873</v>
      </c>
      <c r="AW176" s="21">
        <f>EXP(-LN(2)/2)*AW175+(1-EXP(-LN(2)/2))/(LN(2)/2)*AQ176*AT176*VLOOKUP('Données projet'!$B$10,Paramètres!$A$1:$I$89,3,0)*0.475*44/12</f>
        <v>3.3071008689095978E-21</v>
      </c>
      <c r="AX176" s="21">
        <f t="shared" si="166"/>
        <v>0.7461002193116012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395.21779046720553</v>
      </c>
      <c r="BJ176" s="59">
        <f t="shared" si="146"/>
        <v>360.05900046417361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0.28337791183910749</v>
      </c>
      <c r="BQ176" s="21">
        <f>EXP(-LN(2)/25)*BQ175+(1-EXP(-LN(2)/25))/(LN(2)/25)*Calculateur!BL176*Calculateur!BN176*VLOOKUP('Données projet'!$B$11,Paramètres!$A$1:$I$89,3,0)*0.475*44/12</f>
        <v>0.21400488489491626</v>
      </c>
      <c r="BR176" s="21">
        <f>EXP(-LN(2)/2)*BR175+(1-EXP(-LN(2)/2))/(LN(2)/2)*BL176*BO176*VLOOKUP('Données projet'!$B$11,Paramètres!$A$1:$I$89,3,0)*0.475*44/12</f>
        <v>2.0955526556724958E-21</v>
      </c>
      <c r="BS176" s="22">
        <f t="shared" si="169"/>
        <v>0.49738279673402375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449.84356201138451</v>
      </c>
      <c r="CE176" s="59">
        <f t="shared" si="148"/>
        <v>306.61893266146666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0.48237830321461772</v>
      </c>
      <c r="CL176" s="21">
        <f>EXP(-LN(2)/25)*CL175+(1-EXP(-LN(2)/25))/(LN(2)/25)*Calculateur!CG176*Calculateur!CI176*VLOOKUP('Données projet'!$B$12,Paramètres!$A$1:$I$89,3,0)*0.475*44/12</f>
        <v>0.19910892326575685</v>
      </c>
      <c r="CM176" s="21">
        <f>EXP(-LN(2)/2)*CM175+(1-EXP(-LN(2)/2))/(LN(2)/2)*CG176*CJ176*VLOOKUP('Données projet'!$B$12,Paramètres!$A$1:$I$89,3,0)*0.475*44/12</f>
        <v>2.8644132893729939E-21</v>
      </c>
      <c r="CN176" s="22">
        <f t="shared" si="172"/>
        <v>0.68148722648037463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475.01366239340246</v>
      </c>
      <c r="CZ176" s="59">
        <f t="shared" si="150"/>
        <v>322.81767004794284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0.51206312187397818</v>
      </c>
      <c r="DG176" s="21">
        <f>EXP(-LN(2)/25)*DG175+(1-EXP(-LN(2)/25))/(LN(2)/25)*Calculateur!DB176*Calculateur!DD176*VLOOKUP('Données projet'!$B$13,Paramètres!$A$1:$I$89,3,0)*0.475*44/12</f>
        <v>0.21136178008211065</v>
      </c>
      <c r="DH176" s="21">
        <f>EXP(-LN(2)/2)*DH175+(1-EXP(-LN(2)/2))/(LN(2)/2)*DB176*DE176*VLOOKUP('Données projet'!$B$13,Paramètres!$A$1:$I$89,3,0)*0.475*44/12</f>
        <v>3.0406848764113328E-21</v>
      </c>
      <c r="DI176" s="22">
        <f t="shared" si="175"/>
        <v>0.72342490195608877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2.0572770154103635E-13</v>
      </c>
      <c r="DQ176" s="13">
        <f t="shared" si="176"/>
        <v>2.8416956338469711E-12</v>
      </c>
      <c r="DR176" s="20">
        <f t="shared" si="177"/>
        <v>5.3075956424674458E-12</v>
      </c>
      <c r="DS176" s="59">
        <f t="shared" si="125"/>
        <v>293.3333333333386</v>
      </c>
      <c r="DT176" s="59">
        <f ca="1">AVERAGE(OFFSET($DS$3,0,0,'Données projet'!$E$14+1,1))-AVERAGE(OFFSET($H$3,0,0,'Données projet'!$E$14+1,1))</f>
        <v>436.23918637269577</v>
      </c>
      <c r="DU176" s="59">
        <f t="shared" si="152"/>
        <v>611.43967996341894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0.19400321848030705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1.4136502777297818E-21</v>
      </c>
      <c r="ED176" s="22">
        <f t="shared" si="178"/>
        <v>0.19400321848030705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430.94515308997018</v>
      </c>
      <c r="T177" s="59">
        <f t="shared" si="142"/>
        <v>294.45557293177131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0.45109212080673994</v>
      </c>
      <c r="AA177" s="21">
        <f>EXP(-LN(2)/25)*AA176+(1-EXP(-LN(2)/25))/(LN(2)/25)*Calculateur!V177*Calculateur!X177*VLOOKUP('Données projet'!$B$9,Paramètres!$A$1:$I$89,3,0)*0.475*44/12</f>
        <v>0.18472592793660061</v>
      </c>
      <c r="AB177" s="21">
        <f>EXP(-LN(2)/2)*AB176+(1-EXP(-LN(2)/2))/(LN(2)/2)*V177*Y177*VLOOKUP('Données projet'!$B$9,Paramètres!$A$1:$I$89,3,0)*0.475*44/12</f>
        <v>1.9319639351425162E-21</v>
      </c>
      <c r="AC177" s="22">
        <f t="shared" si="163"/>
        <v>0.63581804874334058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319.22903094674564</v>
      </c>
      <c r="AO177" s="59">
        <f t="shared" si="144"/>
        <v>254.58690973142848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0.5240576607704952</v>
      </c>
      <c r="AV177" s="21">
        <f>EXP(-LN(2)/25)*AV176+(1-EXP(-LN(2)/25))/(LN(2)/25)*Calculateur!AQ177*Calculateur!AS177*VLOOKUP('Données projet'!$B$10,Paramètres!$A$1:$I$89,3,0)*0.475*44/12</f>
        <v>0.20577542720564965</v>
      </c>
      <c r="AW177" s="21">
        <f>EXP(-LN(2)/2)*AW176+(1-EXP(-LN(2)/2))/(LN(2)/2)*AQ177*AT177*VLOOKUP('Données projet'!$B$10,Paramètres!$A$1:$I$89,3,0)*0.475*44/12</f>
        <v>2.3384734504739005E-21</v>
      </c>
      <c r="AX177" s="21">
        <f t="shared" si="166"/>
        <v>0.72983308797614488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395.21779046720553</v>
      </c>
      <c r="BJ177" s="59">
        <f t="shared" si="146"/>
        <v>360.05900046417361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0.27782104383140194</v>
      </c>
      <c r="BQ177" s="21">
        <f>EXP(-LN(2)/25)*BQ176+(1-EXP(-LN(2)/25))/(LN(2)/25)*Calculateur!BL177*Calculateur!BN177*VLOOKUP('Données projet'!$B$11,Paramètres!$A$1:$I$89,3,0)*0.475*44/12</f>
        <v>0.208152910063437</v>
      </c>
      <c r="BR177" s="21">
        <f>EXP(-LN(2)/2)*BR176+(1-EXP(-LN(2)/2))/(LN(2)/2)*BL177*BO177*VLOOKUP('Données projet'!$B$11,Paramètres!$A$1:$I$89,3,0)*0.475*44/12</f>
        <v>1.4817794931595001E-21</v>
      </c>
      <c r="BS177" s="22">
        <f t="shared" si="169"/>
        <v>0.48597395389483894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449.84356201138451</v>
      </c>
      <c r="CE177" s="59">
        <f t="shared" si="148"/>
        <v>306.61893266146666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0.47291915891029207</v>
      </c>
      <c r="CL177" s="21">
        <f>EXP(-LN(2)/25)*CL176+(1-EXP(-LN(2)/25))/(LN(2)/25)*Calculateur!CG177*Calculateur!CI177*VLOOKUP('Données projet'!$B$12,Paramètres!$A$1:$I$89,3,0)*0.475*44/12</f>
        <v>0.19366427928837152</v>
      </c>
      <c r="CM177" s="21">
        <f>EXP(-LN(2)/2)*CM176+(1-EXP(-LN(2)/2))/(LN(2)/2)*CG177*CJ177*VLOOKUP('Données projet'!$B$12,Paramètres!$A$1:$I$89,3,0)*0.475*44/12</f>
        <v>2.0254460610365084E-21</v>
      </c>
      <c r="CN177" s="22">
        <f t="shared" si="172"/>
        <v>0.66658343819866361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475.01366239340246</v>
      </c>
      <c r="CZ177" s="59">
        <f t="shared" si="150"/>
        <v>322.81767004794284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0.50202187638169404</v>
      </c>
      <c r="DG177" s="21">
        <f>EXP(-LN(2)/25)*DG176+(1-EXP(-LN(2)/25))/(LN(2)/25)*Calculateur!DB177*Calculateur!DD177*VLOOKUP('Données projet'!$B$13,Paramètres!$A$1:$I$89,3,0)*0.475*44/12</f>
        <v>0.20558208109073239</v>
      </c>
      <c r="DH177" s="21">
        <f>EXP(-LN(2)/2)*DH176+(1-EXP(-LN(2)/2))/(LN(2)/2)*DB177*DE177*VLOOKUP('Données projet'!$B$13,Paramètres!$A$1:$I$89,3,0)*0.475*44/12</f>
        <v>2.1500888955618326E-21</v>
      </c>
      <c r="DI177" s="22">
        <f t="shared" si="175"/>
        <v>0.70760395747242644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2.0572770154103635E-13</v>
      </c>
      <c r="DQ177" s="13">
        <f t="shared" si="176"/>
        <v>2.8416956338469711E-12</v>
      </c>
      <c r="DR177" s="20">
        <f t="shared" si="177"/>
        <v>5.3075956424674458E-12</v>
      </c>
      <c r="DS177" s="59">
        <f t="shared" si="125"/>
        <v>293.3333333333386</v>
      </c>
      <c r="DT177" s="59">
        <f ca="1">AVERAGE(OFFSET($DS$3,0,0,'Données projet'!$E$14+1,1))-AVERAGE(OFFSET($H$3,0,0,'Données projet'!$E$14+1,1))</f>
        <v>436.23918637269577</v>
      </c>
      <c r="DU177" s="59">
        <f t="shared" si="152"/>
        <v>611.43967996341894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0.19019893369618734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9.9960169760897491E-22</v>
      </c>
      <c r="ED177" s="22">
        <f t="shared" si="178"/>
        <v>0.19019893369618734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430.94515308997018</v>
      </c>
      <c r="T178" s="59">
        <f t="shared" si="142"/>
        <v>294.45557293177131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0.44224647945674572</v>
      </c>
      <c r="AA178" s="21">
        <f>EXP(-LN(2)/25)*AA177+(1-EXP(-LN(2)/25))/(LN(2)/25)*Calculateur!V178*Calculateur!X178*VLOOKUP('Données projet'!$B$9,Paramètres!$A$1:$I$89,3,0)*0.475*44/12</f>
        <v>0.17967458772285991</v>
      </c>
      <c r="AB178" s="21">
        <f>EXP(-LN(2)/2)*AB177+(1-EXP(-LN(2)/2))/(LN(2)/2)*V178*Y178*VLOOKUP('Données projet'!$B$9,Paramètres!$A$1:$I$89,3,0)*0.475*44/12</f>
        <v>1.3661047995471205E-21</v>
      </c>
      <c r="AC178" s="22">
        <f t="shared" si="163"/>
        <v>0.6219210671796056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319.22903094674564</v>
      </c>
      <c r="AO178" s="59">
        <f t="shared" si="144"/>
        <v>254.58690973142848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0.51378120968639662</v>
      </c>
      <c r="AV178" s="21">
        <f>EXP(-LN(2)/25)*AV177+(1-EXP(-LN(2)/25))/(LN(2)/25)*Calculateur!AQ178*Calculateur!AS178*VLOOKUP('Données projet'!$B$10,Paramètres!$A$1:$I$89,3,0)*0.475*44/12</f>
        <v>0.20014848732745175</v>
      </c>
      <c r="AW178" s="21">
        <f>EXP(-LN(2)/2)*AW177+(1-EXP(-LN(2)/2))/(LN(2)/2)*AQ178*AT178*VLOOKUP('Données projet'!$B$10,Paramètres!$A$1:$I$89,3,0)*0.475*44/12</f>
        <v>1.6535504344547993E-21</v>
      </c>
      <c r="AX178" s="21">
        <f t="shared" si="166"/>
        <v>0.71392969701384834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395.21779046720553</v>
      </c>
      <c r="BJ178" s="59">
        <f t="shared" si="146"/>
        <v>360.05900046417361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0.27237314261597267</v>
      </c>
      <c r="BQ178" s="21">
        <f>EXP(-LN(2)/25)*BQ177+(1-EXP(-LN(2)/25))/(LN(2)/25)*Calculateur!BL178*Calculateur!BN178*VLOOKUP('Données projet'!$B$11,Paramètres!$A$1:$I$89,3,0)*0.475*44/12</f>
        <v>0.20246095779146653</v>
      </c>
      <c r="BR178" s="21">
        <f>EXP(-LN(2)/2)*BR177+(1-EXP(-LN(2)/2))/(LN(2)/2)*BL178*BO178*VLOOKUP('Données projet'!$B$11,Paramètres!$A$1:$I$89,3,0)*0.475*44/12</f>
        <v>1.0477763278362479E-21</v>
      </c>
      <c r="BS178" s="22">
        <f t="shared" si="169"/>
        <v>0.47483410040743923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449.84356201138451</v>
      </c>
      <c r="CE178" s="59">
        <f t="shared" si="148"/>
        <v>306.61893266146666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0.46364550265626586</v>
      </c>
      <c r="CL178" s="21">
        <f>EXP(-LN(2)/25)*CL177+(1-EXP(-LN(2)/25))/(LN(2)/25)*Calculateur!CG178*Calculateur!CI178*VLOOKUP('Données projet'!$B$12,Paramètres!$A$1:$I$89,3,0)*0.475*44/12</f>
        <v>0.18836851938686919</v>
      </c>
      <c r="CM178" s="21">
        <f>EXP(-LN(2)/2)*CM177+(1-EXP(-LN(2)/2))/(LN(2)/2)*CG178*CJ178*VLOOKUP('Données projet'!$B$12,Paramètres!$A$1:$I$89,3,0)*0.475*44/12</f>
        <v>1.432206644686497E-21</v>
      </c>
      <c r="CN178" s="22">
        <f t="shared" si="172"/>
        <v>0.65201402204313508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475.01366239340246</v>
      </c>
      <c r="CZ178" s="59">
        <f t="shared" si="150"/>
        <v>322.81767004794284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0.49217753358895855</v>
      </c>
      <c r="DG178" s="21">
        <f>EXP(-LN(2)/25)*DG177+(1-EXP(-LN(2)/25))/(LN(2)/25)*Calculateur!DB178*Calculateur!DD178*VLOOKUP('Données projet'!$B$13,Paramètres!$A$1:$I$89,3,0)*0.475*44/12</f>
        <v>0.19996042827221452</v>
      </c>
      <c r="DH178" s="21">
        <f>EXP(-LN(2)/2)*DH177+(1-EXP(-LN(2)/2))/(LN(2)/2)*DB178*DE178*VLOOKUP('Données projet'!$B$13,Paramètres!$A$1:$I$89,3,0)*0.475*44/12</f>
        <v>1.5203424382056664E-21</v>
      </c>
      <c r="DI178" s="22">
        <f t="shared" si="175"/>
        <v>0.69213796186117305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2.0572770154103635E-13</v>
      </c>
      <c r="DQ178" s="13">
        <f t="shared" si="176"/>
        <v>2.8416956338469711E-12</v>
      </c>
      <c r="DR178" s="20">
        <f t="shared" si="177"/>
        <v>5.3075956424674458E-12</v>
      </c>
      <c r="DS178" s="59">
        <f t="shared" si="125"/>
        <v>293.3333333333386</v>
      </c>
      <c r="DT178" s="59">
        <f ca="1">AVERAGE(OFFSET($DS$3,0,0,'Données projet'!$E$14+1,1))-AVERAGE(OFFSET($H$3,0,0,'Données projet'!$E$14+1,1))</f>
        <v>436.23918637269577</v>
      </c>
      <c r="DU178" s="59">
        <f t="shared" si="152"/>
        <v>611.43967996341894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0.18646924861629963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7.0682513886489088E-22</v>
      </c>
      <c r="ED178" s="22">
        <f t="shared" si="178"/>
        <v>0.18646924861629963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430.94515308997018</v>
      </c>
      <c r="T179" s="59">
        <f t="shared" si="142"/>
        <v>294.45557293177131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0.43357429573831641</v>
      </c>
      <c r="AA179" s="21">
        <f>EXP(-LN(2)/25)*AA178+(1-EXP(-LN(2)/25))/(LN(2)/25)*Calculateur!V179*Calculateur!X179*VLOOKUP('Données projet'!$B$9,Paramètres!$A$1:$I$89,3,0)*0.475*44/12</f>
        <v>0.1747613766729024</v>
      </c>
      <c r="AB179" s="21">
        <f>EXP(-LN(2)/2)*AB178+(1-EXP(-LN(2)/2))/(LN(2)/2)*V179*Y179*VLOOKUP('Données projet'!$B$9,Paramètres!$A$1:$I$89,3,0)*0.475*44/12</f>
        <v>9.659819675712581E-22</v>
      </c>
      <c r="AC179" s="22">
        <f t="shared" si="163"/>
        <v>0.60833567241121878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319.22903094674564</v>
      </c>
      <c r="AO179" s="59">
        <f t="shared" si="144"/>
        <v>254.58690973142848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0.50370627354004105</v>
      </c>
      <c r="AV179" s="21">
        <f>EXP(-LN(2)/25)*AV178+(1-EXP(-LN(2)/25))/(LN(2)/25)*Calculateur!AQ179*Calculateur!AS179*VLOOKUP('Données projet'!$B$10,Paramètres!$A$1:$I$89,3,0)*0.475*44/12</f>
        <v>0.19467541641613106</v>
      </c>
      <c r="AW179" s="21">
        <f>EXP(-LN(2)/2)*AW178+(1-EXP(-LN(2)/2))/(LN(2)/2)*AQ179*AT179*VLOOKUP('Données projet'!$B$10,Paramètres!$A$1:$I$89,3,0)*0.475*44/12</f>
        <v>1.1692367252369504E-21</v>
      </c>
      <c r="AX179" s="21">
        <f t="shared" si="166"/>
        <v>0.69838168995617211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395.21779046720553</v>
      </c>
      <c r="BJ179" s="59">
        <f t="shared" si="146"/>
        <v>360.05900046417361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0.26703207142048635</v>
      </c>
      <c r="BQ179" s="21">
        <f>EXP(-LN(2)/25)*BQ178+(1-EXP(-LN(2)/25))/(LN(2)/25)*Calculateur!BL179*Calculateur!BN179*VLOOKUP('Données projet'!$B$11,Paramètres!$A$1:$I$89,3,0)*0.475*44/12</f>
        <v>0.19692465225369984</v>
      </c>
      <c r="BR179" s="21">
        <f>EXP(-LN(2)/2)*BR178+(1-EXP(-LN(2)/2))/(LN(2)/2)*BL179*BO179*VLOOKUP('Données projet'!$B$11,Paramètres!$A$1:$I$89,3,0)*0.475*44/12</f>
        <v>7.4088974657975004E-22</v>
      </c>
      <c r="BS179" s="22">
        <f t="shared" si="169"/>
        <v>0.46395672367418617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449.84356201138451</v>
      </c>
      <c r="CE179" s="59">
        <f t="shared" si="148"/>
        <v>306.61893266146666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0.45455369714500932</v>
      </c>
      <c r="CL179" s="21">
        <f>EXP(-LN(2)/25)*CL178+(1-EXP(-LN(2)/25))/(LN(2)/25)*Calculateur!CG179*Calculateur!CI179*VLOOKUP('Données projet'!$B$12,Paramètres!$A$1:$I$89,3,0)*0.475*44/12</f>
        <v>0.18321757231836533</v>
      </c>
      <c r="CM179" s="21">
        <f>EXP(-LN(2)/2)*CM178+(1-EXP(-LN(2)/2))/(LN(2)/2)*CG179*CJ179*VLOOKUP('Données projet'!$B$12,Paramètres!$A$1:$I$89,3,0)*0.475*44/12</f>
        <v>1.0127230305182542E-21</v>
      </c>
      <c r="CN179" s="22">
        <f t="shared" si="172"/>
        <v>0.63777126946337459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475.01366239340246</v>
      </c>
      <c r="CZ179" s="59">
        <f t="shared" si="150"/>
        <v>322.81767004794284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0.48252623235393238</v>
      </c>
      <c r="DG179" s="21">
        <f>EXP(-LN(2)/25)*DG178+(1-EXP(-LN(2)/25))/(LN(2)/25)*Calculateur!DB179*Calculateur!DD179*VLOOKUP('Données projet'!$B$13,Paramètres!$A$1:$I$89,3,0)*0.475*44/12</f>
        <v>0.1944924998456489</v>
      </c>
      <c r="DH179" s="21">
        <f>EXP(-LN(2)/2)*DH178+(1-EXP(-LN(2)/2))/(LN(2)/2)*DB179*DE179*VLOOKUP('Données projet'!$B$13,Paramètres!$A$1:$I$89,3,0)*0.475*44/12</f>
        <v>1.0750444477809163E-21</v>
      </c>
      <c r="DI179" s="22">
        <f t="shared" si="175"/>
        <v>0.67701873219958131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2.0572770154103635E-13</v>
      </c>
      <c r="DQ179" s="13">
        <f t="shared" si="176"/>
        <v>2.8416956338469711E-12</v>
      </c>
      <c r="DR179" s="20">
        <f t="shared" si="177"/>
        <v>5.3075956424674458E-12</v>
      </c>
      <c r="DS179" s="59">
        <f t="shared" si="125"/>
        <v>293.3333333333386</v>
      </c>
      <c r="DT179" s="59">
        <f ca="1">AVERAGE(OFFSET($DS$3,0,0,'Données projet'!$E$14+1,1))-AVERAGE(OFFSET($H$3,0,0,'Données projet'!$E$14+1,1))</f>
        <v>436.23918637269577</v>
      </c>
      <c r="DU179" s="59">
        <f t="shared" si="152"/>
        <v>611.43967996341894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0.18281270038594524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4.9980084880448745E-22</v>
      </c>
      <c r="ED179" s="22">
        <f t="shared" si="178"/>
        <v>0.18281270038594524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430.94515308997018</v>
      </c>
      <c r="T180" s="59">
        <f t="shared" si="142"/>
        <v>294.45557293177131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0.42507216825309574</v>
      </c>
      <c r="AA180" s="21">
        <f>EXP(-LN(2)/25)*AA179+(1-EXP(-LN(2)/25))/(LN(2)/25)*Calculateur!V180*Calculateur!X180*VLOOKUP('Données projet'!$B$9,Paramètres!$A$1:$I$89,3,0)*0.475*44/12</f>
        <v>0.16998251763748051</v>
      </c>
      <c r="AB180" s="21">
        <f>EXP(-LN(2)/2)*AB179+(1-EXP(-LN(2)/2))/(LN(2)/2)*V180*Y180*VLOOKUP('Données projet'!$B$9,Paramètres!$A$1:$I$89,3,0)*0.475*44/12</f>
        <v>6.8305239977356026E-22</v>
      </c>
      <c r="AC180" s="22">
        <f t="shared" si="163"/>
        <v>0.59505468589057631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319.22903094674564</v>
      </c>
      <c r="AO180" s="59">
        <f t="shared" si="144"/>
        <v>254.58690973142848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0.49382890074641123</v>
      </c>
      <c r="AV180" s="21">
        <f>EXP(-LN(2)/25)*AV179+(1-EXP(-LN(2)/25))/(LN(2)/25)*Calculateur!AQ180*Calculateur!AS180*VLOOKUP('Données projet'!$B$10,Paramètres!$A$1:$I$89,3,0)*0.475*44/12</f>
        <v>0.18935200691669674</v>
      </c>
      <c r="AW180" s="21">
        <f>EXP(-LN(2)/2)*AW179+(1-EXP(-LN(2)/2))/(LN(2)/2)*AQ180*AT180*VLOOKUP('Données projet'!$B$10,Paramètres!$A$1:$I$89,3,0)*0.475*44/12</f>
        <v>8.2677521722739973E-22</v>
      </c>
      <c r="AX180" s="21">
        <f t="shared" si="166"/>
        <v>0.68318090766310791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395.21779046720553</v>
      </c>
      <c r="BJ180" s="59">
        <f t="shared" si="146"/>
        <v>360.05900046417361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0.26179573537341178</v>
      </c>
      <c r="BQ180" s="21">
        <f>EXP(-LN(2)/25)*BQ179+(1-EXP(-LN(2)/25))/(LN(2)/25)*Calculateur!BL180*Calculateur!BN180*VLOOKUP('Données projet'!$B$11,Paramètres!$A$1:$I$89,3,0)*0.475*44/12</f>
        <v>0.19153973728200505</v>
      </c>
      <c r="BR180" s="21">
        <f>EXP(-LN(2)/2)*BR179+(1-EXP(-LN(2)/2))/(LN(2)/2)*BL180*BO180*VLOOKUP('Données projet'!$B$11,Paramètres!$A$1:$I$89,3,0)*0.475*44/12</f>
        <v>5.2388816391812395E-22</v>
      </c>
      <c r="BS180" s="22">
        <f t="shared" si="169"/>
        <v>0.45333547265541685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449.84356201138451</v>
      </c>
      <c r="CE180" s="59">
        <f t="shared" si="148"/>
        <v>306.61893266146666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0.44564017639437475</v>
      </c>
      <c r="CL180" s="21">
        <f>EXP(-LN(2)/25)*CL179+(1-EXP(-LN(2)/25))/(LN(2)/25)*Calculateur!CG180*Calculateur!CI180*VLOOKUP('Données projet'!$B$12,Paramètres!$A$1:$I$89,3,0)*0.475*44/12</f>
        <v>0.17820747816832624</v>
      </c>
      <c r="CM180" s="21">
        <f>EXP(-LN(2)/2)*CM179+(1-EXP(-LN(2)/2))/(LN(2)/2)*CG180*CJ180*VLOOKUP('Données projet'!$B$12,Paramètres!$A$1:$I$89,3,0)*0.475*44/12</f>
        <v>7.1610332234324849E-22</v>
      </c>
      <c r="CN180" s="22">
        <f t="shared" si="172"/>
        <v>0.62384765456270097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475.01366239340246</v>
      </c>
      <c r="CZ180" s="59">
        <f t="shared" si="150"/>
        <v>322.81767004794284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0.47306418724941263</v>
      </c>
      <c r="DG180" s="21">
        <f>EXP(-LN(2)/25)*DG179+(1-EXP(-LN(2)/25))/(LN(2)/25)*Calculateur!DB180*Calculateur!DD180*VLOOKUP('Données projet'!$B$13,Paramètres!$A$1:$I$89,3,0)*0.475*44/12</f>
        <v>0.18917409220945358</v>
      </c>
      <c r="DH180" s="21">
        <f>EXP(-LN(2)/2)*DH179+(1-EXP(-LN(2)/2))/(LN(2)/2)*DB180*DE180*VLOOKUP('Données projet'!$B$13,Paramètres!$A$1:$I$89,3,0)*0.475*44/12</f>
        <v>7.601712191028332E-22</v>
      </c>
      <c r="DI180" s="22">
        <f t="shared" si="175"/>
        <v>0.66223827945886615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2.0572770154103635E-13</v>
      </c>
      <c r="DQ180" s="13">
        <f t="shared" si="176"/>
        <v>2.8416956338469711E-12</v>
      </c>
      <c r="DR180" s="20">
        <f t="shared" si="177"/>
        <v>5.3075956424674458E-12</v>
      </c>
      <c r="DS180" s="59">
        <f t="shared" si="125"/>
        <v>293.3333333333386</v>
      </c>
      <c r="DT180" s="59">
        <f ca="1">AVERAGE(OFFSET($DS$3,0,0,'Données projet'!$E$14+1,1))-AVERAGE(OFFSET($H$3,0,0,'Données projet'!$E$14+1,1))</f>
        <v>436.23918637269577</v>
      </c>
      <c r="DU180" s="59">
        <f t="shared" si="152"/>
        <v>611.43967996341894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0.17922785483611392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3.5341256943244544E-22</v>
      </c>
      <c r="ED180" s="22">
        <f t="shared" si="178"/>
        <v>0.17922785483611392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430.94515308997018</v>
      </c>
      <c r="T181" s="59">
        <f t="shared" si="142"/>
        <v>294.45557293177131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0.41673676230207451</v>
      </c>
      <c r="AA181" s="21">
        <f>EXP(-LN(2)/25)*AA180+(1-EXP(-LN(2)/25))/(LN(2)/25)*Calculateur!V181*Calculateur!X181*VLOOKUP('Données projet'!$B$9,Paramètres!$A$1:$I$89,3,0)*0.475*44/12</f>
        <v>0.1653343367536915</v>
      </c>
      <c r="AB181" s="21">
        <f>EXP(-LN(2)/2)*AB180+(1-EXP(-LN(2)/2))/(LN(2)/2)*V181*Y181*VLOOKUP('Données projet'!$B$9,Paramètres!$A$1:$I$89,3,0)*0.475*44/12</f>
        <v>4.8299098378562905E-22</v>
      </c>
      <c r="AC181" s="22">
        <f t="shared" si="163"/>
        <v>0.58207109905576604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319.22903094674564</v>
      </c>
      <c r="AO181" s="59">
        <f t="shared" si="144"/>
        <v>254.58690973142848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0.48414521720866194</v>
      </c>
      <c r="AV181" s="21">
        <f>EXP(-LN(2)/25)*AV180+(1-EXP(-LN(2)/25))/(LN(2)/25)*Calculateur!AQ181*Calculateur!AS181*VLOOKUP('Données projet'!$B$10,Paramètres!$A$1:$I$89,3,0)*0.475*44/12</f>
        <v>0.18417416632997038</v>
      </c>
      <c r="AW181" s="21">
        <f>EXP(-LN(2)/2)*AW180+(1-EXP(-LN(2)/2))/(LN(2)/2)*AQ181*AT181*VLOOKUP('Données projet'!$B$10,Paramètres!$A$1:$I$89,3,0)*0.475*44/12</f>
        <v>5.8461836261847531E-22</v>
      </c>
      <c r="AX181" s="21">
        <f t="shared" si="166"/>
        <v>0.66831938353863229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395.21779046720553</v>
      </c>
      <c r="BJ181" s="59">
        <f t="shared" si="146"/>
        <v>360.05900046417361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0.25666208068237067</v>
      </c>
      <c r="BQ181" s="21">
        <f>EXP(-LN(2)/25)*BQ180+(1-EXP(-LN(2)/25))/(LN(2)/25)*Calculateur!BL181*Calculateur!BN181*VLOOKUP('Données projet'!$B$11,Paramètres!$A$1:$I$89,3,0)*0.475*44/12</f>
        <v>0.18630207309339161</v>
      </c>
      <c r="BR181" s="21">
        <f>EXP(-LN(2)/2)*BR180+(1-EXP(-LN(2)/2))/(LN(2)/2)*BL181*BO181*VLOOKUP('Données projet'!$B$11,Paramètres!$A$1:$I$89,3,0)*0.475*44/12</f>
        <v>3.7044487328987502E-22</v>
      </c>
      <c r="BS181" s="22">
        <f t="shared" si="169"/>
        <v>0.44296415377576226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449.84356201138451</v>
      </c>
      <c r="CE181" s="59">
        <f t="shared" si="148"/>
        <v>306.61893266146666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0.43690144434894929</v>
      </c>
      <c r="CL181" s="21">
        <f>EXP(-LN(2)/25)*CL180+(1-EXP(-LN(2)/25))/(LN(2)/25)*Calculateur!CG181*Calculateur!CI181*VLOOKUP('Données projet'!$B$12,Paramètres!$A$1:$I$89,3,0)*0.475*44/12</f>
        <v>0.17333438530628939</v>
      </c>
      <c r="CM181" s="21">
        <f>EXP(-LN(2)/2)*CM180+(1-EXP(-LN(2)/2))/(LN(2)/2)*CG181*CJ181*VLOOKUP('Données projet'!$B$12,Paramètres!$A$1:$I$89,3,0)*0.475*44/12</f>
        <v>5.0636151525912711E-22</v>
      </c>
      <c r="CN181" s="22">
        <f t="shared" si="172"/>
        <v>0.6102358296552387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475.01366239340246</v>
      </c>
      <c r="CZ181" s="59">
        <f t="shared" si="150"/>
        <v>322.81767004794284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0.46378768707811485</v>
      </c>
      <c r="DG181" s="21">
        <f>EXP(-LN(2)/25)*DG180+(1-EXP(-LN(2)/25))/(LN(2)/25)*Calculateur!DB181*Calculateur!DD181*VLOOKUP('Données projet'!$B$13,Paramètres!$A$1:$I$89,3,0)*0.475*44/12</f>
        <v>0.18400111670975292</v>
      </c>
      <c r="DH181" s="21">
        <f>EXP(-LN(2)/2)*DH180+(1-EXP(-LN(2)/2))/(LN(2)/2)*DB181*DE181*VLOOKUP('Données projet'!$B$13,Paramètres!$A$1:$I$89,3,0)*0.475*44/12</f>
        <v>5.3752222389045814E-22</v>
      </c>
      <c r="DI181" s="22">
        <f t="shared" si="175"/>
        <v>0.64778880378786774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2.0572770154103635E-13</v>
      </c>
      <c r="DQ181" s="13">
        <f t="shared" si="176"/>
        <v>2.8416956338469711E-12</v>
      </c>
      <c r="DR181" s="20">
        <f t="shared" si="177"/>
        <v>5.3075956424674458E-12</v>
      </c>
      <c r="DS181" s="59">
        <f t="shared" si="125"/>
        <v>293.3333333333386</v>
      </c>
      <c r="DT181" s="59">
        <f ca="1">AVERAGE(OFFSET($DS$3,0,0,'Données projet'!$E$14+1,1))-AVERAGE(OFFSET($H$3,0,0,'Données projet'!$E$14+1,1))</f>
        <v>436.23918637269577</v>
      </c>
      <c r="DU181" s="59">
        <f t="shared" si="152"/>
        <v>611.43967996341894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0.17571330592097489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2.4990042440224373E-22</v>
      </c>
      <c r="ED181" s="22">
        <f t="shared" si="178"/>
        <v>0.17571330592097489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430.94515308997018</v>
      </c>
      <c r="T182" s="59">
        <f t="shared" si="142"/>
        <v>294.45557293177131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0.4085648085776572</v>
      </c>
      <c r="AA182" s="21">
        <f>EXP(-LN(2)/25)*AA181+(1-EXP(-LN(2)/25))/(LN(2)/25)*Calculateur!V182*Calculateur!X182*VLOOKUP('Données projet'!$B$9,Paramètres!$A$1:$I$89,3,0)*0.475*44/12</f>
        <v>0.16081326062060691</v>
      </c>
      <c r="AB182" s="21">
        <f>EXP(-LN(2)/2)*AB181+(1-EXP(-LN(2)/2))/(LN(2)/2)*V182*Y182*VLOOKUP('Données projet'!$B$9,Paramètres!$A$1:$I$89,3,0)*0.475*44/12</f>
        <v>3.4152619988678013E-22</v>
      </c>
      <c r="AC182" s="22">
        <f t="shared" si="163"/>
        <v>0.56937806919826417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319.22903094674564</v>
      </c>
      <c r="AO182" s="59">
        <f t="shared" si="144"/>
        <v>254.58690973142848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0.47465142479862416</v>
      </c>
      <c r="AV182" s="21">
        <f>EXP(-LN(2)/25)*AV181+(1-EXP(-LN(2)/25))/(LN(2)/25)*Calculateur!AQ182*Calculateur!AS182*VLOOKUP('Données projet'!$B$10,Paramètres!$A$1:$I$89,3,0)*0.475*44/12</f>
        <v>0.17913791406637888</v>
      </c>
      <c r="AW182" s="21">
        <f>EXP(-LN(2)/2)*AW181+(1-EXP(-LN(2)/2))/(LN(2)/2)*AQ182*AT182*VLOOKUP('Données projet'!$B$10,Paramètres!$A$1:$I$89,3,0)*0.475*44/12</f>
        <v>4.1338760861369996E-22</v>
      </c>
      <c r="AX182" s="21">
        <f t="shared" si="166"/>
        <v>0.65378933886500301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395.21779046720553</v>
      </c>
      <c r="BJ182" s="59">
        <f t="shared" si="146"/>
        <v>360.05900046417361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0.25162909382860071</v>
      </c>
      <c r="BQ182" s="21">
        <f>EXP(-LN(2)/25)*BQ181+(1-EXP(-LN(2)/25))/(LN(2)/25)*Calculateur!BL182*Calculateur!BN182*VLOOKUP('Données projet'!$B$11,Paramètres!$A$1:$I$89,3,0)*0.475*44/12</f>
        <v>0.18120763310745258</v>
      </c>
      <c r="BR182" s="21">
        <f>EXP(-LN(2)/2)*BR181+(1-EXP(-LN(2)/2))/(LN(2)/2)*BL182*BO182*VLOOKUP('Données projet'!$B$11,Paramètres!$A$1:$I$89,3,0)*0.475*44/12</f>
        <v>2.6194408195906197E-22</v>
      </c>
      <c r="BS182" s="22">
        <f t="shared" si="169"/>
        <v>0.4328367269360533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449.84356201138451</v>
      </c>
      <c r="CE182" s="59">
        <f t="shared" si="148"/>
        <v>306.61893266146666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0.4283340735088344</v>
      </c>
      <c r="CL182" s="21">
        <f>EXP(-LN(2)/25)*CL181+(1-EXP(-LN(2)/25))/(LN(2)/25)*Calculateur!CG182*Calculateur!CI182*VLOOKUP('Données projet'!$B$12,Paramètres!$A$1:$I$89,3,0)*0.475*44/12</f>
        <v>0.16859454742482974</v>
      </c>
      <c r="CM182" s="21">
        <f>EXP(-LN(2)/2)*CM181+(1-EXP(-LN(2)/2))/(LN(2)/2)*CG182*CJ182*VLOOKUP('Données projet'!$B$12,Paramètres!$A$1:$I$89,3,0)*0.475*44/12</f>
        <v>3.5805166117162424E-22</v>
      </c>
      <c r="CN182" s="22">
        <f t="shared" si="172"/>
        <v>0.59692862093366417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475.01366239340246</v>
      </c>
      <c r="CZ182" s="59">
        <f t="shared" si="150"/>
        <v>322.81767004794284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0.45469309341706982</v>
      </c>
      <c r="DG182" s="21">
        <f>EXP(-LN(2)/25)*DG181+(1-EXP(-LN(2)/25))/(LN(2)/25)*Calculateur!DB182*Calculateur!DD182*VLOOKUP('Données projet'!$B$13,Paramètres!$A$1:$I$89,3,0)*0.475*44/12</f>
        <v>0.17896959649712654</v>
      </c>
      <c r="DH182" s="21">
        <f>EXP(-LN(2)/2)*DH181+(1-EXP(-LN(2)/2))/(LN(2)/2)*DB182*DE182*VLOOKUP('Données projet'!$B$13,Paramètres!$A$1:$I$89,3,0)*0.475*44/12</f>
        <v>3.800856095514166E-22</v>
      </c>
      <c r="DI182" s="22">
        <f t="shared" si="175"/>
        <v>0.63366268991419639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2.0572770154103635E-13</v>
      </c>
      <c r="DQ182" s="13">
        <f t="shared" si="176"/>
        <v>2.8416956338469711E-12</v>
      </c>
      <c r="DR182" s="20">
        <f t="shared" si="177"/>
        <v>5.3075956424674458E-12</v>
      </c>
      <c r="DS182" s="59">
        <f t="shared" si="125"/>
        <v>293.3333333333386</v>
      </c>
      <c r="DT182" s="59">
        <f ca="1">AVERAGE(OFFSET($DS$3,0,0,'Données projet'!$E$14+1,1))-AVERAGE(OFFSET($H$3,0,0,'Données projet'!$E$14+1,1))</f>
        <v>436.23918637269577</v>
      </c>
      <c r="DU182" s="59">
        <f t="shared" si="152"/>
        <v>611.43967996341894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0.17226767516639857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1.7670628471622272E-22</v>
      </c>
      <c r="ED182" s="22">
        <f t="shared" si="178"/>
        <v>0.17226767516639857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430.94515308997018</v>
      </c>
      <c r="T183" s="59">
        <f t="shared" si="142"/>
        <v>294.45557293177131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0.40055310188137611</v>
      </c>
      <c r="AA183" s="21">
        <f>EXP(-LN(2)/25)*AA182+(1-EXP(-LN(2)/25))/(LN(2)/25)*Calculateur!V183*Calculateur!X183*VLOOKUP('Données projet'!$B$9,Paramètres!$A$1:$I$89,3,0)*0.475*44/12</f>
        <v>0.15641581355213457</v>
      </c>
      <c r="AB183" s="21">
        <f>EXP(-LN(2)/2)*AB182+(1-EXP(-LN(2)/2))/(LN(2)/2)*V183*Y183*VLOOKUP('Données projet'!$B$9,Paramètres!$A$1:$I$89,3,0)*0.475*44/12</f>
        <v>2.4149549189281452E-22</v>
      </c>
      <c r="AC183" s="22">
        <f t="shared" si="163"/>
        <v>0.55696891543351068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319.22903094674564</v>
      </c>
      <c r="AO183" s="59">
        <f t="shared" si="144"/>
        <v>254.58690973142848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0.46534379986710567</v>
      </c>
      <c r="AV183" s="21">
        <f>EXP(-LN(2)/25)*AV182+(1-EXP(-LN(2)/25))/(LN(2)/25)*Calculateur!AQ183*Calculateur!AS183*VLOOKUP('Données projet'!$B$10,Paramètres!$A$1:$I$89,3,0)*0.475*44/12</f>
        <v>0.17423937838578027</v>
      </c>
      <c r="AW183" s="21">
        <f>EXP(-LN(2)/2)*AW182+(1-EXP(-LN(2)/2))/(LN(2)/2)*AQ183*AT183*VLOOKUP('Données projet'!$B$10,Paramètres!$A$1:$I$89,3,0)*0.475*44/12</f>
        <v>2.923091813092377E-22</v>
      </c>
      <c r="AX183" s="21">
        <f t="shared" si="166"/>
        <v>0.63958317825288591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395.21779046720553</v>
      </c>
      <c r="BJ183" s="59">
        <f t="shared" si="146"/>
        <v>360.05900046417361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0.24669480077721434</v>
      </c>
      <c r="BQ183" s="21">
        <f>EXP(-LN(2)/25)*BQ182+(1-EXP(-LN(2)/25))/(LN(2)/25)*Calculateur!BL183*Calculateur!BN183*VLOOKUP('Données projet'!$B$11,Paramètres!$A$1:$I$89,3,0)*0.475*44/12</f>
        <v>0.17625250085083402</v>
      </c>
      <c r="BR183" s="21">
        <f>EXP(-LN(2)/2)*BR182+(1-EXP(-LN(2)/2))/(LN(2)/2)*BL183*BO183*VLOOKUP('Données projet'!$B$11,Paramètres!$A$1:$I$89,3,0)*0.475*44/12</f>
        <v>1.8522243664493751E-22</v>
      </c>
      <c r="BS183" s="22">
        <f t="shared" si="169"/>
        <v>0.42294730162804839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449.84356201138451</v>
      </c>
      <c r="CE183" s="59">
        <f t="shared" si="148"/>
        <v>306.61893266146666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0.41993470358531393</v>
      </c>
      <c r="CL183" s="21">
        <f>EXP(-LN(2)/25)*CL182+(1-EXP(-LN(2)/25))/(LN(2)/25)*Calculateur!CG183*Calculateur!CI183*VLOOKUP('Données projet'!$B$12,Paramètres!$A$1:$I$89,3,0)*0.475*44/12</f>
        <v>0.16398432065949584</v>
      </c>
      <c r="CM183" s="21">
        <f>EXP(-LN(2)/2)*CM182+(1-EXP(-LN(2)/2))/(LN(2)/2)*CG183*CJ183*VLOOKUP('Données projet'!$B$12,Paramètres!$A$1:$I$89,3,0)*0.475*44/12</f>
        <v>2.5318075762956356E-22</v>
      </c>
      <c r="CN183" s="22">
        <f t="shared" si="172"/>
        <v>0.58391902424480979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475.01366239340246</v>
      </c>
      <c r="CZ183" s="59">
        <f t="shared" si="150"/>
        <v>322.81767004794284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0.44577683919056349</v>
      </c>
      <c r="DG183" s="21">
        <f>EXP(-LN(2)/25)*DG182+(1-EXP(-LN(2)/25))/(LN(2)/25)*Calculateur!DB183*Calculateur!DD183*VLOOKUP('Données projet'!$B$13,Paramètres!$A$1:$I$89,3,0)*0.475*44/12</f>
        <v>0.17407566346931058</v>
      </c>
      <c r="DH183" s="21">
        <f>EXP(-LN(2)/2)*DH182+(1-EXP(-LN(2)/2))/(LN(2)/2)*DB183*DE183*VLOOKUP('Données projet'!$B$13,Paramètres!$A$1:$I$89,3,0)*0.475*44/12</f>
        <v>2.6876111194522907E-22</v>
      </c>
      <c r="DI183" s="22">
        <f t="shared" si="175"/>
        <v>0.61985250265987402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2.0572770154103635E-13</v>
      </c>
      <c r="DQ183" s="13">
        <f t="shared" si="176"/>
        <v>2.8416956338469711E-12</v>
      </c>
      <c r="DR183" s="20">
        <f t="shared" si="177"/>
        <v>5.3075956424674458E-12</v>
      </c>
      <c r="DS183" s="59">
        <f t="shared" si="125"/>
        <v>293.3333333333386</v>
      </c>
      <c r="DT183" s="59">
        <f ca="1">AVERAGE(OFFSET($DS$3,0,0,'Données projet'!$E$14+1,1))-AVERAGE(OFFSET($H$3,0,0,'Données projet'!$E$14+1,1))</f>
        <v>436.23918637269577</v>
      </c>
      <c r="DU183" s="59">
        <f t="shared" si="152"/>
        <v>611.43967996341894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0.16888961112929227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1.2495021220112186E-22</v>
      </c>
      <c r="ED183" s="22">
        <f t="shared" si="178"/>
        <v>0.16888961112929227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430.94515308997018</v>
      </c>
      <c r="T184" s="59">
        <f t="shared" si="142"/>
        <v>294.45557293177131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0.39269849986675054</v>
      </c>
      <c r="AA184" s="21">
        <f>EXP(-LN(2)/25)*AA183+(1-EXP(-LN(2)/25))/(LN(2)/25)*Calculateur!V184*Calculateur!X184*VLOOKUP('Données projet'!$B$9,Paramètres!$A$1:$I$89,3,0)*0.475*44/12</f>
        <v>0.1521386149050013</v>
      </c>
      <c r="AB184" s="21">
        <f>EXP(-LN(2)/2)*AB183+(1-EXP(-LN(2)/2))/(LN(2)/2)*V184*Y184*VLOOKUP('Données projet'!$B$9,Paramètres!$A$1:$I$89,3,0)*0.475*44/12</f>
        <v>1.7076309994339006E-22</v>
      </c>
      <c r="AC184" s="22">
        <f t="shared" si="163"/>
        <v>0.5448371147717519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319.22903094674564</v>
      </c>
      <c r="AO184" s="59">
        <f t="shared" si="144"/>
        <v>254.58690973142848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0.45621869178340357</v>
      </c>
      <c r="AV184" s="21">
        <f>EXP(-LN(2)/25)*AV183+(1-EXP(-LN(2)/25))/(LN(2)/25)*Calculateur!AQ184*Calculateur!AS184*VLOOKUP('Données projet'!$B$10,Paramètres!$A$1:$I$89,3,0)*0.475*44/12</f>
        <v>0.16947479342097044</v>
      </c>
      <c r="AW184" s="21">
        <f>EXP(-LN(2)/2)*AW183+(1-EXP(-LN(2)/2))/(LN(2)/2)*AQ184*AT184*VLOOKUP('Données projet'!$B$10,Paramètres!$A$1:$I$89,3,0)*0.475*44/12</f>
        <v>2.0669380430685E-22</v>
      </c>
      <c r="AX184" s="21">
        <f t="shared" si="166"/>
        <v>0.62569348520437407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395.21779046720553</v>
      </c>
      <c r="BJ184" s="59">
        <f t="shared" si="146"/>
        <v>360.05900046417361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0.24185726620294407</v>
      </c>
      <c r="BQ184" s="21">
        <f>EXP(-LN(2)/25)*BQ183+(1-EXP(-LN(2)/25))/(LN(2)/25)*Calculateur!BL184*Calculateur!BN184*VLOOKUP('Données projet'!$B$11,Paramètres!$A$1:$I$89,3,0)*0.475*44/12</f>
        <v>0.17143286694635176</v>
      </c>
      <c r="BR184" s="21">
        <f>EXP(-LN(2)/2)*BR183+(1-EXP(-LN(2)/2))/(LN(2)/2)*BL184*BO184*VLOOKUP('Données projet'!$B$11,Paramètres!$A$1:$I$89,3,0)*0.475*44/12</f>
        <v>1.3097204097953099E-22</v>
      </c>
      <c r="BS184" s="22">
        <f t="shared" si="169"/>
        <v>0.41329013314929586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449.84356201138451</v>
      </c>
      <c r="CE184" s="59">
        <f t="shared" si="148"/>
        <v>306.61893266146666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0.41170004018288386</v>
      </c>
      <c r="CL184" s="21">
        <f>EXP(-LN(2)/25)*CL183+(1-EXP(-LN(2)/25))/(LN(2)/25)*Calculateur!CG184*Calculateur!CI184*VLOOKUP('Données projet'!$B$12,Paramètres!$A$1:$I$89,3,0)*0.475*44/12</f>
        <v>0.15950016078750129</v>
      </c>
      <c r="CM184" s="21">
        <f>EXP(-LN(2)/2)*CM183+(1-EXP(-LN(2)/2))/(LN(2)/2)*CG184*CJ184*VLOOKUP('Données projet'!$B$12,Paramètres!$A$1:$I$89,3,0)*0.475*44/12</f>
        <v>1.7902583058581212E-22</v>
      </c>
      <c r="CN184" s="22">
        <f t="shared" si="172"/>
        <v>0.57120020097038515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475.01366239340246</v>
      </c>
      <c r="CZ184" s="59">
        <f t="shared" si="150"/>
        <v>322.81767004794284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0.43703542727106087</v>
      </c>
      <c r="DG184" s="21">
        <f>EXP(-LN(2)/25)*DG183+(1-EXP(-LN(2)/25))/(LN(2)/25)*Calculateur!DB184*Calculateur!DD184*VLOOKUP('Données projet'!$B$13,Paramètres!$A$1:$I$89,3,0)*0.475*44/12</f>
        <v>0.169315555297501</v>
      </c>
      <c r="DH184" s="21">
        <f>EXP(-LN(2)/2)*DH183+(1-EXP(-LN(2)/2))/(LN(2)/2)*DB184*DE184*VLOOKUP('Données projet'!$B$13,Paramètres!$A$1:$I$89,3,0)*0.475*44/12</f>
        <v>1.900428047757083E-22</v>
      </c>
      <c r="DI184" s="22">
        <f t="shared" si="175"/>
        <v>0.6063509825685619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2.0572770154103635E-13</v>
      </c>
      <c r="DQ184" s="13">
        <f t="shared" si="176"/>
        <v>2.8416956338469711E-12</v>
      </c>
      <c r="DR184" s="20">
        <f t="shared" si="177"/>
        <v>5.3075956424674458E-12</v>
      </c>
      <c r="DS184" s="59">
        <f t="shared" si="125"/>
        <v>293.3333333333386</v>
      </c>
      <c r="DT184" s="59">
        <f ca="1">AVERAGE(OFFSET($DS$3,0,0,'Données projet'!$E$14+1,1))-AVERAGE(OFFSET($H$3,0,0,'Données projet'!$E$14+1,1))</f>
        <v>436.23918637269577</v>
      </c>
      <c r="DU184" s="59">
        <f t="shared" si="152"/>
        <v>611.43967996341894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0.16557778886753799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8.835314235811136E-23</v>
      </c>
      <c r="ED184" s="22">
        <f t="shared" si="178"/>
        <v>0.16557778886753799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430.94515308997018</v>
      </c>
      <c r="T185" s="59">
        <f t="shared" si="142"/>
        <v>294.45557293177131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0.38499792180679759</v>
      </c>
      <c r="AA185" s="21">
        <f>EXP(-LN(2)/25)*AA184+(1-EXP(-LN(2)/25))/(LN(2)/25)*Calculateur!V185*Calculateur!X185*VLOOKUP('Données projet'!$B$9,Paramètres!$A$1:$I$89,3,0)*0.475*44/12</f>
        <v>0.147978376479802</v>
      </c>
      <c r="AB185" s="21">
        <f>EXP(-LN(2)/2)*AB184+(1-EXP(-LN(2)/2))/(LN(2)/2)*V185*Y185*VLOOKUP('Données projet'!$B$9,Paramètres!$A$1:$I$89,3,0)*0.475*44/12</f>
        <v>1.2074774594640726E-22</v>
      </c>
      <c r="AC185" s="22">
        <f t="shared" si="163"/>
        <v>0.53297629828659954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319.22903094674564</v>
      </c>
      <c r="AO185" s="59">
        <f t="shared" si="144"/>
        <v>254.58690973142848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0.44727252150345653</v>
      </c>
      <c r="AV185" s="21">
        <f>EXP(-LN(2)/25)*AV184+(1-EXP(-LN(2)/25))/(LN(2)/25)*Calculateur!AQ185*Calculateur!AS185*VLOOKUP('Données projet'!$B$10,Paramètres!$A$1:$I$89,3,0)*0.475*44/12</f>
        <v>0.16484049628258196</v>
      </c>
      <c r="AW185" s="21">
        <f>EXP(-LN(2)/2)*AW184+(1-EXP(-LN(2)/2))/(LN(2)/2)*AQ185*AT185*VLOOKUP('Données projet'!$B$10,Paramètres!$A$1:$I$89,3,0)*0.475*44/12</f>
        <v>1.4615459065461888E-22</v>
      </c>
      <c r="AX185" s="21">
        <f t="shared" si="166"/>
        <v>0.61211301778603855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395.21779046720553</v>
      </c>
      <c r="BJ185" s="59">
        <f t="shared" si="146"/>
        <v>360.05900046417361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0.23711459273107049</v>
      </c>
      <c r="BQ185" s="21">
        <f>EXP(-LN(2)/25)*BQ184+(1-EXP(-LN(2)/25))/(LN(2)/25)*Calculateur!BL185*Calculateur!BN185*VLOOKUP('Données projet'!$B$11,Paramètres!$A$1:$I$89,3,0)*0.475*44/12</f>
        <v>0.16674502618444112</v>
      </c>
      <c r="BR185" s="21">
        <f>EXP(-LN(2)/2)*BR184+(1-EXP(-LN(2)/2))/(LN(2)/2)*BL185*BO185*VLOOKUP('Données projet'!$B$11,Paramètres!$A$1:$I$89,3,0)*0.475*44/12</f>
        <v>9.2611218322468755E-23</v>
      </c>
      <c r="BS185" s="22">
        <f t="shared" si="169"/>
        <v>0.40385961891551159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449.84356201138451</v>
      </c>
      <c r="CE185" s="59">
        <f t="shared" si="148"/>
        <v>306.61893266146666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0.40362685350712674</v>
      </c>
      <c r="CL185" s="21">
        <f>EXP(-LN(2)/25)*CL184+(1-EXP(-LN(2)/25))/(LN(2)/25)*Calculateur!CG185*Calculateur!CI185*VLOOKUP('Données projet'!$B$12,Paramètres!$A$1:$I$89,3,0)*0.475*44/12</f>
        <v>0.15513862050301816</v>
      </c>
      <c r="CM185" s="21">
        <f>EXP(-LN(2)/2)*CM184+(1-EXP(-LN(2)/2))/(LN(2)/2)*CG185*CJ185*VLOOKUP('Données projet'!$B$12,Paramètres!$A$1:$I$89,3,0)*0.475*44/12</f>
        <v>1.2659037881478178E-22</v>
      </c>
      <c r="CN185" s="22">
        <f t="shared" si="172"/>
        <v>0.55876547401014487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475.01366239340246</v>
      </c>
      <c r="CZ185" s="59">
        <f t="shared" si="150"/>
        <v>322.81767004794284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0.42846542910756485</v>
      </c>
      <c r="DG185" s="21">
        <f>EXP(-LN(2)/25)*DG184+(1-EXP(-LN(2)/25))/(LN(2)/25)*Calculateur!DB185*Calculateur!DD185*VLOOKUP('Données projet'!$B$13,Paramètres!$A$1:$I$89,3,0)*0.475*44/12</f>
        <v>0.16468561253397276</v>
      </c>
      <c r="DH185" s="21">
        <f>EXP(-LN(2)/2)*DH184+(1-EXP(-LN(2)/2))/(LN(2)/2)*DB185*DE185*VLOOKUP('Données projet'!$B$13,Paramètres!$A$1:$I$89,3,0)*0.475*44/12</f>
        <v>1.3438055597261454E-22</v>
      </c>
      <c r="DI185" s="22">
        <f t="shared" si="175"/>
        <v>0.59315104164153765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2.0572770154103635E-13</v>
      </c>
      <c r="DQ185" s="13">
        <f t="shared" si="176"/>
        <v>2.8416956338469711E-12</v>
      </c>
      <c r="DR185" s="20">
        <f t="shared" si="177"/>
        <v>5.3075956424674458E-12</v>
      </c>
      <c r="DS185" s="59">
        <f t="shared" si="125"/>
        <v>293.3333333333386</v>
      </c>
      <c r="DT185" s="59">
        <f ca="1">AVERAGE(OFFSET($DS$3,0,0,'Données projet'!$E$14+1,1))-AVERAGE(OFFSET($H$3,0,0,'Données projet'!$E$14+1,1))</f>
        <v>436.23918637269577</v>
      </c>
      <c r="DU185" s="59">
        <f t="shared" si="152"/>
        <v>611.43967996341894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0.1623309094203246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6.2475106100560932E-23</v>
      </c>
      <c r="ED185" s="22">
        <f t="shared" si="178"/>
        <v>0.1623309094203246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430.94515308997018</v>
      </c>
      <c r="T186" s="59">
        <f t="shared" si="142"/>
        <v>294.45557293177131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0.37744834738571148</v>
      </c>
      <c r="AA186" s="21">
        <f>EXP(-LN(2)/25)*AA185+(1-EXP(-LN(2)/25))/(LN(2)/25)*Calculateur!V186*Calculateur!X186*VLOOKUP('Données projet'!$B$9,Paramètres!$A$1:$I$89,3,0)*0.475*44/12</f>
        <v>0.1439318999931172</v>
      </c>
      <c r="AB186" s="21">
        <f>EXP(-LN(2)/2)*AB185+(1-EXP(-LN(2)/2))/(LN(2)/2)*V186*Y186*VLOOKUP('Données projet'!$B$9,Paramètres!$A$1:$I$89,3,0)*0.475*44/12</f>
        <v>8.5381549971695032E-23</v>
      </c>
      <c r="AC186" s="22">
        <f t="shared" si="163"/>
        <v>0.52138024737882871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319.22903094674564</v>
      </c>
      <c r="AO186" s="59">
        <f t="shared" si="144"/>
        <v>254.58690973142848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0.43850178016607416</v>
      </c>
      <c r="AV186" s="21">
        <f>EXP(-LN(2)/25)*AV185+(1-EXP(-LN(2)/25))/(LN(2)/25)*Calculateur!AQ186*Calculateur!AS186*VLOOKUP('Données projet'!$B$10,Paramètres!$A$1:$I$89,3,0)*0.475*44/12</f>
        <v>0.16033292424314979</v>
      </c>
      <c r="AW186" s="21">
        <f>EXP(-LN(2)/2)*AW185+(1-EXP(-LN(2)/2))/(LN(2)/2)*AQ186*AT186*VLOOKUP('Données projet'!$B$10,Paramètres!$A$1:$I$89,3,0)*0.475*44/12</f>
        <v>1.0334690215342503E-22</v>
      </c>
      <c r="AX186" s="21">
        <f t="shared" si="166"/>
        <v>0.59883470440922393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395.21779046720553</v>
      </c>
      <c r="BJ186" s="59">
        <f t="shared" si="146"/>
        <v>360.05900046417361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0.23246492019323517</v>
      </c>
      <c r="BQ186" s="21">
        <f>EXP(-LN(2)/25)*BQ185+(1-EXP(-LN(2)/25))/(LN(2)/25)*Calculateur!BL186*Calculateur!BN186*VLOOKUP('Données projet'!$B$11,Paramètres!$A$1:$I$89,3,0)*0.475*44/12</f>
        <v>0.16218537467468774</v>
      </c>
      <c r="BR186" s="21">
        <f>EXP(-LN(2)/2)*BR185+(1-EXP(-LN(2)/2))/(LN(2)/2)*BL186*BO186*VLOOKUP('Données projet'!$B$11,Paramètres!$A$1:$I$89,3,0)*0.475*44/12</f>
        <v>6.5486020489765493E-23</v>
      </c>
      <c r="BS186" s="22">
        <f t="shared" si="169"/>
        <v>0.39465029486792291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449.84356201138451</v>
      </c>
      <c r="CE186" s="59">
        <f t="shared" si="148"/>
        <v>306.61893266146666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0.39571197709792355</v>
      </c>
      <c r="CL186" s="21">
        <f>EXP(-LN(2)/25)*CL185+(1-EXP(-LN(2)/25))/(LN(2)/25)*Calculateur!CG186*Calculateur!CI186*VLOOKUP('Données projet'!$B$12,Paramètres!$A$1:$I$89,3,0)*0.475*44/12</f>
        <v>0.15089634676697766</v>
      </c>
      <c r="CM186" s="21">
        <f>EXP(-LN(2)/2)*CM185+(1-EXP(-LN(2)/2))/(LN(2)/2)*CG186*CJ186*VLOOKUP('Données projet'!$B$12,Paramètres!$A$1:$I$89,3,0)*0.475*44/12</f>
        <v>8.9512915292906061E-23</v>
      </c>
      <c r="CN186" s="22">
        <f t="shared" si="172"/>
        <v>0.54660832386490121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475.01366239340246</v>
      </c>
      <c r="CZ186" s="59">
        <f t="shared" si="150"/>
        <v>322.81767004794284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0.42006348338087229</v>
      </c>
      <c r="DG186" s="21">
        <f>EXP(-LN(2)/25)*DG185+(1-EXP(-LN(2)/25))/(LN(2)/25)*Calculateur!DB186*Calculateur!DD186*VLOOKUP('Données projet'!$B$13,Paramètres!$A$1:$I$89,3,0)*0.475*44/12</f>
        <v>0.1601822757987913</v>
      </c>
      <c r="DH186" s="21">
        <f>EXP(-LN(2)/2)*DH185+(1-EXP(-LN(2)/2))/(LN(2)/2)*DB186*DE186*VLOOKUP('Données projet'!$B$13,Paramètres!$A$1:$I$89,3,0)*0.475*44/12</f>
        <v>9.502140238785415E-23</v>
      </c>
      <c r="DI186" s="22">
        <f t="shared" si="175"/>
        <v>0.58024575917966359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2.0572770154103635E-13</v>
      </c>
      <c r="DQ186" s="13">
        <f t="shared" si="176"/>
        <v>2.8416956338469711E-12</v>
      </c>
      <c r="DR186" s="20">
        <f t="shared" si="177"/>
        <v>5.3075956424674458E-12</v>
      </c>
      <c r="DS186" s="59">
        <f t="shared" si="125"/>
        <v>293.3333333333386</v>
      </c>
      <c r="DT186" s="59">
        <f ca="1">AVERAGE(OFFSET($DS$3,0,0,'Données projet'!$E$14+1,1))-AVERAGE(OFFSET($H$3,0,0,'Données projet'!$E$14+1,1))</f>
        <v>436.23918637269577</v>
      </c>
      <c r="DU186" s="59">
        <f t="shared" si="152"/>
        <v>611.43967996341894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0.15914769929867015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4.417657117905568E-23</v>
      </c>
      <c r="ED186" s="22">
        <f t="shared" si="178"/>
        <v>0.15914769929867015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430.94515308997018</v>
      </c>
      <c r="T187" s="59">
        <f t="shared" si="142"/>
        <v>294.45557293177131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0.37004681551423718</v>
      </c>
      <c r="AA187" s="21">
        <f>EXP(-LN(2)/25)*AA186+(1-EXP(-LN(2)/25))/(LN(2)/25)*Calculateur!V187*Calculateur!X187*VLOOKUP('Données projet'!$B$9,Paramètres!$A$1:$I$89,3,0)*0.475*44/12</f>
        <v>0.13999607461875574</v>
      </c>
      <c r="AB187" s="21">
        <f>EXP(-LN(2)/2)*AB186+(1-EXP(-LN(2)/2))/(LN(2)/2)*V187*Y187*VLOOKUP('Données projet'!$B$9,Paramètres!$A$1:$I$89,3,0)*0.475*44/12</f>
        <v>6.0373872973203631E-23</v>
      </c>
      <c r="AC187" s="22">
        <f t="shared" si="163"/>
        <v>0.51004289013299298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319.22903094674564</v>
      </c>
      <c r="AO187" s="59">
        <f t="shared" si="144"/>
        <v>254.58690973142848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0.42990302771669392</v>
      </c>
      <c r="AV187" s="21">
        <f>EXP(-LN(2)/25)*AV186+(1-EXP(-LN(2)/25))/(LN(2)/25)*Calculateur!AQ187*Calculateur!AS187*VLOOKUP('Données projet'!$B$10,Paramètres!$A$1:$I$89,3,0)*0.475*44/12</f>
        <v>0.15594861199817883</v>
      </c>
      <c r="AW187" s="21">
        <f>EXP(-LN(2)/2)*AW186+(1-EXP(-LN(2)/2))/(LN(2)/2)*AQ187*AT187*VLOOKUP('Données projet'!$B$10,Paramètres!$A$1:$I$89,3,0)*0.475*44/12</f>
        <v>7.307729532730945E-23</v>
      </c>
      <c r="AX187" s="21">
        <f t="shared" si="166"/>
        <v>0.58585163971487275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395.21779046720553</v>
      </c>
      <c r="BJ187" s="59">
        <f t="shared" si="146"/>
        <v>360.05900046417361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0.2279064248978466</v>
      </c>
      <c r="BQ187" s="21">
        <f>EXP(-LN(2)/25)*BQ186+(1-EXP(-LN(2)/25))/(LN(2)/25)*Calculateur!BL187*Calculateur!BN187*VLOOKUP('Données projet'!$B$11,Paramètres!$A$1:$I$89,3,0)*0.475*44/12</f>
        <v>0.15775040707525023</v>
      </c>
      <c r="BR187" s="21">
        <f>EXP(-LN(2)/2)*BR186+(1-EXP(-LN(2)/2))/(LN(2)/2)*BL187*BO187*VLOOKUP('Données projet'!$B$11,Paramètres!$A$1:$I$89,3,0)*0.475*44/12</f>
        <v>4.6305609161234377E-23</v>
      </c>
      <c r="BS187" s="22">
        <f t="shared" si="169"/>
        <v>0.38565683197309686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449.84356201138451</v>
      </c>
      <c r="CE187" s="59">
        <f t="shared" si="148"/>
        <v>306.61893266146666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0.38795230658750696</v>
      </c>
      <c r="CL187" s="21">
        <f>EXP(-LN(2)/25)*CL186+(1-EXP(-LN(2)/25))/(LN(2)/25)*Calculateur!CG187*Calculateur!CI187*VLOOKUP('Données projet'!$B$12,Paramètres!$A$1:$I$89,3,0)*0.475*44/12</f>
        <v>0.14677007822934066</v>
      </c>
      <c r="CM187" s="21">
        <f>EXP(-LN(2)/2)*CM186+(1-EXP(-LN(2)/2))/(LN(2)/2)*CG187*CJ187*VLOOKUP('Données projet'!$B$12,Paramètres!$A$1:$I$89,3,0)*0.475*44/12</f>
        <v>6.3295189407390889E-23</v>
      </c>
      <c r="CN187" s="22">
        <f t="shared" si="172"/>
        <v>0.53472238481684764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475.01366239340246</v>
      </c>
      <c r="CZ187" s="59">
        <f t="shared" si="150"/>
        <v>322.81767004794284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0.41182629468519927</v>
      </c>
      <c r="DG187" s="21">
        <f>EXP(-LN(2)/25)*DG186+(1-EXP(-LN(2)/25))/(LN(2)/25)*Calculateur!DB187*Calculateur!DD187*VLOOKUP('Données projet'!$B$13,Paramètres!$A$1:$I$89,3,0)*0.475*44/12</f>
        <v>0.15580208304345355</v>
      </c>
      <c r="DH187" s="21">
        <f>EXP(-LN(2)/2)*DH186+(1-EXP(-LN(2)/2))/(LN(2)/2)*DB187*DE187*VLOOKUP('Données projet'!$B$13,Paramètres!$A$1:$I$89,3,0)*0.475*44/12</f>
        <v>6.7190277986307268E-23</v>
      </c>
      <c r="DI187" s="22">
        <f t="shared" si="175"/>
        <v>0.56762837772865282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2.0572770154103635E-13</v>
      </c>
      <c r="DQ187" s="13">
        <f t="shared" si="176"/>
        <v>2.8416956338469711E-12</v>
      </c>
      <c r="DR187" s="20">
        <f t="shared" si="177"/>
        <v>5.3075956424674458E-12</v>
      </c>
      <c r="DS187" s="59">
        <f t="shared" si="125"/>
        <v>293.3333333333386</v>
      </c>
      <c r="DT187" s="59">
        <f ca="1">AVERAGE(OFFSET($DS$3,0,0,'Données projet'!$E$14+1,1))-AVERAGE(OFFSET($H$3,0,0,'Données projet'!$E$14+1,1))</f>
        <v>436.23918637269577</v>
      </c>
      <c r="DU187" s="59">
        <f t="shared" si="152"/>
        <v>611.43967996341894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0.15602690998593488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3.1237553050280466E-23</v>
      </c>
      <c r="ED187" s="22">
        <f t="shared" si="178"/>
        <v>0.15602690998593488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430.94515308997018</v>
      </c>
      <c r="T188" s="59">
        <f t="shared" si="142"/>
        <v>294.45557293177131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0.36279042316827381</v>
      </c>
      <c r="AA188" s="21">
        <f>EXP(-LN(2)/25)*AA187+(1-EXP(-LN(2)/25))/(LN(2)/25)*Calculateur!V188*Calculateur!X188*VLOOKUP('Données projet'!$B$9,Paramètres!$A$1:$I$89,3,0)*0.475*44/12</f>
        <v>0.13616787459623225</v>
      </c>
      <c r="AB188" s="21">
        <f>EXP(-LN(2)/2)*AB187+(1-EXP(-LN(2)/2))/(LN(2)/2)*V188*Y188*VLOOKUP('Données projet'!$B$9,Paramètres!$A$1:$I$89,3,0)*0.475*44/12</f>
        <v>4.2690774985847516E-23</v>
      </c>
      <c r="AC188" s="22">
        <f t="shared" si="163"/>
        <v>0.49895829776450606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319.22903094674564</v>
      </c>
      <c r="AO188" s="59">
        <f t="shared" si="144"/>
        <v>254.58690973142848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0.4214728915581249</v>
      </c>
      <c r="AV188" s="21">
        <f>EXP(-LN(2)/25)*AV187+(1-EXP(-LN(2)/25))/(LN(2)/25)*Calculateur!AQ188*Calculateur!AS188*VLOOKUP('Données projet'!$B$10,Paramètres!$A$1:$I$89,3,0)*0.475*44/12</f>
        <v>0.15168418900210756</v>
      </c>
      <c r="AW188" s="21">
        <f>EXP(-LN(2)/2)*AW187+(1-EXP(-LN(2)/2))/(LN(2)/2)*AQ188*AT188*VLOOKUP('Données projet'!$B$10,Paramètres!$A$1:$I$89,3,0)*0.475*44/12</f>
        <v>5.1673451076712519E-23</v>
      </c>
      <c r="AX188" s="21">
        <f t="shared" si="166"/>
        <v>0.5731570805602324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395.21779046720553</v>
      </c>
      <c r="BJ188" s="59">
        <f t="shared" si="146"/>
        <v>360.05900046417361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0.22343731891479299</v>
      </c>
      <c r="BQ188" s="21">
        <f>EXP(-LN(2)/25)*BQ187+(1-EXP(-LN(2)/25))/(LN(2)/25)*Calculateur!BL188*Calculateur!BN188*VLOOKUP('Données projet'!$B$11,Paramètres!$A$1:$I$89,3,0)*0.475*44/12</f>
        <v>0.15343671389804414</v>
      </c>
      <c r="BR188" s="21">
        <f>EXP(-LN(2)/2)*BR187+(1-EXP(-LN(2)/2))/(LN(2)/2)*BL188*BO188*VLOOKUP('Données projet'!$B$11,Paramètres!$A$1:$I$89,3,0)*0.475*44/12</f>
        <v>3.2743010244882747E-23</v>
      </c>
      <c r="BS188" s="22">
        <f t="shared" si="169"/>
        <v>0.37687403281283716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449.84356201138451</v>
      </c>
      <c r="CE188" s="59">
        <f t="shared" si="148"/>
        <v>306.61893266146666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0.38034479848286795</v>
      </c>
      <c r="CL188" s="21">
        <f>EXP(-LN(2)/25)*CL187+(1-EXP(-LN(2)/25))/(LN(2)/25)*Calculateur!CG188*Calculateur!CI188*VLOOKUP('Données projet'!$B$12,Paramètres!$A$1:$I$89,3,0)*0.475*44/12</f>
        <v>0.14275664272185637</v>
      </c>
      <c r="CM188" s="21">
        <f>EXP(-LN(2)/2)*CM187+(1-EXP(-LN(2)/2))/(LN(2)/2)*CG188*CJ188*VLOOKUP('Données projet'!$B$12,Paramètres!$A$1:$I$89,3,0)*0.475*44/12</f>
        <v>4.475645764645303E-23</v>
      </c>
      <c r="CN188" s="22">
        <f t="shared" si="172"/>
        <v>0.52310144120472435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475.01366239340246</v>
      </c>
      <c r="CZ188" s="59">
        <f t="shared" si="150"/>
        <v>322.81767004794284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0.40375063223565938</v>
      </c>
      <c r="DG188" s="21">
        <f>EXP(-LN(2)/25)*DG187+(1-EXP(-LN(2)/25))/(LN(2)/25)*Calculateur!DB188*Calculateur!DD188*VLOOKUP('Données projet'!$B$13,Paramètres!$A$1:$I$89,3,0)*0.475*44/12</f>
        <v>0.15154166688935486</v>
      </c>
      <c r="DH188" s="21">
        <f>EXP(-LN(2)/2)*DH187+(1-EXP(-LN(2)/2))/(LN(2)/2)*DB188*DE188*VLOOKUP('Données projet'!$B$13,Paramètres!$A$1:$I$89,3,0)*0.475*44/12</f>
        <v>4.7510701193927075E-23</v>
      </c>
      <c r="DI188" s="22">
        <f t="shared" si="175"/>
        <v>0.55529229912501421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2.0572770154103635E-13</v>
      </c>
      <c r="DQ188" s="13">
        <f t="shared" si="176"/>
        <v>2.8416956338469711E-12</v>
      </c>
      <c r="DR188" s="20">
        <f t="shared" si="177"/>
        <v>5.3075956424674458E-12</v>
      </c>
      <c r="DS188" s="59">
        <f t="shared" si="125"/>
        <v>293.3333333333386</v>
      </c>
      <c r="DT188" s="59">
        <f ca="1">AVERAGE(OFFSET($DS$3,0,0,'Données projet'!$E$14+1,1))-AVERAGE(OFFSET($H$3,0,0,'Données projet'!$E$14+1,1))</f>
        <v>436.23918637269577</v>
      </c>
      <c r="DU188" s="59">
        <f t="shared" si="152"/>
        <v>611.43967996341894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0.15296731744812883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2.208828558952784E-23</v>
      </c>
      <c r="ED188" s="22">
        <f t="shared" si="178"/>
        <v>0.15296731744812883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430.94515308997018</v>
      </c>
      <c r="T189" s="59">
        <f t="shared" si="142"/>
        <v>294.45557293177131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0.35567632425025247</v>
      </c>
      <c r="AA189" s="21">
        <f>EXP(-LN(2)/25)*AA188+(1-EXP(-LN(2)/25))/(LN(2)/25)*Calculateur!V189*Calculateur!X189*VLOOKUP('Données projet'!$B$9,Paramètres!$A$1:$I$89,3,0)*0.475*44/12</f>
        <v>0.13244435690464096</v>
      </c>
      <c r="AB189" s="21">
        <f>EXP(-LN(2)/2)*AB188+(1-EXP(-LN(2)/2))/(LN(2)/2)*V189*Y189*VLOOKUP('Données projet'!$B$9,Paramètres!$A$1:$I$89,3,0)*0.475*44/12</f>
        <v>3.0186936486601816E-23</v>
      </c>
      <c r="AC189" s="22">
        <f t="shared" si="163"/>
        <v>0.48812068115489343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319.22903094674564</v>
      </c>
      <c r="AO189" s="59">
        <f t="shared" si="144"/>
        <v>254.58690973142848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0.41320806522775005</v>
      </c>
      <c r="AV189" s="21">
        <f>EXP(-LN(2)/25)*AV188+(1-EXP(-LN(2)/25))/(LN(2)/25)*Calculateur!AQ189*Calculateur!AS189*VLOOKUP('Données projet'!$B$10,Paramètres!$A$1:$I$89,3,0)*0.475*44/12</f>
        <v>0.1475363768771201</v>
      </c>
      <c r="AW189" s="21">
        <f>EXP(-LN(2)/2)*AW188+(1-EXP(-LN(2)/2))/(LN(2)/2)*AQ189*AT189*VLOOKUP('Données projet'!$B$10,Paramètres!$A$1:$I$89,3,0)*0.475*44/12</f>
        <v>3.6538647663654731E-23</v>
      </c>
      <c r="AX189" s="21">
        <f t="shared" si="166"/>
        <v>0.56074444210487018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395.21779046720553</v>
      </c>
      <c r="BJ189" s="59">
        <f t="shared" si="146"/>
        <v>360.05900046417361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0.21905584937418157</v>
      </c>
      <c r="BQ189" s="21">
        <f>EXP(-LN(2)/25)*BQ188+(1-EXP(-LN(2)/25))/(LN(2)/25)*Calculateur!BL189*Calculateur!BN189*VLOOKUP('Données projet'!$B$11,Paramètres!$A$1:$I$89,3,0)*0.475*44/12</f>
        <v>0.14924097888761603</v>
      </c>
      <c r="BR189" s="21">
        <f>EXP(-LN(2)/2)*BR188+(1-EXP(-LN(2)/2))/(LN(2)/2)*BL189*BO189*VLOOKUP('Données projet'!$B$11,Paramètres!$A$1:$I$89,3,0)*0.475*44/12</f>
        <v>2.3152804580617189E-23</v>
      </c>
      <c r="BS189" s="22">
        <f t="shared" si="169"/>
        <v>0.3682968282617976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449.84356201138451</v>
      </c>
      <c r="CE189" s="59">
        <f t="shared" si="148"/>
        <v>306.61893266146666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0.37288646897203914</v>
      </c>
      <c r="CL189" s="21">
        <f>EXP(-LN(2)/25)*CL188+(1-EXP(-LN(2)/25))/(LN(2)/25)*Calculateur!CG189*Calculateur!CI189*VLOOKUP('Données projet'!$B$12,Paramètres!$A$1:$I$89,3,0)*0.475*44/12</f>
        <v>0.13885295481938165</v>
      </c>
      <c r="CM189" s="21">
        <f>EXP(-LN(2)/2)*CM188+(1-EXP(-LN(2)/2))/(LN(2)/2)*CG189*CJ189*VLOOKUP('Données projet'!$B$12,Paramètres!$A$1:$I$89,3,0)*0.475*44/12</f>
        <v>3.1647594703695444E-23</v>
      </c>
      <c r="CN189" s="22">
        <f t="shared" si="172"/>
        <v>0.51173942379142079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475.01366239340246</v>
      </c>
      <c r="CZ189" s="59">
        <f t="shared" si="150"/>
        <v>322.81767004794284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0.39583332860108728</v>
      </c>
      <c r="DG189" s="21">
        <f>EXP(-LN(2)/25)*DG188+(1-EXP(-LN(2)/25))/(LN(2)/25)*Calculateur!DB189*Calculateur!DD189*VLOOKUP('Données projet'!$B$13,Paramètres!$A$1:$I$89,3,0)*0.475*44/12</f>
        <v>0.14739775203903555</v>
      </c>
      <c r="DH189" s="21">
        <f>EXP(-LN(2)/2)*DH188+(1-EXP(-LN(2)/2))/(LN(2)/2)*DB189*DE189*VLOOKUP('Données projet'!$B$13,Paramètres!$A$1:$I$89,3,0)*0.475*44/12</f>
        <v>3.3595138993153634E-23</v>
      </c>
      <c r="DI189" s="22">
        <f t="shared" si="175"/>
        <v>0.54323108064012282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2.0572770154103635E-13</v>
      </c>
      <c r="DQ189" s="13">
        <f t="shared" si="176"/>
        <v>2.8416956338469711E-12</v>
      </c>
      <c r="DR189" s="20">
        <f t="shared" si="177"/>
        <v>5.3075956424674458E-12</v>
      </c>
      <c r="DS189" s="59">
        <f t="shared" si="125"/>
        <v>293.3333333333386</v>
      </c>
      <c r="DT189" s="59">
        <f ca="1">AVERAGE(OFFSET($DS$3,0,0,'Données projet'!$E$14+1,1))-AVERAGE(OFFSET($H$3,0,0,'Données projet'!$E$14+1,1))</f>
        <v>436.23918637269577</v>
      </c>
      <c r="DU189" s="59">
        <f t="shared" si="152"/>
        <v>611.43967996341894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0.14996772165382197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1.5618776525140233E-23</v>
      </c>
      <c r="ED189" s="22">
        <f t="shared" si="178"/>
        <v>0.14996772165382197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430.94515308997018</v>
      </c>
      <c r="T190" s="59">
        <f t="shared" si="142"/>
        <v>294.45557293177131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0.34870172847284164</v>
      </c>
      <c r="AA190" s="21">
        <f>EXP(-LN(2)/25)*AA189+(1-EXP(-LN(2)/25))/(LN(2)/25)*Calculateur!V190*Calculateur!X190*VLOOKUP('Données projet'!$B$9,Paramètres!$A$1:$I$89,3,0)*0.475*44/12</f>
        <v>0.12882265900013753</v>
      </c>
      <c r="AB190" s="21">
        <f>EXP(-LN(2)/2)*AB189+(1-EXP(-LN(2)/2))/(LN(2)/2)*V190*Y190*VLOOKUP('Données projet'!$B$9,Paramètres!$A$1:$I$89,3,0)*0.475*44/12</f>
        <v>2.1345387492923758E-23</v>
      </c>
      <c r="AC190" s="22">
        <f t="shared" si="163"/>
        <v>0.47752438747297921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319.22903094674564</v>
      </c>
      <c r="AO190" s="59">
        <f t="shared" si="144"/>
        <v>254.58690973142848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0.40510530710066756</v>
      </c>
      <c r="AV190" s="21">
        <f>EXP(-LN(2)/25)*AV189+(1-EXP(-LN(2)/25))/(LN(2)/25)*Calculateur!AQ190*Calculateur!AS190*VLOOKUP('Données projet'!$B$10,Paramètres!$A$1:$I$89,3,0)*0.475*44/12</f>
        <v>0.14350198689281438</v>
      </c>
      <c r="AW190" s="21">
        <f>EXP(-LN(2)/2)*AW189+(1-EXP(-LN(2)/2))/(LN(2)/2)*AQ190*AT190*VLOOKUP('Données projet'!$B$10,Paramètres!$A$1:$I$89,3,0)*0.475*44/12</f>
        <v>2.5836725538356262E-23</v>
      </c>
      <c r="AX190" s="21">
        <f t="shared" si="166"/>
        <v>0.54860729399348196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395.21779046720553</v>
      </c>
      <c r="BJ190" s="59">
        <f t="shared" si="146"/>
        <v>360.05900046417361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0.21476029777882902</v>
      </c>
      <c r="BQ190" s="21">
        <f>EXP(-LN(2)/25)*BQ189+(1-EXP(-LN(2)/25))/(LN(2)/25)*Calculateur!BL190*Calculateur!BN190*VLOOKUP('Données projet'!$B$11,Paramètres!$A$1:$I$89,3,0)*0.475*44/12</f>
        <v>0.14515997647169218</v>
      </c>
      <c r="BR190" s="21">
        <f>EXP(-LN(2)/2)*BR189+(1-EXP(-LN(2)/2))/(LN(2)/2)*BL190*BO190*VLOOKUP('Données projet'!$B$11,Paramètres!$A$1:$I$89,3,0)*0.475*44/12</f>
        <v>1.6371505122441373E-23</v>
      </c>
      <c r="BS190" s="22">
        <f t="shared" si="169"/>
        <v>0.3599202742505212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449.84356201138451</v>
      </c>
      <c r="CE190" s="59">
        <f t="shared" si="148"/>
        <v>306.61893266146666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0.36557439275378584</v>
      </c>
      <c r="CL190" s="21">
        <f>EXP(-LN(2)/25)*CL189+(1-EXP(-LN(2)/25))/(LN(2)/25)*Calculateur!CG190*Calculateur!CI190*VLOOKUP('Données projet'!$B$12,Paramètres!$A$1:$I$89,3,0)*0.475*44/12</f>
        <v>0.13505601346788612</v>
      </c>
      <c r="CM190" s="21">
        <f>EXP(-LN(2)/2)*CM189+(1-EXP(-LN(2)/2))/(LN(2)/2)*CG190*CJ190*VLOOKUP('Données projet'!$B$12,Paramètres!$A$1:$I$89,3,0)*0.475*44/12</f>
        <v>2.2378228823226515E-23</v>
      </c>
      <c r="CN190" s="22">
        <f t="shared" si="172"/>
        <v>0.50063040622167199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475.01366239340246</v>
      </c>
      <c r="CZ190" s="59">
        <f t="shared" si="150"/>
        <v>322.81767004794284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0.38807127846171074</v>
      </c>
      <c r="DG190" s="21">
        <f>EXP(-LN(2)/25)*DG189+(1-EXP(-LN(2)/25))/(LN(2)/25)*Calculateur!DB190*Calculateur!DD190*VLOOKUP('Données projet'!$B$13,Paramètres!$A$1:$I$89,3,0)*0.475*44/12</f>
        <v>0.14336715275821721</v>
      </c>
      <c r="DH190" s="21">
        <f>EXP(-LN(2)/2)*DH189+(1-EXP(-LN(2)/2))/(LN(2)/2)*DB190*DE190*VLOOKUP('Données projet'!$B$13,Paramètres!$A$1:$I$89,3,0)*0.475*44/12</f>
        <v>2.3755350596963537E-23</v>
      </c>
      <c r="DI190" s="22">
        <f t="shared" si="175"/>
        <v>0.53143843121992795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2.0572770154103635E-13</v>
      </c>
      <c r="DQ190" s="13">
        <f t="shared" si="176"/>
        <v>2.8416956338469711E-12</v>
      </c>
      <c r="DR190" s="20">
        <f t="shared" si="177"/>
        <v>5.3075956424674458E-12</v>
      </c>
      <c r="DS190" s="59">
        <f t="shared" si="125"/>
        <v>293.3333333333386</v>
      </c>
      <c r="DT190" s="59">
        <f ca="1">AVERAGE(OFFSET($DS$3,0,0,'Données projet'!$E$14+1,1))-AVERAGE(OFFSET($H$3,0,0,'Données projet'!$E$14+1,1))</f>
        <v>436.23918637269577</v>
      </c>
      <c r="DU190" s="59">
        <f t="shared" si="152"/>
        <v>611.43967996341894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0.1470269461034687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1.104414279476392E-23</v>
      </c>
      <c r="ED190" s="22">
        <f t="shared" si="178"/>
        <v>0.1470269461034687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430.94515308997018</v>
      </c>
      <c r="T191" s="59">
        <f t="shared" si="142"/>
        <v>294.45557293177131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0.3418639002645425</v>
      </c>
      <c r="AA191" s="21">
        <f>EXP(-LN(2)/25)*AA190+(1-EXP(-LN(2)/25))/(LN(2)/25)*Calculateur!V191*Calculateur!X191*VLOOKUP('Données projet'!$B$9,Paramètres!$A$1:$I$89,3,0)*0.475*44/12</f>
        <v>0.12529999661528957</v>
      </c>
      <c r="AB191" s="21">
        <f>EXP(-LN(2)/2)*AB190+(1-EXP(-LN(2)/2))/(LN(2)/2)*V191*Y191*VLOOKUP('Données projet'!$B$9,Paramètres!$A$1:$I$89,3,0)*0.475*44/12</f>
        <v>1.5093468243300908E-23</v>
      </c>
      <c r="AC191" s="22">
        <f t="shared" si="163"/>
        <v>0.46716389687983206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319.22903094674564</v>
      </c>
      <c r="AO191" s="59">
        <f t="shared" si="144"/>
        <v>254.58690973142848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0.39716143911826268</v>
      </c>
      <c r="AV191" s="21">
        <f>EXP(-LN(2)/25)*AV190+(1-EXP(-LN(2)/25))/(LN(2)/25)*Calculateur!AQ191*Calculateur!AS191*VLOOKUP('Données projet'!$B$10,Paramètres!$A$1:$I$89,3,0)*0.475*44/12</f>
        <v>0.13957791751478885</v>
      </c>
      <c r="AW191" s="21">
        <f>EXP(-LN(2)/2)*AW190+(1-EXP(-LN(2)/2))/(LN(2)/2)*AQ191*AT191*VLOOKUP('Données projet'!$B$10,Paramètres!$A$1:$I$89,3,0)*0.475*44/12</f>
        <v>1.8269323831827368E-23</v>
      </c>
      <c r="AX191" s="21">
        <f t="shared" si="166"/>
        <v>0.5367393566330515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395.21779046720553</v>
      </c>
      <c r="BJ191" s="59">
        <f t="shared" si="146"/>
        <v>360.05900046417361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0.21054897933023356</v>
      </c>
      <c r="BQ191" s="21">
        <f>EXP(-LN(2)/25)*BQ190+(1-EXP(-LN(2)/25))/(LN(2)/25)*Calculateur!BL191*Calculateur!BN191*VLOOKUP('Données projet'!$B$11,Paramètres!$A$1:$I$89,3,0)*0.475*44/12</f>
        <v>0.14119056928144236</v>
      </c>
      <c r="BR191" s="21">
        <f>EXP(-LN(2)/2)*BR190+(1-EXP(-LN(2)/2))/(LN(2)/2)*BL191*BO191*VLOOKUP('Données projet'!$B$11,Paramètres!$A$1:$I$89,3,0)*0.475*44/12</f>
        <v>1.1576402290308594E-23</v>
      </c>
      <c r="BS191" s="22">
        <f t="shared" si="169"/>
        <v>0.35173954861167589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449.84356201138451</v>
      </c>
      <c r="CE191" s="59">
        <f t="shared" si="148"/>
        <v>306.61893266146666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0.3584057018902464</v>
      </c>
      <c r="CL191" s="21">
        <f>EXP(-LN(2)/25)*CL190+(1-EXP(-LN(2)/25))/(LN(2)/25)*Calculateur!CG191*Calculateur!CI191*VLOOKUP('Données projet'!$B$12,Paramètres!$A$1:$I$89,3,0)*0.475*44/12</f>
        <v>0.13136289967731971</v>
      </c>
      <c r="CM191" s="21">
        <f>EXP(-LN(2)/2)*CM190+(1-EXP(-LN(2)/2))/(LN(2)/2)*CG191*CJ191*VLOOKUP('Données projet'!$B$12,Paramètres!$A$1:$I$89,3,0)*0.475*44/12</f>
        <v>1.5823797351847722E-23</v>
      </c>
      <c r="CN191" s="22">
        <f t="shared" si="172"/>
        <v>0.48976860156756608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475.01366239340246</v>
      </c>
      <c r="CZ191" s="59">
        <f t="shared" si="150"/>
        <v>322.81767004794284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0.38046143739118427</v>
      </c>
      <c r="DG191" s="21">
        <f>EXP(-LN(2)/25)*DG190+(1-EXP(-LN(2)/25))/(LN(2)/25)*Calculateur!DB191*Calculateur!DD191*VLOOKUP('Données projet'!$B$13,Paramètres!$A$1:$I$89,3,0)*0.475*44/12</f>
        <v>0.13944677042669287</v>
      </c>
      <c r="DH191" s="21">
        <f>EXP(-LN(2)/2)*DH190+(1-EXP(-LN(2)/2))/(LN(2)/2)*DB191*DE191*VLOOKUP('Données projet'!$B$13,Paramètres!$A$1:$I$89,3,0)*0.475*44/12</f>
        <v>1.6797569496576817E-23</v>
      </c>
      <c r="DI191" s="22">
        <f t="shared" si="175"/>
        <v>0.51990820781787717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2.0572770154103635E-13</v>
      </c>
      <c r="DQ191" s="13">
        <f t="shared" si="176"/>
        <v>2.8416956338469711E-12</v>
      </c>
      <c r="DR191" s="20">
        <f t="shared" si="177"/>
        <v>5.3075956424674458E-12</v>
      </c>
      <c r="DS191" s="59">
        <f t="shared" si="125"/>
        <v>293.3333333333386</v>
      </c>
      <c r="DT191" s="59">
        <f ca="1">AVERAGE(OFFSET($DS$3,0,0,'Données projet'!$E$14+1,1))-AVERAGE(OFFSET($H$3,0,0,'Données projet'!$E$14+1,1))</f>
        <v>436.23918637269577</v>
      </c>
      <c r="DU191" s="59">
        <f t="shared" si="152"/>
        <v>611.43967996341894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0.14414383736796188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7.8093882625701165E-24</v>
      </c>
      <c r="ED191" s="22">
        <f t="shared" si="178"/>
        <v>0.14414383736796188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430.94515308997018</v>
      </c>
      <c r="T192" s="59">
        <f t="shared" si="142"/>
        <v>294.45557293177131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0.33516015769674468</v>
      </c>
      <c r="AA192" s="21">
        <f>EXP(-LN(2)/25)*AA191+(1-EXP(-LN(2)/25))/(LN(2)/25)*Calculateur!V192*Calculateur!X192*VLOOKUP('Données projet'!$B$9,Paramètres!$A$1:$I$89,3,0)*0.475*44/12</f>
        <v>0.12187366161860402</v>
      </c>
      <c r="AB192" s="21">
        <f>EXP(-LN(2)/2)*AB191+(1-EXP(-LN(2)/2))/(LN(2)/2)*V192*Y192*VLOOKUP('Données projet'!$B$9,Paramètres!$A$1:$I$89,3,0)*0.475*44/12</f>
        <v>1.0672693746461879E-23</v>
      </c>
      <c r="AC192" s="22">
        <f t="shared" si="163"/>
        <v>0.4570338193153487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319.22903094674564</v>
      </c>
      <c r="AO192" s="59">
        <f t="shared" si="144"/>
        <v>254.58690973142848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0.38937334554171177</v>
      </c>
      <c r="AV192" s="21">
        <f>EXP(-LN(2)/25)*AV191+(1-EXP(-LN(2)/25))/(LN(2)/25)*Calculateur!AQ192*Calculateur!AS192*VLOOKUP('Données projet'!$B$10,Paramètres!$A$1:$I$89,3,0)*0.475*44/12</f>
        <v>0.13576115202026326</v>
      </c>
      <c r="AW192" s="21">
        <f>EXP(-LN(2)/2)*AW191+(1-EXP(-LN(2)/2))/(LN(2)/2)*AQ192*AT192*VLOOKUP('Données projet'!$B$10,Paramètres!$A$1:$I$89,3,0)*0.475*44/12</f>
        <v>1.2918362769178134E-23</v>
      </c>
      <c r="AX192" s="21">
        <f t="shared" si="166"/>
        <v>0.52513449756197506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395.21779046720553</v>
      </c>
      <c r="BJ192" s="59">
        <f t="shared" si="146"/>
        <v>360.05900046417361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0.20642024226776443</v>
      </c>
      <c r="BQ192" s="21">
        <f>EXP(-LN(2)/25)*BQ191+(1-EXP(-LN(2)/25))/(LN(2)/25)*Calculateur!BL192*Calculateur!BN192*VLOOKUP('Données projet'!$B$11,Paramètres!$A$1:$I$89,3,0)*0.475*44/12</f>
        <v>0.13732970573955197</v>
      </c>
      <c r="BR192" s="21">
        <f>EXP(-LN(2)/2)*BR191+(1-EXP(-LN(2)/2))/(LN(2)/2)*BL192*BO192*VLOOKUP('Données projet'!$B$11,Paramètres!$A$1:$I$89,3,0)*0.475*44/12</f>
        <v>8.1857525612206867E-24</v>
      </c>
      <c r="BS192" s="22">
        <f t="shared" si="169"/>
        <v>0.3437499480073164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449.84356201138451</v>
      </c>
      <c r="CE192" s="59">
        <f t="shared" si="148"/>
        <v>306.61893266146666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0.35137758468207125</v>
      </c>
      <c r="CL192" s="21">
        <f>EXP(-LN(2)/25)*CL191+(1-EXP(-LN(2)/25))/(LN(2)/25)*Calculateur!CG192*Calculateur!CI192*VLOOKUP('Données projet'!$B$12,Paramètres!$A$1:$I$89,3,0)*0.475*44/12</f>
        <v>0.12777077427756875</v>
      </c>
      <c r="CM192" s="21">
        <f>EXP(-LN(2)/2)*CM191+(1-EXP(-LN(2)/2))/(LN(2)/2)*CG192*CJ192*VLOOKUP('Données projet'!$B$12,Paramètres!$A$1:$I$89,3,0)*0.475*44/12</f>
        <v>1.1189114411613258E-23</v>
      </c>
      <c r="CN192" s="22">
        <f t="shared" si="172"/>
        <v>0.47914835895964003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475.01366239340246</v>
      </c>
      <c r="CZ192" s="59">
        <f t="shared" si="150"/>
        <v>322.81767004794284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0.37300082066250606</v>
      </c>
      <c r="DG192" s="21">
        <f>EXP(-LN(2)/25)*DG191+(1-EXP(-LN(2)/25))/(LN(2)/25)*Calculateur!DB192*Calculateur!DD192*VLOOKUP('Données projet'!$B$13,Paramètres!$A$1:$I$89,3,0)*0.475*44/12</f>
        <v>0.135633591156188</v>
      </c>
      <c r="DH192" s="21">
        <f>EXP(-LN(2)/2)*DH191+(1-EXP(-LN(2)/2))/(LN(2)/2)*DB192*DE192*VLOOKUP('Données projet'!$B$13,Paramètres!$A$1:$I$89,3,0)*0.475*44/12</f>
        <v>1.1877675298481769E-23</v>
      </c>
      <c r="DI192" s="22">
        <f t="shared" si="175"/>
        <v>0.50863441181869407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2.0572770154103635E-13</v>
      </c>
      <c r="DQ192" s="13">
        <f t="shared" si="176"/>
        <v>2.8416956338469711E-12</v>
      </c>
      <c r="DR192" s="20">
        <f t="shared" si="177"/>
        <v>5.3075956424674458E-12</v>
      </c>
      <c r="DS192" s="59">
        <f t="shared" si="125"/>
        <v>293.3333333333386</v>
      </c>
      <c r="DT192" s="59">
        <f ca="1">AVERAGE(OFFSET($DS$3,0,0,'Données projet'!$E$14+1,1))-AVERAGE(OFFSET($H$3,0,0,'Données projet'!$E$14+1,1))</f>
        <v>436.23918637269577</v>
      </c>
      <c r="DU192" s="59">
        <f t="shared" si="152"/>
        <v>611.43967996341894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0.14131726463623565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5.52207139738196E-24</v>
      </c>
      <c r="ED192" s="22">
        <f t="shared" si="178"/>
        <v>0.14131726463623565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430.94515308997018</v>
      </c>
      <c r="T193" s="59">
        <f t="shared" si="142"/>
        <v>294.45557293177131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0.32858787143182216</v>
      </c>
      <c r="AA193" s="21">
        <f>EXP(-LN(2)/25)*AA192+(1-EXP(-LN(2)/25))/(LN(2)/25)*Calculateur!V193*Calculateur!X193*VLOOKUP('Données projet'!$B$9,Paramètres!$A$1:$I$89,3,0)*0.475*44/12</f>
        <v>0.11854101993258598</v>
      </c>
      <c r="AB193" s="21">
        <f>EXP(-LN(2)/2)*AB192+(1-EXP(-LN(2)/2))/(LN(2)/2)*V193*Y193*VLOOKUP('Données projet'!$B$9,Paramètres!$A$1:$I$89,3,0)*0.475*44/12</f>
        <v>7.5467341216504539E-24</v>
      </c>
      <c r="AC193" s="22">
        <f t="shared" si="163"/>
        <v>0.44712889136440814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319.22903094674564</v>
      </c>
      <c r="AO193" s="59">
        <f t="shared" si="144"/>
        <v>254.58690973142848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0.38173797172992896</v>
      </c>
      <c r="AV193" s="21">
        <f>EXP(-LN(2)/25)*AV192+(1-EXP(-LN(2)/25))/(LN(2)/25)*Calculateur!AQ193*Calculateur!AS193*VLOOKUP('Données projet'!$B$10,Paramètres!$A$1:$I$89,3,0)*0.475*44/12</f>
        <v>0.13204875617890047</v>
      </c>
      <c r="AW193" s="21">
        <f>EXP(-LN(2)/2)*AW192+(1-EXP(-LN(2)/2))/(LN(2)/2)*AQ193*AT193*VLOOKUP('Données projet'!$B$10,Paramètres!$A$1:$I$89,3,0)*0.475*44/12</f>
        <v>9.1346619159136856E-24</v>
      </c>
      <c r="AX193" s="21">
        <f t="shared" si="166"/>
        <v>0.5137867279088294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395.21779046720553</v>
      </c>
      <c r="BJ193" s="59">
        <f t="shared" si="146"/>
        <v>360.05900046417361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0.20237246722080937</v>
      </c>
      <c r="BQ193" s="21">
        <f>EXP(-LN(2)/25)*BQ192+(1-EXP(-LN(2)/25))/(LN(2)/25)*Calculateur!BL193*Calculateur!BN193*VLOOKUP('Données projet'!$B$11,Paramètres!$A$1:$I$89,3,0)*0.475*44/12</f>
        <v>0.13357441771424858</v>
      </c>
      <c r="BR193" s="21">
        <f>EXP(-LN(2)/2)*BR192+(1-EXP(-LN(2)/2))/(LN(2)/2)*BL193*BO193*VLOOKUP('Données projet'!$B$11,Paramètres!$A$1:$I$89,3,0)*0.475*44/12</f>
        <v>5.7882011451542972E-24</v>
      </c>
      <c r="BS193" s="22">
        <f t="shared" si="169"/>
        <v>0.33594688493505798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449.84356201138451</v>
      </c>
      <c r="CE193" s="59">
        <f t="shared" si="148"/>
        <v>306.61893266146666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0.34448728456562022</v>
      </c>
      <c r="CL193" s="21">
        <f>EXP(-LN(2)/25)*CL192+(1-EXP(-LN(2)/25))/(LN(2)/25)*Calculateur!CG193*Calculateur!CI193*VLOOKUP('Données projet'!$B$12,Paramètres!$A$1:$I$89,3,0)*0.475*44/12</f>
        <v>0.12427687573577563</v>
      </c>
      <c r="CM193" s="21">
        <f>EXP(-LN(2)/2)*CM192+(1-EXP(-LN(2)/2))/(LN(2)/2)*CG193*CJ193*VLOOKUP('Données projet'!$B$12,Paramètres!$A$1:$I$89,3,0)*0.475*44/12</f>
        <v>7.9118986759238611E-24</v>
      </c>
      <c r="CN193" s="22">
        <f t="shared" si="172"/>
        <v>0.46876416030139584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475.01366239340246</v>
      </c>
      <c r="CZ193" s="59">
        <f t="shared" si="150"/>
        <v>322.81767004794284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0.36568650207735037</v>
      </c>
      <c r="DG193" s="21">
        <f>EXP(-LN(2)/25)*DG192+(1-EXP(-LN(2)/25))/(LN(2)/25)*Calculateur!DB193*Calculateur!DD193*VLOOKUP('Données projet'!$B$13,Paramètres!$A$1:$I$89,3,0)*0.475*44/12</f>
        <v>0.13192468347336148</v>
      </c>
      <c r="DH193" s="21">
        <f>EXP(-LN(2)/2)*DH192+(1-EXP(-LN(2)/2))/(LN(2)/2)*DB193*DE193*VLOOKUP('Données projet'!$B$13,Paramètres!$A$1:$I$89,3,0)*0.475*44/12</f>
        <v>8.3987847482884085E-24</v>
      </c>
      <c r="DI193" s="22">
        <f t="shared" si="175"/>
        <v>0.49761118555071182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2.0572770154103635E-13</v>
      </c>
      <c r="DQ193" s="13">
        <f t="shared" si="176"/>
        <v>2.8416956338469711E-12</v>
      </c>
      <c r="DR193" s="20">
        <f t="shared" si="177"/>
        <v>5.3075956424674458E-12</v>
      </c>
      <c r="DS193" s="59">
        <f t="shared" si="125"/>
        <v>293.3333333333386</v>
      </c>
      <c r="DT193" s="59">
        <f ca="1">AVERAGE(OFFSET($DS$3,0,0,'Données projet'!$E$14+1,1))-AVERAGE(OFFSET($H$3,0,0,'Données projet'!$E$14+1,1))</f>
        <v>436.23918637269577</v>
      </c>
      <c r="DU193" s="59">
        <f t="shared" si="152"/>
        <v>611.43967996341894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0.13854611927173943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3.9046941312850582E-24</v>
      </c>
      <c r="ED193" s="22">
        <f t="shared" si="178"/>
        <v>0.13854611927173943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430.94515308997018</v>
      </c>
      <c r="T194" s="59">
        <f t="shared" si="142"/>
        <v>294.45557293177131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0.32214446369185601</v>
      </c>
      <c r="AA194" s="21">
        <f>EXP(-LN(2)/25)*AA193+(1-EXP(-LN(2)/25))/(LN(2)/25)*Calculateur!V194*Calculateur!X194*VLOOKUP('Données projet'!$B$9,Paramètres!$A$1:$I$89,3,0)*0.475*44/12</f>
        <v>0.11529950950872811</v>
      </c>
      <c r="AB194" s="21">
        <f>EXP(-LN(2)/2)*AB193+(1-EXP(-LN(2)/2))/(LN(2)/2)*V194*Y194*VLOOKUP('Données projet'!$B$9,Paramètres!$A$1:$I$89,3,0)*0.475*44/12</f>
        <v>5.3363468732309395E-24</v>
      </c>
      <c r="AC194" s="22">
        <f t="shared" si="163"/>
        <v>0.43744397320058415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319.22903094674564</v>
      </c>
      <c r="AO194" s="59">
        <f t="shared" si="144"/>
        <v>254.58690973142848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0.37425232294147703</v>
      </c>
      <c r="AV194" s="21">
        <f>EXP(-LN(2)/25)*AV193+(1-EXP(-LN(2)/25))/(LN(2)/25)*Calculateur!AQ194*Calculateur!AS194*VLOOKUP('Données projet'!$B$10,Paramètres!$A$1:$I$89,3,0)*0.475*44/12</f>
        <v>0.12843787599704615</v>
      </c>
      <c r="AW194" s="21">
        <f>EXP(-LN(2)/2)*AW193+(1-EXP(-LN(2)/2))/(LN(2)/2)*AQ194*AT194*VLOOKUP('Données projet'!$B$10,Paramètres!$A$1:$I$89,3,0)*0.475*44/12</f>
        <v>6.4591813845890678E-24</v>
      </c>
      <c r="AX194" s="21">
        <f t="shared" si="166"/>
        <v>0.50269019893852318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395.21779046720553</v>
      </c>
      <c r="BJ194" s="59">
        <f t="shared" si="146"/>
        <v>360.05900046417361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0.19840406657362611</v>
      </c>
      <c r="BQ194" s="21">
        <f>EXP(-LN(2)/25)*BQ193+(1-EXP(-LN(2)/25))/(LN(2)/25)*Calculateur!BL194*Calculateur!BN194*VLOOKUP('Données projet'!$B$11,Paramètres!$A$1:$I$89,3,0)*0.475*44/12</f>
        <v>0.12992181823747911</v>
      </c>
      <c r="BR194" s="21">
        <f>EXP(-LN(2)/2)*BR193+(1-EXP(-LN(2)/2))/(LN(2)/2)*BL194*BO194*VLOOKUP('Données projet'!$B$11,Paramètres!$A$1:$I$89,3,0)*0.475*44/12</f>
        <v>4.0928762806103433E-24</v>
      </c>
      <c r="BS194" s="22">
        <f t="shared" si="169"/>
        <v>0.32832588481110525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449.84356201138451</v>
      </c>
      <c r="CE194" s="59">
        <f t="shared" si="148"/>
        <v>306.61893266146666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0.33773209903178469</v>
      </c>
      <c r="CL194" s="21">
        <f>EXP(-LN(2)/25)*CL193+(1-EXP(-LN(2)/25))/(LN(2)/25)*Calculateur!CG194*Calculateur!CI194*VLOOKUP('Données projet'!$B$12,Paramètres!$A$1:$I$89,3,0)*0.475*44/12</f>
        <v>0.12087851803334398</v>
      </c>
      <c r="CM194" s="21">
        <f>EXP(-LN(2)/2)*CM193+(1-EXP(-LN(2)/2))/(LN(2)/2)*CG194*CJ194*VLOOKUP('Données projet'!$B$12,Paramètres!$A$1:$I$89,3,0)*0.475*44/12</f>
        <v>5.5945572058066288E-24</v>
      </c>
      <c r="CN194" s="22">
        <f t="shared" si="172"/>
        <v>0.45861061706512868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475.01366239340246</v>
      </c>
      <c r="CZ194" s="59">
        <f t="shared" si="150"/>
        <v>322.81767004794284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0.35851561281835576</v>
      </c>
      <c r="DG194" s="21">
        <f>EXP(-LN(2)/25)*DG193+(1-EXP(-LN(2)/25))/(LN(2)/25)*Calculateur!DB194*Calculateur!DD194*VLOOKUP('Données projet'!$B$13,Paramètres!$A$1:$I$89,3,0)*0.475*44/12</f>
        <v>0.12831719606616482</v>
      </c>
      <c r="DH194" s="21">
        <f>EXP(-LN(2)/2)*DH193+(1-EXP(-LN(2)/2))/(LN(2)/2)*DB194*DE194*VLOOKUP('Données projet'!$B$13,Paramètres!$A$1:$I$89,3,0)*0.475*44/12</f>
        <v>5.9388376492408843E-24</v>
      </c>
      <c r="DI194" s="22">
        <f t="shared" si="175"/>
        <v>0.48683280888452057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2.0572770154103635E-13</v>
      </c>
      <c r="DQ194" s="13">
        <f t="shared" si="176"/>
        <v>2.8416956338469711E-12</v>
      </c>
      <c r="DR194" s="20">
        <f t="shared" si="177"/>
        <v>5.3075956424674458E-12</v>
      </c>
      <c r="DS194" s="59">
        <f t="shared" si="125"/>
        <v>293.3333333333386</v>
      </c>
      <c r="DT194" s="59">
        <f ca="1">AVERAGE(OFFSET($DS$3,0,0,'Données projet'!$E$14+1,1))-AVERAGE(OFFSET($H$3,0,0,'Données projet'!$E$14+1,1))</f>
        <v>436.23918637269577</v>
      </c>
      <c r="DU194" s="59">
        <f t="shared" si="152"/>
        <v>611.43967996341894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0.13582931437760923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2.76103569869098E-24</v>
      </c>
      <c r="ED194" s="22">
        <f t="shared" si="178"/>
        <v>0.13582931437760923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430.94515308997018</v>
      </c>
      <c r="T195" s="59">
        <f t="shared" si="142"/>
        <v>294.45557293177131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0.31582740724757991</v>
      </c>
      <c r="AA195" s="21">
        <f>EXP(-LN(2)/25)*AA194+(1-EXP(-LN(2)/25))/(LN(2)/25)*Calculateur!V195*Calculateur!X195*VLOOKUP('Données projet'!$B$9,Paramètres!$A$1:$I$89,3,0)*0.475*44/12</f>
        <v>0.11214663835787425</v>
      </c>
      <c r="AB195" s="21">
        <f>EXP(-LN(2)/2)*AB194+(1-EXP(-LN(2)/2))/(LN(2)/2)*V195*Y195*VLOOKUP('Données projet'!$B$9,Paramètres!$A$1:$I$89,3,0)*0.475*44/12</f>
        <v>3.7733670608252269E-24</v>
      </c>
      <c r="AC195" s="22">
        <f t="shared" si="163"/>
        <v>0.42797404560545416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319.22903094674564</v>
      </c>
      <c r="AO195" s="59">
        <f t="shared" si="144"/>
        <v>254.58690973142848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0.36691346315997175</v>
      </c>
      <c r="AV195" s="21">
        <f>EXP(-LN(2)/25)*AV194+(1-EXP(-LN(2)/25))/(LN(2)/25)*Calculateur!AQ195*Calculateur!AS195*VLOOKUP('Données projet'!$B$10,Paramètres!$A$1:$I$89,3,0)*0.475*44/12</f>
        <v>0.12492573552365258</v>
      </c>
      <c r="AW195" s="21">
        <f>EXP(-LN(2)/2)*AW194+(1-EXP(-LN(2)/2))/(LN(2)/2)*AQ195*AT195*VLOOKUP('Données projet'!$B$10,Paramètres!$A$1:$I$89,3,0)*0.475*44/12</f>
        <v>4.5673309579568435E-24</v>
      </c>
      <c r="AX195" s="21">
        <f t="shared" si="166"/>
        <v>0.49183919868362436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395.21779046720553</v>
      </c>
      <c r="BJ195" s="59">
        <f t="shared" si="146"/>
        <v>360.05900046417361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0.19451348384264872</v>
      </c>
      <c r="BQ195" s="21">
        <f>EXP(-LN(2)/25)*BQ194+(1-EXP(-LN(2)/25))/(LN(2)/25)*Calculateur!BL195*Calculateur!BN195*VLOOKUP('Données projet'!$B$11,Paramètres!$A$1:$I$89,3,0)*0.475*44/12</f>
        <v>0.12636909928548376</v>
      </c>
      <c r="BR195" s="21">
        <f>EXP(-LN(2)/2)*BR194+(1-EXP(-LN(2)/2))/(LN(2)/2)*BL195*BO195*VLOOKUP('Données projet'!$B$11,Paramètres!$A$1:$I$89,3,0)*0.475*44/12</f>
        <v>2.8941005725771486E-24</v>
      </c>
      <c r="BS195" s="22">
        <f t="shared" si="169"/>
        <v>0.32088258312813245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449.84356201138451</v>
      </c>
      <c r="CE195" s="59">
        <f t="shared" si="148"/>
        <v>306.61893266146666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0.33110937856601136</v>
      </c>
      <c r="CL195" s="21">
        <f>EXP(-LN(2)/25)*CL194+(1-EXP(-LN(2)/25))/(LN(2)/25)*Calculateur!CG195*Calculateur!CI195*VLOOKUP('Données projet'!$B$12,Paramètres!$A$1:$I$89,3,0)*0.475*44/12</f>
        <v>0.1175730886009972</v>
      </c>
      <c r="CM195" s="21">
        <f>EXP(-LN(2)/2)*CM194+(1-EXP(-LN(2)/2))/(LN(2)/2)*CG195*CJ195*VLOOKUP('Données projet'!$B$12,Paramètres!$A$1:$I$89,3,0)*0.475*44/12</f>
        <v>3.9559493379619305E-24</v>
      </c>
      <c r="CN195" s="22">
        <f t="shared" si="172"/>
        <v>0.44868246716700855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475.01366239340246</v>
      </c>
      <c r="CZ195" s="59">
        <f t="shared" si="150"/>
        <v>322.81767004794284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0.35148534032391948</v>
      </c>
      <c r="DG195" s="21">
        <f>EXP(-LN(2)/25)*DG194+(1-EXP(-LN(2)/25))/(LN(2)/25)*Calculateur!DB195*Calculateur!DD195*VLOOKUP('Données projet'!$B$13,Paramètres!$A$1:$I$89,3,0)*0.475*44/12</f>
        <v>0.12480835559182747</v>
      </c>
      <c r="DH195" s="21">
        <f>EXP(-LN(2)/2)*DH194+(1-EXP(-LN(2)/2))/(LN(2)/2)*DB195*DE195*VLOOKUP('Données projet'!$B$13,Paramètres!$A$1:$I$89,3,0)*0.475*44/12</f>
        <v>4.1993923741442042E-24</v>
      </c>
      <c r="DI195" s="22">
        <f t="shared" si="175"/>
        <v>0.47629369591574694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2.0572770154103635E-13</v>
      </c>
      <c r="DQ195" s="13">
        <f t="shared" si="176"/>
        <v>2.8416956338469711E-12</v>
      </c>
      <c r="DR195" s="20">
        <f t="shared" si="177"/>
        <v>5.3075956424674458E-12</v>
      </c>
      <c r="DS195" s="59">
        <f t="shared" si="125"/>
        <v>293.3333333333386</v>
      </c>
      <c r="DT195" s="59">
        <f ca="1">AVERAGE(OFFSET($DS$3,0,0,'Données projet'!$E$14+1,1))-AVERAGE(OFFSET($H$3,0,0,'Données projet'!$E$14+1,1))</f>
        <v>436.23918637269577</v>
      </c>
      <c r="DU195" s="59">
        <f t="shared" si="152"/>
        <v>611.43967996341894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0.13316578437036555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1.9523470656425291E-24</v>
      </c>
      <c r="ED195" s="22">
        <f t="shared" si="178"/>
        <v>0.13316578437036555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430.94515308997018</v>
      </c>
      <c r="T196" s="59">
        <f t="shared" si="142"/>
        <v>294.45557293177131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0.3096342244271521</v>
      </c>
      <c r="AA196" s="21">
        <f>EXP(-LN(2)/25)*AA195+(1-EXP(-LN(2)/25))/(LN(2)/25)*Calculateur!V196*Calculateur!X196*VLOOKUP('Données projet'!$B$9,Paramètres!$A$1:$I$89,3,0)*0.475*44/12</f>
        <v>0.10907998263444278</v>
      </c>
      <c r="AB196" s="21">
        <f>EXP(-LN(2)/2)*AB195+(1-EXP(-LN(2)/2))/(LN(2)/2)*V196*Y196*VLOOKUP('Données projet'!$B$9,Paramètres!$A$1:$I$89,3,0)*0.475*44/12</f>
        <v>2.6681734366154698E-24</v>
      </c>
      <c r="AC196" s="22">
        <f t="shared" si="163"/>
        <v>0.4187142070615949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319.22903094674564</v>
      </c>
      <c r="AO196" s="59">
        <f t="shared" si="144"/>
        <v>254.58690973142848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0.3597185139425193</v>
      </c>
      <c r="AV196" s="21">
        <f>EXP(-LN(2)/25)*AV195+(1-EXP(-LN(2)/25))/(LN(2)/25)*Calculateur!AQ196*Calculateur!AS196*VLOOKUP('Données projet'!$B$10,Paramètres!$A$1:$I$89,3,0)*0.475*44/12</f>
        <v>0.12150963471619938</v>
      </c>
      <c r="AW196" s="21">
        <f>EXP(-LN(2)/2)*AW195+(1-EXP(-LN(2)/2))/(LN(2)/2)*AQ196*AT196*VLOOKUP('Données projet'!$B$10,Paramètres!$A$1:$I$89,3,0)*0.475*44/12</f>
        <v>3.2295906922945346E-24</v>
      </c>
      <c r="AX196" s="21">
        <f t="shared" si="166"/>
        <v>0.48122814865871866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395.21779046720553</v>
      </c>
      <c r="BJ196" s="59">
        <f t="shared" si="146"/>
        <v>360.05900046417361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0.19069919306600464</v>
      </c>
      <c r="BQ196" s="21">
        <f>EXP(-LN(2)/25)*BQ195+(1-EXP(-LN(2)/25))/(LN(2)/25)*Calculateur!BL196*Calculateur!BN196*VLOOKUP('Données projet'!$B$11,Paramètres!$A$1:$I$89,3,0)*0.475*44/12</f>
        <v>0.12291352962006009</v>
      </c>
      <c r="BR196" s="21">
        <f>EXP(-LN(2)/2)*BR195+(1-EXP(-LN(2)/2))/(LN(2)/2)*BL196*BO196*VLOOKUP('Données projet'!$B$11,Paramètres!$A$1:$I$89,3,0)*0.475*44/12</f>
        <v>2.0464381403051717E-24</v>
      </c>
      <c r="BS196" s="22">
        <f t="shared" si="169"/>
        <v>0.31361272268606472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449.84356201138451</v>
      </c>
      <c r="CE196" s="59">
        <f t="shared" si="148"/>
        <v>306.61893266146666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0.32461652560911125</v>
      </c>
      <c r="CL196" s="21">
        <f>EXP(-LN(2)/25)*CL195+(1-EXP(-LN(2)/25))/(LN(2)/25)*Calculateur!CG196*Calculateur!CI196*VLOOKUP('Données projet'!$B$12,Paramètres!$A$1:$I$89,3,0)*0.475*44/12</f>
        <v>0.11435804631030293</v>
      </c>
      <c r="CM196" s="21">
        <f>EXP(-LN(2)/2)*CM195+(1-EXP(-LN(2)/2))/(LN(2)/2)*CG196*CJ196*VLOOKUP('Données projet'!$B$12,Paramètres!$A$1:$I$89,3,0)*0.475*44/12</f>
        <v>2.7972786029033144E-24</v>
      </c>
      <c r="CN196" s="22">
        <f t="shared" si="172"/>
        <v>0.43897457191941419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475.01366239340246</v>
      </c>
      <c r="CZ196" s="59">
        <f t="shared" si="150"/>
        <v>322.81767004794284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0.34459292718505624</v>
      </c>
      <c r="DG196" s="21">
        <f>EXP(-LN(2)/25)*DG195+(1-EXP(-LN(2)/25))/(LN(2)/25)*Calculateur!DB196*Calculateur!DD196*VLOOKUP('Données projet'!$B$13,Paramètres!$A$1:$I$89,3,0)*0.475*44/12</f>
        <v>0.12139546454478278</v>
      </c>
      <c r="DH196" s="21">
        <f>EXP(-LN(2)/2)*DH195+(1-EXP(-LN(2)/2))/(LN(2)/2)*DB196*DE196*VLOOKUP('Données projet'!$B$13,Paramètres!$A$1:$I$89,3,0)*0.475*44/12</f>
        <v>2.9694188246204422E-24</v>
      </c>
      <c r="DI196" s="22">
        <f t="shared" si="175"/>
        <v>0.46598839172983902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2.0572770154103635E-13</v>
      </c>
      <c r="DQ196" s="13">
        <f t="shared" si="176"/>
        <v>2.8416956338469711E-12</v>
      </c>
      <c r="DR196" s="20">
        <f t="shared" si="177"/>
        <v>5.3075956424674458E-12</v>
      </c>
      <c r="DS196" s="59">
        <f t="shared" ref="DS196:DS203" si="197">DR196+(DJ196+DK196)*44/12</f>
        <v>293.3333333333386</v>
      </c>
      <c r="DT196" s="59">
        <f ca="1">AVERAGE(OFFSET($DS$3,0,0,'Données projet'!$E$14+1,1))-AVERAGE(OFFSET($H$3,0,0,'Données projet'!$E$14+1,1))</f>
        <v>436.23918637269577</v>
      </c>
      <c r="DU196" s="59">
        <f t="shared" si="152"/>
        <v>611.43967996341894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0.13055448456197102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1.38051784934549E-24</v>
      </c>
      <c r="ED196" s="22">
        <f t="shared" si="178"/>
        <v>0.13055448456197102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430.94515308997018</v>
      </c>
      <c r="T197" s="59">
        <f t="shared" ref="T197:T203" si="204">$T$3</f>
        <v>294.45557293177131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0.30356248614436437</v>
      </c>
      <c r="AA197" s="21">
        <f>EXP(-LN(2)/25)*AA196+(1-EXP(-LN(2)/25))/(LN(2)/25)*Calculateur!V197*Calculateur!X197*VLOOKUP('Données projet'!$B$9,Paramètres!$A$1:$I$89,3,0)*0.475*44/12</f>
        <v>0.10609718477303696</v>
      </c>
      <c r="AB197" s="21">
        <f>EXP(-LN(2)/2)*AB196+(1-EXP(-LN(2)/2))/(LN(2)/2)*V197*Y197*VLOOKUP('Données projet'!$B$9,Paramètres!$A$1:$I$89,3,0)*0.475*44/12</f>
        <v>1.8866835304126135E-24</v>
      </c>
      <c r="AC197" s="22">
        <f t="shared" si="163"/>
        <v>0.40965967091740135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319.22903094674564</v>
      </c>
      <c r="AO197" s="59">
        <f t="shared" ref="AO197:AO203" si="205">$AO$3</f>
        <v>254.58690973142848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0.35266465329073537</v>
      </c>
      <c r="AV197" s="21">
        <f>EXP(-LN(2)/25)*AV196+(1-EXP(-LN(2)/25))/(LN(2)/25)*Calculateur!AQ197*Calculateur!AS197*VLOOKUP('Données projet'!$B$10,Paramètres!$A$1:$I$89,3,0)*0.475*44/12</f>
        <v>0.11818694736497093</v>
      </c>
      <c r="AW197" s="21">
        <f>EXP(-LN(2)/2)*AW196+(1-EXP(-LN(2)/2))/(LN(2)/2)*AQ197*AT197*VLOOKUP('Données projet'!$B$10,Paramètres!$A$1:$I$89,3,0)*0.475*44/12</f>
        <v>2.2836654789784221E-24</v>
      </c>
      <c r="AX197" s="21">
        <f t="shared" si="166"/>
        <v>0.4708516006557063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395.21779046720553</v>
      </c>
      <c r="BJ197" s="59">
        <f t="shared" ref="BJ197:BJ203" si="206">$BJ$3</f>
        <v>360.05900046417361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0.18695969820500291</v>
      </c>
      <c r="BQ197" s="21">
        <f>EXP(-LN(2)/25)*BQ196+(1-EXP(-LN(2)/25))/(LN(2)/25)*Calculateur!BL197*Calculateur!BN197*VLOOKUP('Données projet'!$B$11,Paramètres!$A$1:$I$89,3,0)*0.475*44/12</f>
        <v>0.11955245268885795</v>
      </c>
      <c r="BR197" s="21">
        <f>EXP(-LN(2)/2)*BR196+(1-EXP(-LN(2)/2))/(LN(2)/2)*BL197*BO197*VLOOKUP('Données projet'!$B$11,Paramètres!$A$1:$I$89,3,0)*0.475*44/12</f>
        <v>1.4470502862885743E-24</v>
      </c>
      <c r="BS197" s="22">
        <f t="shared" si="169"/>
        <v>0.30651215089386086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449.84356201138451</v>
      </c>
      <c r="CE197" s="59">
        <f t="shared" ref="CE197:CE203" si="207">$CE$3</f>
        <v>306.61893266146666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0.31825099353844666</v>
      </c>
      <c r="CL197" s="21">
        <f>EXP(-LN(2)/25)*CL196+(1-EXP(-LN(2)/25))/(LN(2)/25)*Calculateur!CG197*Calculateur!CI197*VLOOKUP('Données projet'!$B$12,Paramètres!$A$1:$I$89,3,0)*0.475*44/12</f>
        <v>0.1112309195201194</v>
      </c>
      <c r="CM197" s="21">
        <f>EXP(-LN(2)/2)*CM196+(1-EXP(-LN(2)/2))/(LN(2)/2)*CG197*CJ197*VLOOKUP('Données projet'!$B$12,Paramètres!$A$1:$I$89,3,0)*0.475*44/12</f>
        <v>1.9779746689809653E-24</v>
      </c>
      <c r="CN197" s="22">
        <f t="shared" si="172"/>
        <v>0.42948191305856609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475.01366239340246</v>
      </c>
      <c r="CZ197" s="59">
        <f t="shared" ref="CZ197:CZ203" si="208">$CZ$3</f>
        <v>322.81767004794284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0.3378356700638892</v>
      </c>
      <c r="DG197" s="21">
        <f>EXP(-LN(2)/25)*DG196+(1-EXP(-LN(2)/25))/(LN(2)/25)*Calculateur!DB197*Calculateur!DD197*VLOOKUP('Données projet'!$B$13,Paramètres!$A$1:$I$89,3,0)*0.475*44/12</f>
        <v>0.11807589918289567</v>
      </c>
      <c r="DH197" s="21">
        <f>EXP(-LN(2)/2)*DH196+(1-EXP(-LN(2)/2))/(LN(2)/2)*DB197*DE197*VLOOKUP('Données projet'!$B$13,Paramètres!$A$1:$I$89,3,0)*0.475*44/12</f>
        <v>2.0996961870721021E-24</v>
      </c>
      <c r="DI197" s="22">
        <f t="shared" si="175"/>
        <v>0.45591156924678489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2.0572770154103635E-13</v>
      </c>
      <c r="DQ197" s="13">
        <f t="shared" si="176"/>
        <v>2.8416956338469711E-12</v>
      </c>
      <c r="DR197" s="20">
        <f t="shared" si="177"/>
        <v>5.3075956424674458E-12</v>
      </c>
      <c r="DS197" s="59">
        <f t="shared" si="197"/>
        <v>293.3333333333386</v>
      </c>
      <c r="DT197" s="59">
        <f ca="1">AVERAGE(OFFSET($DS$3,0,0,'Données projet'!$E$14+1,1))-AVERAGE(OFFSET($H$3,0,0,'Données projet'!$E$14+1,1))</f>
        <v>436.23918637269577</v>
      </c>
      <c r="DU197" s="59">
        <f t="shared" ref="DU197:DU203" si="209">$DU$3</f>
        <v>611.43967996341894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0.12799439075008351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9.7617353282126456E-25</v>
      </c>
      <c r="ED197" s="22">
        <f t="shared" si="178"/>
        <v>0.12799439075008351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430.94515308997018</v>
      </c>
      <c r="T198" s="59">
        <f t="shared" si="204"/>
        <v>294.45557293177131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0.29760981094590744</v>
      </c>
      <c r="AA198" s="21">
        <f>EXP(-LN(2)/25)*AA197+(1-EXP(-LN(2)/25))/(LN(2)/25)*Calculateur!V198*Calculateur!X198*VLOOKUP('Données projet'!$B$9,Paramètres!$A$1:$I$89,3,0)*0.475*44/12</f>
        <v>0.10319595167600981</v>
      </c>
      <c r="AB198" s="21">
        <f>EXP(-LN(2)/2)*AB197+(1-EXP(-LN(2)/2))/(LN(2)/2)*V198*Y198*VLOOKUP('Données projet'!$B$9,Paramètres!$A$1:$I$89,3,0)*0.475*44/12</f>
        <v>1.3340867183077349E-24</v>
      </c>
      <c r="AC198" s="22">
        <f t="shared" si="163"/>
        <v>0.40080576262191725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319.22903094674564</v>
      </c>
      <c r="AO198" s="59">
        <f t="shared" si="205"/>
        <v>254.58690973142848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0.34574911454390278</v>
      </c>
      <c r="AV198" s="21">
        <f>EXP(-LN(2)/25)*AV197+(1-EXP(-LN(2)/25))/(LN(2)/25)*Calculateur!AQ198*Calculateur!AS198*VLOOKUP('Données projet'!$B$10,Paramètres!$A$1:$I$89,3,0)*0.475*44/12</f>
        <v>0.11495511907409435</v>
      </c>
      <c r="AW198" s="21">
        <f>EXP(-LN(2)/2)*AW197+(1-EXP(-LN(2)/2))/(LN(2)/2)*AQ198*AT198*VLOOKUP('Données projet'!$B$10,Paramètres!$A$1:$I$89,3,0)*0.475*44/12</f>
        <v>1.6147953461472675E-24</v>
      </c>
      <c r="AX198" s="21">
        <f t="shared" si="166"/>
        <v>0.46070423361799712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395.21779046720553</v>
      </c>
      <c r="BJ198" s="59">
        <f t="shared" si="206"/>
        <v>360.05900046417361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0.18329353255735878</v>
      </c>
      <c r="BQ198" s="21">
        <f>EXP(-LN(2)/25)*BQ197+(1-EXP(-LN(2)/25))/(LN(2)/25)*Calculateur!BL198*Calculateur!BN198*VLOOKUP('Données projet'!$B$11,Paramètres!$A$1:$I$89,3,0)*0.475*44/12</f>
        <v>0.11628328458309088</v>
      </c>
      <c r="BR198" s="21">
        <f>EXP(-LN(2)/2)*BR197+(1-EXP(-LN(2)/2))/(LN(2)/2)*BL198*BO198*VLOOKUP('Données projet'!$B$11,Paramètres!$A$1:$I$89,3,0)*0.475*44/12</f>
        <v>1.0232190701525858E-24</v>
      </c>
      <c r="BS198" s="22">
        <f t="shared" si="169"/>
        <v>0.29957681714044965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449.84356201138451</v>
      </c>
      <c r="CE198" s="59">
        <f t="shared" si="207"/>
        <v>306.61893266146666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0.31201028566909661</v>
      </c>
      <c r="CL198" s="21">
        <f>EXP(-LN(2)/25)*CL197+(1-EXP(-LN(2)/25))/(LN(2)/25)*Calculateur!CG198*Calculateur!CI198*VLOOKUP('Données projet'!$B$12,Paramètres!$A$1:$I$89,3,0)*0.475*44/12</f>
        <v>0.1081893041764619</v>
      </c>
      <c r="CM198" s="21">
        <f>EXP(-LN(2)/2)*CM197+(1-EXP(-LN(2)/2))/(LN(2)/2)*CG198*CJ198*VLOOKUP('Données projet'!$B$12,Paramètres!$A$1:$I$89,3,0)*0.475*44/12</f>
        <v>1.3986393014516572E-24</v>
      </c>
      <c r="CN198" s="22">
        <f t="shared" si="172"/>
        <v>0.4201995898455585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475.01366239340246</v>
      </c>
      <c r="CZ198" s="59">
        <f t="shared" si="208"/>
        <v>322.81767004794284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0.33121091863334839</v>
      </c>
      <c r="DG198" s="21">
        <f>EXP(-LN(2)/25)*DG197+(1-EXP(-LN(2)/25))/(LN(2)/25)*Calculateur!DB198*Calculateur!DD198*VLOOKUP('Données projet'!$B$13,Paramètres!$A$1:$I$89,3,0)*0.475*44/12</f>
        <v>0.11484710751039771</v>
      </c>
      <c r="DH198" s="21">
        <f>EXP(-LN(2)/2)*DH197+(1-EXP(-LN(2)/2))/(LN(2)/2)*DB198*DE198*VLOOKUP('Données projet'!$B$13,Paramètres!$A$1:$I$89,3,0)*0.475*44/12</f>
        <v>1.4847094123102211E-24</v>
      </c>
      <c r="DI198" s="22">
        <f t="shared" si="175"/>
        <v>0.44605802614374612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2.0572770154103635E-13</v>
      </c>
      <c r="DQ198" s="13">
        <f t="shared" si="176"/>
        <v>2.8416956338469711E-12</v>
      </c>
      <c r="DR198" s="20">
        <f t="shared" si="177"/>
        <v>5.3075956424674458E-12</v>
      </c>
      <c r="DS198" s="59">
        <f t="shared" si="197"/>
        <v>293.3333333333386</v>
      </c>
      <c r="DT198" s="59">
        <f ca="1">AVERAGE(OFFSET($DS$3,0,0,'Données projet'!$E$14+1,1))-AVERAGE(OFFSET($H$3,0,0,'Données projet'!$E$14+1,1))</f>
        <v>436.23918637269577</v>
      </c>
      <c r="DU198" s="59">
        <f t="shared" si="209"/>
        <v>611.43967996341894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0.12548449881634408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6.90258924672745E-25</v>
      </c>
      <c r="ED198" s="22">
        <f t="shared" si="178"/>
        <v>0.12548449881634408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430.94515308997018</v>
      </c>
      <c r="T199" s="59">
        <f t="shared" si="204"/>
        <v>294.45557293177131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0.29177386407731887</v>
      </c>
      <c r="AA199" s="21">
        <f>EXP(-LN(2)/25)*AA198+(1-EXP(-LN(2)/25))/(LN(2)/25)*Calculateur!V199*Calculateur!X199*VLOOKUP('Données projet'!$B$9,Paramètres!$A$1:$I$89,3,0)*0.475*44/12</f>
        <v>0.10037405295059008</v>
      </c>
      <c r="AB199" s="21">
        <f>EXP(-LN(2)/2)*AB198+(1-EXP(-LN(2)/2))/(LN(2)/2)*V199*Y199*VLOOKUP('Données projet'!$B$9,Paramètres!$A$1:$I$89,3,0)*0.475*44/12</f>
        <v>9.4334176520630674E-25</v>
      </c>
      <c r="AC199" s="22">
        <f t="shared" si="163"/>
        <v>0.39214791702790897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319.22903094674564</v>
      </c>
      <c r="AO199" s="59">
        <f t="shared" si="205"/>
        <v>254.58690973142848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0.33896918529383346</v>
      </c>
      <c r="AV199" s="21">
        <f>EXP(-LN(2)/25)*AV198+(1-EXP(-LN(2)/25))/(LN(2)/25)*Calculateur!AQ199*Calculateur!AS199*VLOOKUP('Données projet'!$B$10,Paramètres!$A$1:$I$89,3,0)*0.475*44/12</f>
        <v>0.11181166529778626</v>
      </c>
      <c r="AW199" s="21">
        <f>EXP(-LN(2)/2)*AW198+(1-EXP(-LN(2)/2))/(LN(2)/2)*AQ199*AT199*VLOOKUP('Données projet'!$B$10,Paramètres!$A$1:$I$89,3,0)*0.475*44/12</f>
        <v>1.1418327394892113E-24</v>
      </c>
      <c r="AX199" s="21">
        <f t="shared" si="166"/>
        <v>0.45078085059161971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395.21779046720553</v>
      </c>
      <c r="BJ199" s="59">
        <f t="shared" si="206"/>
        <v>360.05900046417361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0.1796992581819247</v>
      </c>
      <c r="BQ199" s="21">
        <f>EXP(-LN(2)/25)*BQ198+(1-EXP(-LN(2)/25))/(LN(2)/25)*Calculateur!BL199*Calculateur!BN199*VLOOKUP('Données projet'!$B$11,Paramètres!$A$1:$I$89,3,0)*0.475*44/12</f>
        <v>0.11310351205109409</v>
      </c>
      <c r="BR199" s="21">
        <f>EXP(-LN(2)/2)*BR198+(1-EXP(-LN(2)/2))/(LN(2)/2)*BL199*BO199*VLOOKUP('Données projet'!$B$11,Paramètres!$A$1:$I$89,3,0)*0.475*44/12</f>
        <v>7.2352514314428715E-25</v>
      </c>
      <c r="BS199" s="22">
        <f t="shared" si="169"/>
        <v>0.29280277023301882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449.84356201138451</v>
      </c>
      <c r="CE199" s="59">
        <f t="shared" si="207"/>
        <v>306.61893266146666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0.30589195427460858</v>
      </c>
      <c r="CL199" s="21">
        <f>EXP(-LN(2)/25)*CL198+(1-EXP(-LN(2)/25))/(LN(2)/25)*Calculateur!CG199*Calculateur!CI199*VLOOKUP('Données projet'!$B$12,Paramètres!$A$1:$I$89,3,0)*0.475*44/12</f>
        <v>0.10523086196432831</v>
      </c>
      <c r="CM199" s="21">
        <f>EXP(-LN(2)/2)*CM198+(1-EXP(-LN(2)/2))/(LN(2)/2)*CG199*CJ199*VLOOKUP('Données projet'!$B$12,Paramètres!$A$1:$I$89,3,0)*0.475*44/12</f>
        <v>9.8898733449048264E-25</v>
      </c>
      <c r="CN199" s="22">
        <f t="shared" si="172"/>
        <v>0.41112281623893687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475.01366239340246</v>
      </c>
      <c r="CZ199" s="59">
        <f t="shared" si="208"/>
        <v>322.81767004794284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0.3247160745376611</v>
      </c>
      <c r="DG199" s="21">
        <f>EXP(-LN(2)/25)*DG198+(1-EXP(-LN(2)/25))/(LN(2)/25)*Calculateur!DB199*Calculateur!DD199*VLOOKUP('Données projet'!$B$13,Paramètres!$A$1:$I$89,3,0)*0.475*44/12</f>
        <v>0.11170660731597899</v>
      </c>
      <c r="DH199" s="21">
        <f>EXP(-LN(2)/2)*DH198+(1-EXP(-LN(2)/2))/(LN(2)/2)*DB199*DE199*VLOOKUP('Données projet'!$B$13,Paramètres!$A$1:$I$89,3,0)*0.475*44/12</f>
        <v>1.0498480935360511E-24</v>
      </c>
      <c r="DI199" s="22">
        <f t="shared" si="175"/>
        <v>0.43642268185364008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2.0572770154103635E-13</v>
      </c>
      <c r="DQ199" s="13">
        <f t="shared" si="176"/>
        <v>2.8416956338469711E-12</v>
      </c>
      <c r="DR199" s="20">
        <f t="shared" si="177"/>
        <v>5.3075956424674458E-12</v>
      </c>
      <c r="DS199" s="59">
        <f t="shared" si="197"/>
        <v>293.3333333333386</v>
      </c>
      <c r="DT199" s="59">
        <f ca="1">AVERAGE(OFFSET($DS$3,0,0,'Données projet'!$E$14+1,1))-AVERAGE(OFFSET($H$3,0,0,'Données projet'!$E$14+1,1))</f>
        <v>436.23918637269577</v>
      </c>
      <c r="DU199" s="59">
        <f t="shared" si="209"/>
        <v>611.43967996341894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0.12302382433254234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4.8808676641063228E-25</v>
      </c>
      <c r="ED199" s="22">
        <f t="shared" si="178"/>
        <v>0.12302382433254234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430.94515308997018</v>
      </c>
      <c r="T200" s="59">
        <f t="shared" si="204"/>
        <v>294.45557293177131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0.2860523565672472</v>
      </c>
      <c r="AA200" s="21">
        <f>EXP(-LN(2)/25)*AA199+(1-EXP(-LN(2)/25))/(LN(2)/25)*Calculateur!V200*Calculateur!X200*VLOOKUP('Données projet'!$B$9,Paramètres!$A$1:$I$89,3,0)*0.475*44/12</f>
        <v>9.7629319194214165E-2</v>
      </c>
      <c r="AB200" s="21">
        <f>EXP(-LN(2)/2)*AB199+(1-EXP(-LN(2)/2))/(LN(2)/2)*V200*Y200*VLOOKUP('Données projet'!$B$9,Paramètres!$A$1:$I$89,3,0)*0.475*44/12</f>
        <v>6.6704335915386744E-25</v>
      </c>
      <c r="AC200" s="22">
        <f t="shared" si="163"/>
        <v>0.38368167576146139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319.22903094674564</v>
      </c>
      <c r="AO200" s="59">
        <f t="shared" si="205"/>
        <v>254.58690973142848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0.33232220632100945</v>
      </c>
      <c r="AV200" s="21">
        <f>EXP(-LN(2)/25)*AV199+(1-EXP(-LN(2)/25))/(LN(2)/25)*Calculateur!AQ200*Calculateur!AS200*VLOOKUP('Données projet'!$B$10,Paramètres!$A$1:$I$89,3,0)*0.475*44/12</f>
        <v>0.10875416943029836</v>
      </c>
      <c r="AW200" s="21">
        <f>EXP(-LN(2)/2)*AW199+(1-EXP(-LN(2)/2))/(LN(2)/2)*AQ200*AT200*VLOOKUP('Données projet'!$B$10,Paramètres!$A$1:$I$89,3,0)*0.475*44/12</f>
        <v>8.0739767307363384E-25</v>
      </c>
      <c r="AX200" s="21">
        <f t="shared" si="166"/>
        <v>0.44107637575130781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395.21779046720553</v>
      </c>
      <c r="BJ200" s="59">
        <f t="shared" si="206"/>
        <v>360.05900046417361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0.17617546533470199</v>
      </c>
      <c r="BQ200" s="21">
        <f>EXP(-LN(2)/25)*BQ199+(1-EXP(-LN(2)/25))/(LN(2)/25)*Calculateur!BL200*Calculateur!BN200*VLOOKUP('Données projet'!$B$11,Paramètres!$A$1:$I$89,3,0)*0.475*44/12</f>
        <v>0.11001069056620172</v>
      </c>
      <c r="BR200" s="21">
        <f>EXP(-LN(2)/2)*BR199+(1-EXP(-LN(2)/2))/(LN(2)/2)*BL200*BO200*VLOOKUP('Données projet'!$B$11,Paramètres!$A$1:$I$89,3,0)*0.475*44/12</f>
        <v>5.1160953507629292E-25</v>
      </c>
      <c r="BS200" s="22">
        <f t="shared" si="169"/>
        <v>0.28618615590090368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449.84356201138451</v>
      </c>
      <c r="CE200" s="59">
        <f t="shared" si="207"/>
        <v>306.61893266146666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0.29989359962695278</v>
      </c>
      <c r="CL200" s="21">
        <f>EXP(-LN(2)/25)*CL199+(1-EXP(-LN(2)/25))/(LN(2)/25)*Calculateur!CG200*Calculateur!CI200*VLOOKUP('Données projet'!$B$12,Paramètres!$A$1:$I$89,3,0)*0.475*44/12</f>
        <v>0.10235331851006323</v>
      </c>
      <c r="CM200" s="21">
        <f>EXP(-LN(2)/2)*CM199+(1-EXP(-LN(2)/2))/(LN(2)/2)*CG200*CJ200*VLOOKUP('Données projet'!$B$12,Paramètres!$A$1:$I$89,3,0)*0.475*44/12</f>
        <v>6.993196507258286E-25</v>
      </c>
      <c r="CN200" s="22">
        <f t="shared" si="172"/>
        <v>0.40224691813701602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475.01366239340246</v>
      </c>
      <c r="CZ200" s="59">
        <f t="shared" si="208"/>
        <v>322.81767004794284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0.31834859037322649</v>
      </c>
      <c r="DG200" s="21">
        <f>EXP(-LN(2)/25)*DG199+(1-EXP(-LN(2)/25))/(LN(2)/25)*Calculateur!DB200*Calculateur!DD200*VLOOKUP('Données projet'!$B$13,Paramètres!$A$1:$I$89,3,0)*0.475*44/12</f>
        <v>0.10865198426452838</v>
      </c>
      <c r="DH200" s="21">
        <f>EXP(-LN(2)/2)*DH199+(1-EXP(-LN(2)/2))/(LN(2)/2)*DB200*DE200*VLOOKUP('Données projet'!$B$13,Paramètres!$A$1:$I$89,3,0)*0.475*44/12</f>
        <v>7.4235470615511054E-25</v>
      </c>
      <c r="DI200" s="22">
        <f t="shared" si="175"/>
        <v>0.42700057463775487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2.0572770154103635E-13</v>
      </c>
      <c r="DQ200" s="13">
        <f t="shared" si="176"/>
        <v>2.8416956338469711E-12</v>
      </c>
      <c r="DR200" s="20">
        <f t="shared" si="177"/>
        <v>5.3075956424674458E-12</v>
      </c>
      <c r="DS200" s="59">
        <f t="shared" si="197"/>
        <v>293.3333333333386</v>
      </c>
      <c r="DT200" s="59">
        <f ca="1">AVERAGE(OFFSET($DS$3,0,0,'Données projet'!$E$14+1,1))-AVERAGE(OFFSET($H$3,0,0,'Données projet'!$E$14+1,1))</f>
        <v>436.23918637269577</v>
      </c>
      <c r="DU200" s="59">
        <f t="shared" si="209"/>
        <v>611.43967996341894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0.12061140217450474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3.451294623363725E-25</v>
      </c>
      <c r="ED200" s="22">
        <f t="shared" si="178"/>
        <v>0.12061140217450474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430.94515308997018</v>
      </c>
      <c r="T201" s="59">
        <f t="shared" si="204"/>
        <v>294.45557293177131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0.28044304432967304</v>
      </c>
      <c r="AA201" s="21">
        <f>EXP(-LN(2)/25)*AA200+(1-EXP(-LN(2)/25))/(LN(2)/25)*Calculateur!V201*Calculateur!X201*VLOOKUP('Données projet'!$B$9,Paramètres!$A$1:$I$89,3,0)*0.475*44/12</f>
        <v>9.4959640326745615E-2</v>
      </c>
      <c r="AB201" s="21">
        <f>EXP(-LN(2)/2)*AB200+(1-EXP(-LN(2)/2))/(LN(2)/2)*V201*Y201*VLOOKUP('Données projet'!$B$9,Paramètres!$A$1:$I$89,3,0)*0.475*44/12</f>
        <v>4.7167088260315337E-25</v>
      </c>
      <c r="AC201" s="22">
        <f t="shared" si="163"/>
        <v>0.37540268465641868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319.22903094674564</v>
      </c>
      <c r="AO201" s="59">
        <f t="shared" si="205"/>
        <v>254.58690973142848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0.32580557055158571</v>
      </c>
      <c r="AV201" s="21">
        <f>EXP(-LN(2)/25)*AV200+(1-EXP(-LN(2)/25))/(LN(2)/25)*Calculateur!AQ201*Calculateur!AS201*VLOOKUP('Données projet'!$B$10,Paramètres!$A$1:$I$89,3,0)*0.475*44/12</f>
        <v>0.10578028094809365</v>
      </c>
      <c r="AW201" s="21">
        <f>EXP(-LN(2)/2)*AW200+(1-EXP(-LN(2)/2))/(LN(2)/2)*AQ201*AT201*VLOOKUP('Données projet'!$B$10,Paramètres!$A$1:$I$89,3,0)*0.475*44/12</f>
        <v>5.7091636974460572E-25</v>
      </c>
      <c r="AX201" s="21">
        <f t="shared" si="166"/>
        <v>0.43158585149967937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395.21779046720553</v>
      </c>
      <c r="BJ201" s="59">
        <f t="shared" si="206"/>
        <v>360.05900046417361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0.1727207719159119</v>
      </c>
      <c r="BQ201" s="21">
        <f>EXP(-LN(2)/25)*BQ200+(1-EXP(-LN(2)/25))/(LN(2)/25)*Calculateur!BL201*Calculateur!BN201*VLOOKUP('Données projet'!$B$11,Paramètres!$A$1:$I$89,3,0)*0.475*44/12</f>
        <v>0.10700244244745814</v>
      </c>
      <c r="BR201" s="21">
        <f>EXP(-LN(2)/2)*BR200+(1-EXP(-LN(2)/2))/(LN(2)/2)*BL201*BO201*VLOOKUP('Données projet'!$B$11,Paramètres!$A$1:$I$89,3,0)*0.475*44/12</f>
        <v>3.6176257157214357E-25</v>
      </c>
      <c r="BS201" s="22">
        <f t="shared" si="169"/>
        <v>0.27972321436337005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449.84356201138451</v>
      </c>
      <c r="CE201" s="59">
        <f t="shared" si="207"/>
        <v>306.61893266146666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0.29401286905530244</v>
      </c>
      <c r="CL201" s="21">
        <f>EXP(-LN(2)/25)*CL200+(1-EXP(-LN(2)/25))/(LN(2)/25)*Calculateur!CG201*Calculateur!CI201*VLOOKUP('Données projet'!$B$12,Paramètres!$A$1:$I$89,3,0)*0.475*44/12</f>
        <v>9.9554461632878455E-2</v>
      </c>
      <c r="CM201" s="21">
        <f>EXP(-LN(2)/2)*CM200+(1-EXP(-LN(2)/2))/(LN(2)/2)*CG201*CJ201*VLOOKUP('Données projet'!$B$12,Paramètres!$A$1:$I$89,3,0)*0.475*44/12</f>
        <v>4.9449366724524132E-25</v>
      </c>
      <c r="CN201" s="22">
        <f t="shared" si="172"/>
        <v>0.39356733068818089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475.01366239340246</v>
      </c>
      <c r="CZ201" s="59">
        <f t="shared" si="208"/>
        <v>322.81767004794284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0.3121059686894746</v>
      </c>
      <c r="DG201" s="21">
        <f>EXP(-LN(2)/25)*DG200+(1-EXP(-LN(2)/25))/(LN(2)/25)*Calculateur!DB201*Calculateur!DD201*VLOOKUP('Données projet'!$B$13,Paramètres!$A$1:$I$89,3,0)*0.475*44/12</f>
        <v>0.10568089004105533</v>
      </c>
      <c r="DH201" s="21">
        <f>EXP(-LN(2)/2)*DH200+(1-EXP(-LN(2)/2))/(LN(2)/2)*DB201*DE201*VLOOKUP('Données projet'!$B$13,Paramètres!$A$1:$I$89,3,0)*0.475*44/12</f>
        <v>5.2492404676802553E-25</v>
      </c>
      <c r="DI201" s="22">
        <f t="shared" si="175"/>
        <v>0.4177868587305299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2.0572770154103635E-13</v>
      </c>
      <c r="DQ201" s="13">
        <f t="shared" si="176"/>
        <v>2.8416956338469711E-12</v>
      </c>
      <c r="DR201" s="20">
        <f t="shared" si="177"/>
        <v>5.3075956424674458E-12</v>
      </c>
      <c r="DS201" s="59">
        <f t="shared" si="197"/>
        <v>293.3333333333386</v>
      </c>
      <c r="DT201" s="59">
        <f ca="1">AVERAGE(OFFSET($DS$3,0,0,'Données projet'!$E$14+1,1))-AVERAGE(OFFSET($H$3,0,0,'Données projet'!$E$14+1,1))</f>
        <v>436.23918637269577</v>
      </c>
      <c r="DU201" s="59">
        <f t="shared" si="209"/>
        <v>611.43967996341894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0.11824628614355402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2.4404338320531614E-25</v>
      </c>
      <c r="ED201" s="22">
        <f t="shared" si="178"/>
        <v>0.11824628614355402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430.94515308997018</v>
      </c>
      <c r="T202" s="59">
        <f t="shared" si="204"/>
        <v>294.45557293177131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0.27494372728373506</v>
      </c>
      <c r="AA202" s="21">
        <f>EXP(-LN(2)/25)*AA201+(1-EXP(-LN(2)/25))/(LN(2)/25)*Calculateur!V202*Calculateur!X202*VLOOKUP('Données projet'!$B$9,Paramètres!$A$1:$I$89,3,0)*0.475*44/12</f>
        <v>9.2362963968300307E-2</v>
      </c>
      <c r="AB202" s="21">
        <f>EXP(-LN(2)/2)*AB201+(1-EXP(-LN(2)/2))/(LN(2)/2)*V202*Y202*VLOOKUP('Données projet'!$B$9,Paramètres!$A$1:$I$89,3,0)*0.475*44/12</f>
        <v>3.3352167957693372E-25</v>
      </c>
      <c r="AC202" s="22">
        <f t="shared" si="163"/>
        <v>0.36730669125203536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319.22903094674564</v>
      </c>
      <c r="AO202" s="59">
        <f t="shared" si="205"/>
        <v>254.58690973142848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0.319416722034845</v>
      </c>
      <c r="AV202" s="21">
        <f>EXP(-LN(2)/25)*AV201+(1-EXP(-LN(2)/25))/(LN(2)/25)*Calculateur!AQ202*Calculateur!AS202*VLOOKUP('Données projet'!$B$10,Paramètres!$A$1:$I$89,3,0)*0.475*44/12</f>
        <v>0.10288771360282482</v>
      </c>
      <c r="AW202" s="21">
        <f>EXP(-LN(2)/2)*AW201+(1-EXP(-LN(2)/2))/(LN(2)/2)*AQ202*AT202*VLOOKUP('Données projet'!$B$10,Paramètres!$A$1:$I$89,3,0)*0.475*44/12</f>
        <v>4.0369883653681701E-25</v>
      </c>
      <c r="AX202" s="21">
        <f t="shared" si="166"/>
        <v>0.42230443563766984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395.21779046720553</v>
      </c>
      <c r="BJ202" s="59">
        <f t="shared" si="206"/>
        <v>360.05900046417361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0.16933382292790936</v>
      </c>
      <c r="BQ202" s="21">
        <f>EXP(-LN(2)/25)*BQ201+(1-EXP(-LN(2)/25))/(LN(2)/25)*Calculateur!BL202*Calculateur!BN202*VLOOKUP('Données projet'!$B$11,Paramètres!$A$1:$I$89,3,0)*0.475*44/12</f>
        <v>0.10407645503171851</v>
      </c>
      <c r="BR202" s="21">
        <f>EXP(-LN(2)/2)*BR201+(1-EXP(-LN(2)/2))/(LN(2)/2)*BL202*BO202*VLOOKUP('Données projet'!$B$11,Paramètres!$A$1:$I$89,3,0)*0.475*44/12</f>
        <v>2.5580476753814646E-25</v>
      </c>
      <c r="BS202" s="22">
        <f t="shared" si="169"/>
        <v>0.27341027795962786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449.84356201138451</v>
      </c>
      <c r="CE202" s="59">
        <f t="shared" si="207"/>
        <v>306.61893266146666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0.28824745602327068</v>
      </c>
      <c r="CL202" s="21">
        <f>EXP(-LN(2)/25)*CL201+(1-EXP(-LN(2)/25))/(LN(2)/25)*Calculateur!CG202*Calculateur!CI202*VLOOKUP('Données projet'!$B$12,Paramètres!$A$1:$I$89,3,0)*0.475*44/12</f>
        <v>9.6832139644185786E-2</v>
      </c>
      <c r="CM202" s="21">
        <f>EXP(-LN(2)/2)*CM201+(1-EXP(-LN(2)/2))/(LN(2)/2)*CG202*CJ202*VLOOKUP('Données projet'!$B$12,Paramètres!$A$1:$I$89,3,0)*0.475*44/12</f>
        <v>3.496598253629143E-25</v>
      </c>
      <c r="CN202" s="22">
        <f t="shared" si="172"/>
        <v>0.38507959566745648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475.01366239340246</v>
      </c>
      <c r="CZ202" s="59">
        <f t="shared" si="208"/>
        <v>322.81767004794284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0.30598576100931785</v>
      </c>
      <c r="DG202" s="21">
        <f>EXP(-LN(2)/25)*DG201+(1-EXP(-LN(2)/25))/(LN(2)/25)*Calculateur!DB202*Calculateur!DD202*VLOOKUP('Données projet'!$B$13,Paramètres!$A$1:$I$89,3,0)*0.475*44/12</f>
        <v>0.1027910405453662</v>
      </c>
      <c r="DH202" s="21">
        <f>EXP(-LN(2)/2)*DH201+(1-EXP(-LN(2)/2))/(LN(2)/2)*DB202*DE202*VLOOKUP('Données projet'!$B$13,Paramètres!$A$1:$I$89,3,0)*0.475*44/12</f>
        <v>3.7117735307755527E-25</v>
      </c>
      <c r="DI202" s="22">
        <f t="shared" si="175"/>
        <v>0.40877680155468404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2.0572770154103635E-13</v>
      </c>
      <c r="DQ202" s="13">
        <f t="shared" si="176"/>
        <v>2.8416956338469711E-12</v>
      </c>
      <c r="DR202" s="20">
        <f t="shared" si="177"/>
        <v>5.3075956424674458E-12</v>
      </c>
      <c r="DS202" s="59">
        <f t="shared" si="197"/>
        <v>293.3333333333386</v>
      </c>
      <c r="DT202" s="59">
        <f ca="1">AVERAGE(OFFSET($DS$3,0,0,'Données projet'!$E$14+1,1))-AVERAGE(OFFSET($H$3,0,0,'Données projet'!$E$14+1,1))</f>
        <v>436.23918637269577</v>
      </c>
      <c r="DU202" s="59">
        <f t="shared" si="209"/>
        <v>611.43967996341894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0.11592754859539191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1.7256473116818625E-25</v>
      </c>
      <c r="ED202" s="22">
        <f t="shared" si="178"/>
        <v>0.11592754859539191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430.94515308997018</v>
      </c>
      <c r="T203" s="59">
        <f t="shared" si="204"/>
        <v>294.45557293177131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0.26955224849081577</v>
      </c>
      <c r="AA203" s="21">
        <f>EXP(-LN(2)/25)*AA202+(1-EXP(-LN(2)/25))/(LN(2)/25)*Calculateur!V203*Calculateur!X203*VLOOKUP('Données projet'!$B$9,Paramètres!$A$1:$I$89,3,0)*0.475*44/12</f>
        <v>8.9837293861429954E-2</v>
      </c>
      <c r="AB203" s="21">
        <f>EXP(-LN(2)/2)*AB202+(1-EXP(-LN(2)/2))/(LN(2)/2)*V203*Y203*VLOOKUP('Données projet'!$B$9,Paramètres!$A$1:$I$89,3,0)*0.475*44/12</f>
        <v>2.3583544130157668E-25</v>
      </c>
      <c r="AC203" s="22">
        <f t="shared" si="163"/>
        <v>0.35938954235224574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319.22903094674564</v>
      </c>
      <c r="AO203" s="59">
        <f t="shared" si="205"/>
        <v>254.58690973142848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0.31315315494070478</v>
      </c>
      <c r="AV203" s="21">
        <f>EXP(-LN(2)/25)*AV202+(1-EXP(-LN(2)/25))/(LN(2)/25)*Calculateur!AQ203*Calculateur!AS203*VLOOKUP('Données projet'!$B$10,Paramètres!$A$1:$I$89,3,0)*0.475*44/12</f>
        <v>0.10007424366372587</v>
      </c>
      <c r="AW203" s="21">
        <f>EXP(-LN(2)/2)*AW202+(1-EXP(-LN(2)/2))/(LN(2)/2)*AQ203*AT203*VLOOKUP('Données projet'!$B$10,Paramètres!$A$1:$I$89,3,0)*0.475*44/12</f>
        <v>2.854581848723029E-25</v>
      </c>
      <c r="AX203" s="21">
        <f t="shared" si="166"/>
        <v>0.41322739860443064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395.21779046720553</v>
      </c>
      <c r="BJ203" s="59">
        <f t="shared" si="206"/>
        <v>360.05900046417361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0.16601328994372666</v>
      </c>
      <c r="BQ203" s="21">
        <f>EXP(-LN(2)/25)*BQ202+(1-EXP(-LN(2)/25))/(LN(2)/25)*Calculateur!BL203*Calculateur!BN203*VLOOKUP('Données projet'!$B$11,Paramètres!$A$1:$I$89,3,0)*0.475*44/12</f>
        <v>0.10123047889573328</v>
      </c>
      <c r="BR203" s="21">
        <f>EXP(-LN(2)/2)*BR202+(1-EXP(-LN(2)/2))/(LN(2)/2)*BL203*BO203*VLOOKUP('Données projet'!$B$11,Paramètres!$A$1:$I$89,3,0)*0.475*44/12</f>
        <v>1.8088128578607179E-25</v>
      </c>
      <c r="BS203" s="22">
        <f t="shared" si="169"/>
        <v>0.26724376883945994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449.84356201138451</v>
      </c>
      <c r="CE203" s="59">
        <f t="shared" si="207"/>
        <v>306.61893266146666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0.28259509922424236</v>
      </c>
      <c r="CL203" s="21">
        <f>EXP(-LN(2)/25)*CL202+(1-EXP(-LN(2)/25))/(LN(2)/25)*Calculateur!CG203*Calculateur!CI203*VLOOKUP('Données projet'!$B$12,Paramètres!$A$1:$I$89,3,0)*0.475*44/12</f>
        <v>9.4184259693434608E-2</v>
      </c>
      <c r="CM203" s="21">
        <f>EXP(-LN(2)/2)*CM202+(1-EXP(-LN(2)/2))/(LN(2)/2)*CG203*CJ203*VLOOKUP('Données projet'!$B$12,Paramètres!$A$1:$I$89,3,0)*0.475*44/12</f>
        <v>2.4724683362262066E-25</v>
      </c>
      <c r="CN203" s="22">
        <f t="shared" si="172"/>
        <v>0.376779358917677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475.01366239340246</v>
      </c>
      <c r="CZ203" s="59">
        <f t="shared" si="208"/>
        <v>322.81767004794284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0.29998556686881089</v>
      </c>
      <c r="DG203" s="21">
        <f>EXP(-LN(2)/25)*DG202+(1-EXP(-LN(2)/25))/(LN(2)/25)*Calculateur!DB203*Calculateur!DD203*VLOOKUP('Données projet'!$B$13,Paramètres!$A$1:$I$89,3,0)*0.475*44/12</f>
        <v>9.9980214136107262E-2</v>
      </c>
      <c r="DH203" s="21">
        <f>EXP(-LN(2)/2)*DH202+(1-EXP(-LN(2)/2))/(LN(2)/2)*DB203*DE203*VLOOKUP('Données projet'!$B$13,Paramètres!$A$1:$I$89,3,0)*0.475*44/12</f>
        <v>2.6246202338401276E-25</v>
      </c>
      <c r="DI203" s="22">
        <f t="shared" si="175"/>
        <v>0.39996578100491814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2.0572770154103635E-13</v>
      </c>
      <c r="DQ203" s="13">
        <f t="shared" si="176"/>
        <v>2.8416956338469711E-12</v>
      </c>
      <c r="DR203" s="20">
        <f t="shared" si="177"/>
        <v>5.3075956424674458E-12</v>
      </c>
      <c r="DS203" s="59">
        <f t="shared" si="197"/>
        <v>293.3333333333386</v>
      </c>
      <c r="DT203" s="59">
        <f ca="1">AVERAGE(OFFSET($DS$3,0,0,'Données projet'!$E$14+1,1))-AVERAGE(OFFSET($H$3,0,0,'Données projet'!$E$14+1,1))</f>
        <v>436.23918637269577</v>
      </c>
      <c r="DU203" s="59">
        <f t="shared" si="209"/>
        <v>611.43967996341894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0.113654280076259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1.2202169160265807E-25</v>
      </c>
      <c r="ED203" s="22">
        <f t="shared" si="178"/>
        <v>0.113654280076259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1.4269435884576509</v>
      </c>
      <c r="BV205" s="82">
        <f>EXP(LN('Données projet'!B114)/'Données projet'!A114)</f>
        <v>1.2392705892426346</v>
      </c>
      <c r="CQ205" s="82">
        <f>EXP(LN('Données projet'!B140)/'Données projet'!A140)</f>
        <v>1.2392705892426346</v>
      </c>
      <c r="DL205" s="82">
        <f>EXP(LN('Données projet'!B166)/'Données projet'!A166)</f>
        <v>2.1016324782757847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9" sqref="N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Alisier torminal</v>
      </c>
      <c r="B6" s="146">
        <f>'Données projet'!D9</f>
        <v>3.6400000000000002E-2</v>
      </c>
      <c r="C6" s="147">
        <f ca="1">IF(OR('Données projet'!B9="",'Données projet'!C9="",'Données projet'!C9=0%),0,Calculateur!S3)</f>
        <v>430.94515308997018</v>
      </c>
      <c r="D6" s="147">
        <f>IF(OR('Données projet'!B9="",'Données projet'!C9="",'Données projet'!C9=0%),0,Calculateur!T3)</f>
        <v>294.45557293177131</v>
      </c>
      <c r="E6" s="147">
        <f ca="1">MIN(C6,D6)</f>
        <v>294.45557293177131</v>
      </c>
      <c r="F6" s="147">
        <f ca="1">E6*B6</f>
        <v>10.718182854716476</v>
      </c>
      <c r="G6" s="147">
        <f ca="1">F6*(100%-'Données projet'!$C$24)*(100%-'Données projet'!$C$25)*(100%-'Données projet'!$C$26)*(100%-'Données projet'!$C$27)</f>
        <v>9.6463645692448292</v>
      </c>
      <c r="H6" s="148">
        <f>IF(OR('Données projet'!B9="",'Données projet'!C9="",'Données projet'!C9=0%),0,AVERAGE(Calculateur!$AC$3:$AC$33)*B6)</f>
        <v>0.13165904631474798</v>
      </c>
      <c r="I6" s="149">
        <f>H6*(100%-'Données projet'!$C$24)*(100%-'Données projet'!$C$25)*(100%-'Données projet'!$C$26)*(100%-'Données projet'!$C$27)</f>
        <v>0.11849314168327318</v>
      </c>
      <c r="J6" s="150">
        <f>IF(OR('Données projet'!B9="",'Données projet'!C9="",'Données projet'!C9=0%),0,SUM(Calculateur!$V$3:$V$33)*VLOOKUP('Données projet'!$B$9,Paramètres!$A$1:$I$89,9,0)*B6)</f>
        <v>0.56420000000000003</v>
      </c>
      <c r="K6" s="151">
        <f>J6*(100%-'Données projet'!$C$24)*(100%-'Données projet'!$C$25)*(100%-'Données projet'!$C$26)*(100%-'Données projet'!$C$27)</f>
        <v>0.50778000000000001</v>
      </c>
      <c r="L6" s="152">
        <f ca="1">G6+I6+K6</f>
        <v>10.272637710928104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0.49140000000000006</v>
      </c>
      <c r="C7" s="147">
        <f ca="1">IF(OR('Données projet'!B10="",'Données projet'!C10="",'Données projet'!C10=0%),0,Calculateur!AN3)</f>
        <v>319.22903094674564</v>
      </c>
      <c r="D7" s="147">
        <f>IF(OR('Données projet'!B10="",'Données projet'!C10="",'Données projet'!C10=0%),0,Calculateur!AO3)</f>
        <v>254.58690973142848</v>
      </c>
      <c r="E7" s="147">
        <f t="shared" ref="E7:E15" ca="1" si="0">MIN(C7,D7)</f>
        <v>254.58690973142848</v>
      </c>
      <c r="F7" s="147">
        <f t="shared" ref="F7:F15" ca="1" si="1">E7*B7</f>
        <v>125.10400744202397</v>
      </c>
      <c r="G7" s="147">
        <f ca="1">F7*(100%-'Données projet'!$C$24)*(100%-'Données projet'!$C$25)*(100%-'Données projet'!$C$26)*(100%-'Données projet'!$C$27)</f>
        <v>112.59360669782157</v>
      </c>
      <c r="H7" s="155">
        <f>IF(OR('Données projet'!B10="",'Données projet'!C10="",'Données projet'!C10=0%),0,AVERAGE(Calculateur!$AX$3:$AX$33)*B7)</f>
        <v>1.9230386729530462</v>
      </c>
      <c r="I7" s="149">
        <f>H7*(100%-'Données projet'!$C$24)*(100%-'Données projet'!$C$25)*(100%-'Données projet'!$C$26)*(100%-'Données projet'!$C$27)</f>
        <v>1.7307348056577416</v>
      </c>
      <c r="J7" s="150">
        <f>IF(OR('Données projet'!B10="",'Données projet'!C10="",'Données projet'!C10=0%),0,SUM(Calculateur!$AQ$3:$AQ$33)*VLOOKUP('Données projet'!$B$10,Paramètres!$A$1:$I$89,9,0)*B7)</f>
        <v>22.503663000000003</v>
      </c>
      <c r="K7" s="151">
        <f>J7*(100%-'Données projet'!$C$24)*(100%-'Données projet'!$C$25)*(100%-'Données projet'!$C$26)*(100%-'Données projet'!$C$27)</f>
        <v>20.253296700000003</v>
      </c>
      <c r="L7" s="152">
        <f t="shared" ref="L7:L15" ca="1" si="2">G7+I7+K7</f>
        <v>134.57763820347932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rouge d'Amérique</v>
      </c>
      <c r="B8" s="154">
        <f>'Données projet'!D11</f>
        <v>0.49140000000000006</v>
      </c>
      <c r="C8" s="147">
        <f ca="1">IF(OR('Données projet'!B11="",'Données projet'!C11="",'Données projet'!C11=0%),0,Calculateur!BI3)</f>
        <v>395.21779046720553</v>
      </c>
      <c r="D8" s="147">
        <f>IF(OR('Données projet'!B11="",'Données projet'!C11="",'Données projet'!C11=0%),0,Calculateur!BJ3)</f>
        <v>360.05900046417361</v>
      </c>
      <c r="E8" s="147">
        <f t="shared" ca="1" si="0"/>
        <v>360.05900046417361</v>
      </c>
      <c r="F8" s="147">
        <f t="shared" ca="1" si="1"/>
        <v>176.93299282809494</v>
      </c>
      <c r="G8" s="147">
        <f ca="1">F8*(100%-'Données projet'!$C$24)*(100%-'Données projet'!$C$25)*(100%-'Données projet'!$C$26)*(100%-'Données projet'!$C$27)</f>
        <v>159.23969354528546</v>
      </c>
      <c r="H8" s="155">
        <f>IF(OR('Données projet'!B11="",'Données projet'!C11="",'Données projet'!C11=0%),0,AVERAGE(Calculateur!$BS$3:$BS$33)*B8)</f>
        <v>3.0174644489175049</v>
      </c>
      <c r="I8" s="149">
        <f>H8*(100%-'Données projet'!$C$24)*(100%-'Données projet'!$C$25)*(100%-'Données projet'!$C$26)*(100%-'Données projet'!$C$27)</f>
        <v>2.7157180040257543</v>
      </c>
      <c r="J8" s="150">
        <f>IF(OR('Données projet'!B11="",'Données projet'!C11="",'Données projet'!C11=0%),0,SUM(Calculateur!$BL$3:$BL$33)*VLOOKUP('Données projet'!$B$11,Paramètres!$A$1:$I$89,9,0)*B8)</f>
        <v>14.987700000000002</v>
      </c>
      <c r="K8" s="151">
        <f>J8*(100%-'Données projet'!$C$24)*(100%-'Données projet'!$C$25)*(100%-'Données projet'!$C$26)*(100%-'Données projet'!$C$27)</f>
        <v>13.488930000000002</v>
      </c>
      <c r="L8" s="152">
        <f t="shared" ca="1" si="2"/>
        <v>175.44434154931122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0.41860000000000003</v>
      </c>
      <c r="C9" s="147">
        <f ca="1">IF(OR('Données projet'!B12="",'Données projet'!C12="",'Données projet'!C12=0%),0,Calculateur!CD3)</f>
        <v>449.84356201138451</v>
      </c>
      <c r="D9" s="147">
        <f>IF(OR('Données projet'!B12="",'Données projet'!C12="",'Données projet'!C12=0%),0,Calculateur!CE3)</f>
        <v>306.61893266146666</v>
      </c>
      <c r="E9" s="147">
        <f t="shared" ca="1" si="0"/>
        <v>306.61893266146666</v>
      </c>
      <c r="F9" s="147">
        <f t="shared" ca="1" si="1"/>
        <v>128.35068521208996</v>
      </c>
      <c r="G9" s="147">
        <f ca="1">F9*(100%-'Données projet'!$C$24)*(100%-'Données projet'!$C$25)*(100%-'Données projet'!$C$26)*(100%-'Données projet'!$C$27)</f>
        <v>115.51561669088096</v>
      </c>
      <c r="H9" s="155">
        <f>IF(OR('Données projet'!B12="",'Données projet'!C12="",'Données projet'!C12=0%),0,AVERAGE(Calculateur!$CN$3:$CN$33)*B9)</f>
        <v>1.5873409212947438</v>
      </c>
      <c r="I9" s="149">
        <f>H9*(100%-'Données projet'!$C$24)*(100%-'Données projet'!$C$25)*(100%-'Données projet'!$C$26)*(100%-'Données projet'!$C$27)</f>
        <v>1.4286068291652694</v>
      </c>
      <c r="J9" s="150">
        <f>IF(OR('Données projet'!B12="",'Données projet'!C12="",'Données projet'!C12=0%),0,SUM(Calculateur!$CG$3:$CG$33)*VLOOKUP('Données projet'!$B$12,Paramètres!$A$1:$I$89,9,0)*B9)</f>
        <v>6.4883000000000006</v>
      </c>
      <c r="K9" s="151">
        <f>J9*(100%-'Données projet'!$C$24)*(100%-'Données projet'!$C$25)*(100%-'Données projet'!$C$26)*(100%-'Données projet'!$C$27)</f>
        <v>5.8394700000000004</v>
      </c>
      <c r="L9" s="152">
        <f t="shared" ca="1" si="2"/>
        <v>122.78369352004624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Cormier</v>
      </c>
      <c r="B10" s="154">
        <f>'Données projet'!D13</f>
        <v>3.6400000000000002E-2</v>
      </c>
      <c r="C10" s="147">
        <f ca="1">IF(OR('Données projet'!B13="",'Données projet'!C13="",'Données projet'!C13=0%),0,Calculateur!CY3)</f>
        <v>475.01366239340246</v>
      </c>
      <c r="D10" s="147">
        <f>IF(OR('Données projet'!B13="",'Données projet'!C13="",'Données projet'!C13=0%),0,Calculateur!CZ3)</f>
        <v>322.81767004794284</v>
      </c>
      <c r="E10" s="147">
        <f t="shared" ca="1" si="0"/>
        <v>322.81767004794284</v>
      </c>
      <c r="F10" s="147">
        <f t="shared" ca="1" si="1"/>
        <v>11.750563189745121</v>
      </c>
      <c r="G10" s="147">
        <f ca="1">F10*(100%-'Données projet'!$C$24)*(100%-'Données projet'!$C$25)*(100%-'Données projet'!$C$26)*(100%-'Données projet'!$C$27)</f>
        <v>10.575506870770608</v>
      </c>
      <c r="H10" s="155">
        <f>IF(OR('Données projet'!B13="",'Données projet'!C13="",'Données projet'!C13=0%),0,AVERAGE(Calculateur!$DI$3:$DI$33)*B10)</f>
        <v>0.14652377735028399</v>
      </c>
      <c r="I10" s="149">
        <f>H10*(100%-'Données projet'!$C$24)*(100%-'Données projet'!$C$25)*(100%-'Données projet'!$C$26)*(100%-'Données projet'!$C$27)</f>
        <v>0.1318713996152556</v>
      </c>
      <c r="J10" s="150">
        <f>IF(OR('Données projet'!B13="",'Données projet'!C13="",'Données projet'!C13=0%),0,SUM(Calculateur!$DB$3:$DB$33)*VLOOKUP('Données projet'!$B$13,Paramètres!$A$1:$I$89,9,0)*B10)</f>
        <v>0.56420000000000003</v>
      </c>
      <c r="K10" s="151">
        <f>J10*(100%-'Données projet'!$C$24)*(100%-'Données projet'!$C$25)*(100%-'Données projet'!$C$26)*(100%-'Données projet'!$C$27)</f>
        <v>0.50778000000000001</v>
      </c>
      <c r="L10" s="152">
        <f t="shared" ca="1" si="2"/>
        <v>11.215158270385864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Robinier faux-acacia</v>
      </c>
      <c r="B11" s="154">
        <f>'Données projet'!D14</f>
        <v>0.3458</v>
      </c>
      <c r="C11" s="147">
        <f ca="1">IF(OR('Données projet'!B14="",'Données projet'!C14="",'Données projet'!C14=0%),0,Calculateur!DT3)</f>
        <v>436.23918637269577</v>
      </c>
      <c r="D11" s="147">
        <f>IF(OR('Données projet'!B14="",'Données projet'!C14="",'Données projet'!C14=0%),0,Calculateur!DU3)</f>
        <v>611.43967996341894</v>
      </c>
      <c r="E11" s="147">
        <f t="shared" ca="1" si="0"/>
        <v>436.23918637269577</v>
      </c>
      <c r="F11" s="147">
        <f t="shared" ca="1" si="1"/>
        <v>150.8515106476782</v>
      </c>
      <c r="G11" s="147">
        <f ca="1">F11*(100%-'Données projet'!$C$24)*(100%-'Données projet'!$C$25)*(100%-'Données projet'!$C$26)*(100%-'Données projet'!$C$27)</f>
        <v>135.76635958291038</v>
      </c>
      <c r="H11" s="155">
        <f>IF(OR('Données projet'!B14="",'Données projet'!C14="",'Données projet'!C14=0%),0,AVERAGE(Calculateur!$ED$3:$ED$33)*B11)</f>
        <v>1.3903473345143571</v>
      </c>
      <c r="I11" s="149">
        <f>H11*(100%-'Données projet'!$C$24)*(100%-'Données projet'!$C$25)*(100%-'Données projet'!$C$26)*(100%-'Données projet'!$C$27)</f>
        <v>1.2513126010629214</v>
      </c>
      <c r="J11" s="150">
        <f>IF(OR('Données projet'!B14="",'Données projet'!C14="",'Données projet'!C14=0%),0,SUM(Calculateur!$DW$3:$DW$33)*VLOOKUP('Données projet'!$B$14,Paramètres!$A$1:$I$89,9,0)*B11)</f>
        <v>11.152049999999999</v>
      </c>
      <c r="K11" s="151">
        <f>J11*(100%-'Données projet'!$C$24)*(100%-'Données projet'!$C$25)*(100%-'Données projet'!$C$26)*(100%-'Données projet'!$C$27)</f>
        <v>10.036845</v>
      </c>
      <c r="L11" s="152">
        <f t="shared" ca="1" si="2"/>
        <v>147.0545171839733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603.70794217434866</v>
      </c>
      <c r="G16" s="166">
        <f t="shared" ca="1" si="3"/>
        <v>543.33714795691378</v>
      </c>
      <c r="H16" s="167">
        <f t="shared" si="3"/>
        <v>8.1963742013446836</v>
      </c>
      <c r="I16" s="167">
        <f t="shared" si="3"/>
        <v>7.3767367812102158</v>
      </c>
      <c r="J16" s="168">
        <f t="shared" si="3"/>
        <v>56.260113000000004</v>
      </c>
      <c r="K16" s="168">
        <f t="shared" si="3"/>
        <v>50.634101700000002</v>
      </c>
      <c r="L16" s="169">
        <f t="shared" ca="1" si="3"/>
        <v>601.34798643812405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Alisier torminal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6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Alisier torminal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-1556.5266442753489</v>
      </c>
      <c r="U10" s="178">
        <f>'Données projet'!D9</f>
        <v>3.6400000000000002E-2</v>
      </c>
      <c r="V10" s="177">
        <f>U10*T10</f>
        <v>-56.657569851622704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-1498.9131181682276</v>
      </c>
      <c r="U11" s="178">
        <f>'Données projet'!D10</f>
        <v>0.49140000000000006</v>
      </c>
      <c r="V11" s="177">
        <f t="shared" ref="V11" si="0">U11*T11</f>
        <v>-736.56590626786715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-487.25355112143762</v>
      </c>
      <c r="U12" s="178">
        <f>'Données projet'!D11</f>
        <v>0.49140000000000006</v>
      </c>
      <c r="V12" s="177">
        <f t="shared" ref="V12:V19" si="1">U12*T12</f>
        <v>-239.43639502107447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-2986.5266442753482</v>
      </c>
      <c r="U13" s="178">
        <f>'Données projet'!D12</f>
        <v>0.41860000000000003</v>
      </c>
      <c r="V13" s="177">
        <f t="shared" si="1"/>
        <v>-1250.1600532936609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Alisier torminal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-1556.5266442753489</v>
      </c>
      <c r="U14" s="178">
        <f>'Données projet'!D13</f>
        <v>3.6400000000000002E-2</v>
      </c>
      <c r="V14" s="177">
        <f t="shared" si="1"/>
        <v>-56.657569851622704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Robinier faux-acacia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33.02565393021132</v>
      </c>
      <c r="U15" s="178">
        <f>'Données projet'!D14</f>
        <v>0.3458</v>
      </c>
      <c r="V15" s="177">
        <f t="shared" si="1"/>
        <v>11.420271129067075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1300*(1+1)</f>
        <v>2600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(3531+1275+1125+324+525+300+2700+410.4+216+133+2192+350+350)/1.87</f>
        <v>7182.5668449197856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v>1.3</v>
      </c>
      <c r="D23" s="182">
        <f>B23*C23</f>
        <v>7.8000000000000007</v>
      </c>
      <c r="E23" s="193"/>
      <c r="F23" s="230"/>
      <c r="H23" s="190">
        <v>3</v>
      </c>
      <c r="I23" s="191">
        <v>800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-19149.076789984945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28</v>
      </c>
      <c r="C24" s="193">
        <v>1.3</v>
      </c>
      <c r="D24" s="182">
        <f t="shared" ref="D24:D42" si="2">B24*C24</f>
        <v>36.4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28</v>
      </c>
      <c r="C25" s="193">
        <v>2.2799999999999998</v>
      </c>
      <c r="D25" s="182">
        <f t="shared" si="2"/>
        <v>63.839999999999996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-19149.076789984945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28</v>
      </c>
      <c r="C26" s="193">
        <v>2.2799999999999998</v>
      </c>
      <c r="D26" s="182">
        <f t="shared" si="2"/>
        <v>63.839999999999996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v>2.2799999999999998</v>
      </c>
      <c r="D27" s="182">
        <f t="shared" si="2"/>
        <v>63.839999999999996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28</v>
      </c>
      <c r="C28" s="193">
        <v>2.2799999999999998</v>
      </c>
      <c r="D28" s="182">
        <f t="shared" si="2"/>
        <v>63.839999999999996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28</v>
      </c>
      <c r="C29" s="193">
        <v>2.83</v>
      </c>
      <c r="D29" s="182">
        <f t="shared" si="2"/>
        <v>79.240000000000009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28</v>
      </c>
      <c r="C30" s="193">
        <v>2.83</v>
      </c>
      <c r="D30" s="182">
        <f t="shared" si="2"/>
        <v>79.240000000000009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28</v>
      </c>
      <c r="C31" s="193">
        <v>2.83</v>
      </c>
      <c r="D31" s="182">
        <f t="shared" si="2"/>
        <v>79.240000000000009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28</v>
      </c>
      <c r="C32" s="193">
        <v>40.5</v>
      </c>
      <c r="D32" s="182">
        <f t="shared" si="2"/>
        <v>1134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28</v>
      </c>
      <c r="C33" s="193">
        <v>40.5</v>
      </c>
      <c r="D33" s="182">
        <f t="shared" si="2"/>
        <v>1134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28</v>
      </c>
      <c r="C34" s="193">
        <v>40.5</v>
      </c>
      <c r="D34" s="182">
        <f t="shared" si="2"/>
        <v>1134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28</v>
      </c>
      <c r="C35" s="193">
        <v>41</v>
      </c>
      <c r="D35" s="182">
        <f t="shared" si="2"/>
        <v>1148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28</v>
      </c>
      <c r="C36" s="193">
        <v>41</v>
      </c>
      <c r="D36" s="182">
        <f t="shared" si="2"/>
        <v>1148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28</v>
      </c>
      <c r="C37" s="193">
        <v>41</v>
      </c>
      <c r="D37" s="182">
        <f t="shared" si="2"/>
        <v>1148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28</v>
      </c>
      <c r="C38" s="193">
        <v>41</v>
      </c>
      <c r="D38" s="182">
        <f t="shared" si="2"/>
        <v>1148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333</v>
      </c>
      <c r="C39" s="193">
        <v>170.75</v>
      </c>
      <c r="D39" s="182">
        <f t="shared" si="2"/>
        <v>56859.75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1300*(1.8+0.7)</f>
        <v>3250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39.5</v>
      </c>
      <c r="C54" s="191">
        <v>2</v>
      </c>
      <c r="D54" s="179">
        <f>B54*C54</f>
        <v>79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67</v>
      </c>
      <c r="C55" s="191">
        <v>4</v>
      </c>
      <c r="D55" s="179">
        <f t="shared" ref="D55:D73" si="4">B55*C55</f>
        <v>268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70</v>
      </c>
      <c r="C56" s="191">
        <v>27</v>
      </c>
      <c r="D56" s="179">
        <f t="shared" si="4"/>
        <v>1890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75</v>
      </c>
      <c r="C57" s="191">
        <v>27</v>
      </c>
      <c r="D57" s="179">
        <f t="shared" si="4"/>
        <v>2025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80</v>
      </c>
      <c r="C58" s="191">
        <v>26.7</v>
      </c>
      <c r="D58" s="179">
        <f t="shared" si="4"/>
        <v>2136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87</v>
      </c>
      <c r="C59" s="191">
        <v>46</v>
      </c>
      <c r="D59" s="179">
        <f t="shared" si="4"/>
        <v>4002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93</v>
      </c>
      <c r="C60" s="191">
        <v>46</v>
      </c>
      <c r="D60" s="179">
        <f t="shared" si="4"/>
        <v>4278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98</v>
      </c>
      <c r="C61" s="191">
        <v>46</v>
      </c>
      <c r="D61" s="179">
        <f t="shared" si="4"/>
        <v>4508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675.5</v>
      </c>
      <c r="C62" s="191">
        <v>75</v>
      </c>
      <c r="D62" s="179">
        <f t="shared" si="4"/>
        <v>50662.5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1300*(1.42+0.7)</f>
        <v>2756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>
        <v>2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30</v>
      </c>
      <c r="C86" s="191">
        <v>10</v>
      </c>
      <c r="D86" s="179">
        <f t="shared" ref="D86:D104" si="6">B86*C86</f>
        <v>300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29</v>
      </c>
      <c r="C87" s="191">
        <v>10</v>
      </c>
      <c r="D87" s="179">
        <f t="shared" si="6"/>
        <v>290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31</v>
      </c>
      <c r="C88" s="191">
        <v>25</v>
      </c>
      <c r="D88" s="179">
        <f t="shared" si="6"/>
        <v>775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32</v>
      </c>
      <c r="C89" s="191">
        <v>25</v>
      </c>
      <c r="D89" s="179">
        <f t="shared" si="6"/>
        <v>800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32</v>
      </c>
      <c r="C90" s="191">
        <v>30</v>
      </c>
      <c r="D90" s="179">
        <f t="shared" si="6"/>
        <v>960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31</v>
      </c>
      <c r="C91" s="191">
        <v>40</v>
      </c>
      <c r="D91" s="179">
        <f t="shared" si="6"/>
        <v>1240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30</v>
      </c>
      <c r="C92" s="191">
        <v>40</v>
      </c>
      <c r="D92" s="179">
        <f t="shared" si="6"/>
        <v>1200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28</v>
      </c>
      <c r="C93" s="191">
        <v>40</v>
      </c>
      <c r="D93" s="179">
        <f t="shared" si="6"/>
        <v>1120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26</v>
      </c>
      <c r="C94" s="191">
        <v>40</v>
      </c>
      <c r="D94" s="179">
        <f t="shared" si="6"/>
        <v>1040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24</v>
      </c>
      <c r="C95" s="191">
        <v>40</v>
      </c>
      <c r="D95" s="179">
        <f t="shared" si="6"/>
        <v>960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22</v>
      </c>
      <c r="C96" s="191">
        <v>40</v>
      </c>
      <c r="D96" s="179">
        <f t="shared" si="6"/>
        <v>880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21</v>
      </c>
      <c r="C97" s="191">
        <v>40</v>
      </c>
      <c r="D97" s="179">
        <f t="shared" si="6"/>
        <v>840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75</v>
      </c>
      <c r="B98" s="181">
        <f>'Données projet'!D101</f>
        <v>19</v>
      </c>
      <c r="C98" s="191">
        <v>40</v>
      </c>
      <c r="D98" s="179">
        <f t="shared" si="6"/>
        <v>760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80</v>
      </c>
      <c r="B99" s="181">
        <f>'Données projet'!D102</f>
        <v>17</v>
      </c>
      <c r="C99" s="191">
        <v>40</v>
      </c>
      <c r="D99" s="179">
        <f t="shared" si="6"/>
        <v>680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85</v>
      </c>
      <c r="B100" s="181">
        <f>'Données projet'!D103</f>
        <v>16</v>
      </c>
      <c r="C100" s="191">
        <v>40</v>
      </c>
      <c r="D100" s="179">
        <f t="shared" si="6"/>
        <v>640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90</v>
      </c>
      <c r="B101" s="181">
        <f>'Données projet'!D104</f>
        <v>14</v>
      </c>
      <c r="C101" s="191">
        <v>40</v>
      </c>
      <c r="D101" s="179">
        <f t="shared" si="6"/>
        <v>560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95</v>
      </c>
      <c r="B102" s="181">
        <f>'Données projet'!D105</f>
        <v>13</v>
      </c>
      <c r="C102" s="191">
        <v>60</v>
      </c>
      <c r="D102" s="179">
        <f t="shared" si="6"/>
        <v>780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100</v>
      </c>
      <c r="B103" s="181">
        <f>'Données projet'!D106</f>
        <v>520</v>
      </c>
      <c r="C103" s="191">
        <v>75</v>
      </c>
      <c r="D103" s="179">
        <f t="shared" si="6"/>
        <v>39000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1300*(2.4+0.7)</f>
        <v>4029.9999999999995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</v>
      </c>
      <c r="C116" s="191">
        <v>1.3</v>
      </c>
      <c r="D116" s="179">
        <f>B116*C116</f>
        <v>7.8000000000000007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28</v>
      </c>
      <c r="C117" s="191">
        <v>1.3</v>
      </c>
      <c r="D117" s="179">
        <f t="shared" ref="D117:D135" si="8">B117*C117</f>
        <v>36.4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28</v>
      </c>
      <c r="C118" s="191">
        <v>2.2799999999999998</v>
      </c>
      <c r="D118" s="179">
        <f t="shared" si="8"/>
        <v>63.839999999999996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28</v>
      </c>
      <c r="C119" s="191">
        <v>2.2799999999999998</v>
      </c>
      <c r="D119" s="179">
        <f t="shared" si="8"/>
        <v>63.839999999999996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28</v>
      </c>
      <c r="C120" s="191">
        <v>2.2799999999999998</v>
      </c>
      <c r="D120" s="179">
        <f t="shared" si="8"/>
        <v>63.839999999999996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28</v>
      </c>
      <c r="C121" s="191">
        <v>2.2799999999999998</v>
      </c>
      <c r="D121" s="179">
        <f t="shared" si="8"/>
        <v>63.839999999999996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28</v>
      </c>
      <c r="C122" s="191">
        <v>2.83</v>
      </c>
      <c r="D122" s="179">
        <f t="shared" si="8"/>
        <v>79.240000000000009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28</v>
      </c>
      <c r="C123" s="191">
        <v>2.83</v>
      </c>
      <c r="D123" s="179">
        <f t="shared" si="8"/>
        <v>79.240000000000009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28</v>
      </c>
      <c r="C124" s="191">
        <v>2.83</v>
      </c>
      <c r="D124" s="179">
        <f t="shared" si="8"/>
        <v>79.240000000000009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28</v>
      </c>
      <c r="C125" s="191">
        <v>40.5</v>
      </c>
      <c r="D125" s="179">
        <f t="shared" si="8"/>
        <v>1134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28</v>
      </c>
      <c r="C126" s="191">
        <v>40.5</v>
      </c>
      <c r="D126" s="179">
        <f t="shared" si="8"/>
        <v>1134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28</v>
      </c>
      <c r="C127" s="191">
        <v>40.5</v>
      </c>
      <c r="D127" s="179">
        <f t="shared" si="8"/>
        <v>1134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28</v>
      </c>
      <c r="C128" s="191">
        <v>41</v>
      </c>
      <c r="D128" s="179">
        <f t="shared" si="8"/>
        <v>1148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85</v>
      </c>
      <c r="B129" s="181">
        <f>'Données projet'!D127</f>
        <v>28</v>
      </c>
      <c r="C129" s="191">
        <v>41</v>
      </c>
      <c r="D129" s="179">
        <f t="shared" si="8"/>
        <v>1148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90</v>
      </c>
      <c r="B130" s="181">
        <f>'Données projet'!D128</f>
        <v>28</v>
      </c>
      <c r="C130" s="191">
        <v>41</v>
      </c>
      <c r="D130" s="179">
        <f t="shared" si="8"/>
        <v>1148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95</v>
      </c>
      <c r="B131" s="181">
        <f>'Données projet'!D129</f>
        <v>28</v>
      </c>
      <c r="C131" s="191">
        <v>41</v>
      </c>
      <c r="D131" s="179">
        <f t="shared" si="8"/>
        <v>1148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100</v>
      </c>
      <c r="B132" s="181">
        <f>'Données projet'!D130</f>
        <v>333</v>
      </c>
      <c r="C132" s="191">
        <v>170.75</v>
      </c>
      <c r="D132" s="179">
        <f t="shared" si="8"/>
        <v>56859.75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2600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6</v>
      </c>
      <c r="C147" s="191">
        <v>1.3</v>
      </c>
      <c r="D147" s="182">
        <f>B147*C147</f>
        <v>7.8000000000000007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5">
        <f>'Données projet'!D141</f>
        <v>28</v>
      </c>
      <c r="C148" s="191">
        <v>1.3</v>
      </c>
      <c r="D148" s="182">
        <f t="shared" ref="D148:D166" si="10">B148*C148</f>
        <v>36.4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28</v>
      </c>
      <c r="C149" s="191">
        <v>2.2799999999999998</v>
      </c>
      <c r="D149" s="182">
        <f t="shared" si="10"/>
        <v>63.839999999999996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5">
        <f>'Données projet'!D143</f>
        <v>28</v>
      </c>
      <c r="C150" s="191">
        <v>2.2799999999999998</v>
      </c>
      <c r="D150" s="182">
        <f t="shared" si="10"/>
        <v>63.839999999999996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5">
        <f>'Données projet'!D144</f>
        <v>28</v>
      </c>
      <c r="C151" s="191">
        <v>2.2799999999999998</v>
      </c>
      <c r="D151" s="182">
        <f t="shared" si="10"/>
        <v>63.839999999999996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5">
        <f>'Données projet'!D145</f>
        <v>28</v>
      </c>
      <c r="C152" s="191">
        <v>2.2799999999999998</v>
      </c>
      <c r="D152" s="182">
        <f t="shared" si="10"/>
        <v>63.839999999999996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5">
        <f>'Données projet'!D146</f>
        <v>28</v>
      </c>
      <c r="C153" s="191">
        <v>2.83</v>
      </c>
      <c r="D153" s="182">
        <f t="shared" si="10"/>
        <v>79.240000000000009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5">
        <f>'Données projet'!D147</f>
        <v>28</v>
      </c>
      <c r="C154" s="191">
        <v>2.83</v>
      </c>
      <c r="D154" s="182">
        <f t="shared" si="10"/>
        <v>79.240000000000009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5">
        <f>'Données projet'!D148</f>
        <v>28</v>
      </c>
      <c r="C155" s="191">
        <v>2.83</v>
      </c>
      <c r="D155" s="182">
        <f t="shared" si="10"/>
        <v>79.240000000000009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5">
        <f>'Données projet'!D149</f>
        <v>28</v>
      </c>
      <c r="C156" s="191">
        <v>40.5</v>
      </c>
      <c r="D156" s="182">
        <f t="shared" si="10"/>
        <v>1134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5">
        <f>'Données projet'!D150</f>
        <v>28</v>
      </c>
      <c r="C157" s="191">
        <v>40.5</v>
      </c>
      <c r="D157" s="182">
        <f t="shared" si="10"/>
        <v>1134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5">
        <f>'Données projet'!D151</f>
        <v>28</v>
      </c>
      <c r="C158" s="191">
        <v>40.5</v>
      </c>
      <c r="D158" s="182">
        <f t="shared" si="10"/>
        <v>1134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5">
        <f>'Données projet'!D152</f>
        <v>28</v>
      </c>
      <c r="C159" s="191">
        <v>41</v>
      </c>
      <c r="D159" s="182">
        <f t="shared" si="10"/>
        <v>1148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5">
        <f>'Données projet'!D153</f>
        <v>28</v>
      </c>
      <c r="C160" s="191">
        <v>41</v>
      </c>
      <c r="D160" s="182">
        <f t="shared" si="10"/>
        <v>1148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5">
        <f>'Données projet'!D154</f>
        <v>28</v>
      </c>
      <c r="C161" s="191">
        <v>41</v>
      </c>
      <c r="D161" s="182">
        <f t="shared" si="10"/>
        <v>1148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5">
        <f>'Données projet'!D155</f>
        <v>28</v>
      </c>
      <c r="C162" s="191">
        <v>41</v>
      </c>
      <c r="D162" s="182">
        <f t="shared" si="10"/>
        <v>1148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5">
        <f>'Données projet'!D156</f>
        <v>333</v>
      </c>
      <c r="C163" s="191">
        <v>170.75</v>
      </c>
      <c r="D163" s="182">
        <f t="shared" si="10"/>
        <v>56859.75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Robinier faux-acacia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1300*(0.82+0.7)</f>
        <v>1976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5</v>
      </c>
      <c r="B178" s="181">
        <f>'Données projet'!D166</f>
        <v>8</v>
      </c>
      <c r="C178" s="193">
        <v>2</v>
      </c>
      <c r="D178" s="179">
        <f>B178*C178</f>
        <v>16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10</v>
      </c>
      <c r="B179" s="181">
        <f>'Données projet'!D167</f>
        <v>37</v>
      </c>
      <c r="C179" s="193">
        <v>2</v>
      </c>
      <c r="D179" s="179">
        <f t="shared" ref="D179:D197" si="11">B179*C179</f>
        <v>74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15</v>
      </c>
      <c r="B180" s="181">
        <f>'Données projet'!D168</f>
        <v>29</v>
      </c>
      <c r="C180" s="193">
        <v>2</v>
      </c>
      <c r="D180" s="179">
        <f t="shared" si="11"/>
        <v>58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20</v>
      </c>
      <c r="B181" s="181">
        <f>'Données projet'!D169</f>
        <v>23</v>
      </c>
      <c r="C181" s="193">
        <v>10</v>
      </c>
      <c r="D181" s="179">
        <f t="shared" si="11"/>
        <v>230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25</v>
      </c>
      <c r="B182" s="181">
        <f>'Données projet'!D170</f>
        <v>18</v>
      </c>
      <c r="C182" s="193">
        <v>10</v>
      </c>
      <c r="D182" s="179">
        <f t="shared" si="11"/>
        <v>180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30</v>
      </c>
      <c r="B183" s="181">
        <f>'Données projet'!D171</f>
        <v>14</v>
      </c>
      <c r="C183" s="193">
        <v>25</v>
      </c>
      <c r="D183" s="179">
        <f t="shared" si="11"/>
        <v>350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35</v>
      </c>
      <c r="B184" s="181">
        <f>'Données projet'!D172</f>
        <v>11</v>
      </c>
      <c r="C184" s="193">
        <v>25</v>
      </c>
      <c r="D184" s="179">
        <f t="shared" si="11"/>
        <v>275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40</v>
      </c>
      <c r="B185" s="181">
        <f>'Données projet'!D173</f>
        <v>9</v>
      </c>
      <c r="C185" s="193">
        <v>30</v>
      </c>
      <c r="D185" s="179">
        <f t="shared" si="11"/>
        <v>270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45</v>
      </c>
      <c r="B186" s="181">
        <f>'Données projet'!D174</f>
        <v>378</v>
      </c>
      <c r="C186" s="193">
        <v>30</v>
      </c>
      <c r="D186" s="179">
        <f t="shared" si="11"/>
        <v>11340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2025-07-30T09:51:49Z</dcterms:modified>
</cp:coreProperties>
</file>